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6A200F8-1101-4B3D-A98B-8D9A835B8649}"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1" i="185" l="1"/>
  <c r="D80" i="185"/>
  <c r="D79" i="185"/>
  <c r="D78" i="185"/>
  <c r="D76" i="185"/>
  <c r="D75" i="185"/>
  <c r="D73" i="185"/>
  <c r="D72" i="185"/>
  <c r="D71" i="185"/>
  <c r="D42" i="185"/>
  <c r="D41" i="185"/>
  <c r="D40" i="185"/>
  <c r="D39" i="185"/>
  <c r="D38" i="185"/>
  <c r="D37" i="185"/>
  <c r="D36" i="185"/>
  <c r="D35" i="185"/>
  <c r="D34" i="185"/>
  <c r="D32" i="185"/>
  <c r="D26" i="185"/>
  <c r="D25"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J68" i="184"/>
  <c r="I68" i="184"/>
  <c r="G14" i="184" s="1"/>
  <c r="H68" i="184"/>
  <c r="G13" i="184" s="1"/>
  <c r="G68" i="184"/>
  <c r="K19" i="184"/>
  <c r="J19" i="184"/>
  <c r="I19" i="184"/>
  <c r="L18" i="184"/>
  <c r="H18" i="184"/>
  <c r="L17" i="184"/>
  <c r="L16" i="184"/>
  <c r="G16" i="184"/>
  <c r="L15" i="184"/>
  <c r="G15" i="184"/>
  <c r="L14" i="184"/>
  <c r="L13" i="184"/>
  <c r="L12" i="184"/>
  <c r="G12" i="184"/>
  <c r="G19" i="184" l="1"/>
  <c r="L19" i="184"/>
  <c r="D84" i="185" s="1"/>
  <c r="B77" i="185"/>
  <c r="B79" i="185"/>
  <c r="C258" i="5" l="1"/>
  <c r="G65" i="5" l="1"/>
  <c r="C5" i="5"/>
  <c r="L33" i="3"/>
  <c r="L4"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G26" i="108"/>
  <c r="E27" i="108"/>
  <c r="G27" i="108"/>
  <c r="F31"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162" i="106" l="1"/>
  <c r="D7162" i="106" s="1"/>
  <c r="E61" i="184"/>
  <c r="N61" i="184" s="1"/>
  <c r="B7126" i="106"/>
  <c r="D7126" i="106" s="1"/>
  <c r="E57" i="184"/>
  <c r="B4173" i="106"/>
  <c r="D4173" i="106" s="1"/>
  <c r="D69" i="185"/>
  <c r="B3552" i="106"/>
  <c r="D3552" i="106" s="1"/>
  <c r="B2888" i="106"/>
  <c r="D2888" i="106" s="1"/>
  <c r="B131" i="106"/>
  <c r="D131" i="106" s="1"/>
  <c r="B77" i="106"/>
  <c r="D77" i="106" s="1"/>
  <c r="D31" i="108"/>
  <c r="E16" i="184"/>
  <c r="H16" i="184" s="1"/>
  <c r="H12" i="184"/>
  <c r="B7705" i="106"/>
  <c r="D7705" i="106" s="1"/>
  <c r="E67" i="184"/>
  <c r="N67" i="184" s="1"/>
  <c r="B7198" i="106"/>
  <c r="D7198" i="106" s="1"/>
  <c r="E65" i="184"/>
  <c r="N65" i="184" s="1"/>
  <c r="B7180" i="106"/>
  <c r="D7180" i="106" s="1"/>
  <c r="E63" i="184"/>
  <c r="N63"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124" i="106"/>
  <c r="D6124" i="106" s="1"/>
  <c r="B4268" i="106"/>
  <c r="D4268" i="106" s="1"/>
  <c r="D31" i="185"/>
  <c r="B1940" i="106"/>
  <c r="D1940" i="106" s="1"/>
  <c r="D68" i="185"/>
  <c r="B180" i="106"/>
  <c r="D180" i="106" s="1"/>
  <c r="B157" i="106"/>
  <c r="D157" i="106" s="1"/>
  <c r="B109" i="106"/>
  <c r="D109" i="106" s="1"/>
  <c r="H15" i="184"/>
  <c r="G33" i="108"/>
  <c r="E17" i="184"/>
  <c r="H17" i="184" s="1"/>
  <c r="L22" i="37"/>
  <c r="F36" i="108"/>
  <c r="B7047" i="106"/>
  <c r="D7047" i="106" s="1"/>
  <c r="F37" i="34"/>
  <c r="B7829" i="106" s="1"/>
  <c r="D7829" i="106" s="1"/>
  <c r="F67" i="34"/>
  <c r="D14" i="4"/>
  <c r="B2570" i="106" s="1"/>
  <c r="D2570" i="106" s="1"/>
  <c r="G14" i="4"/>
  <c r="B2609" i="106" s="1"/>
  <c r="D2609" i="106" s="1"/>
  <c r="F72" i="34"/>
  <c r="F56" i="34"/>
  <c r="B7832" i="106" s="1"/>
  <c r="D7832" i="106" s="1"/>
  <c r="F71" i="34"/>
  <c r="H76" i="4"/>
  <c r="B3298" i="106" s="1"/>
  <c r="D3298" i="106" s="1"/>
  <c r="B2836" i="106"/>
  <c r="D2836" i="106" s="1"/>
  <c r="G39" i="108"/>
  <c r="B1274" i="106"/>
  <c r="D1274" i="106" s="1"/>
  <c r="J210" i="29"/>
  <c r="B7072" i="106" s="1"/>
  <c r="D7072" i="106" s="1"/>
  <c r="I210" i="29"/>
  <c r="B7071" i="106" s="1"/>
  <c r="D7071" i="106" s="1"/>
  <c r="F77" i="4"/>
  <c r="B3255" i="106" s="1"/>
  <c r="D3255" i="106" s="1"/>
  <c r="B6289" i="106"/>
  <c r="D6289" i="106" s="1"/>
  <c r="F42" i="34"/>
  <c r="E34" i="108"/>
  <c r="F50" i="34"/>
  <c r="B6995" i="106"/>
  <c r="D6995" i="106" s="1"/>
  <c r="C342" i="29"/>
  <c r="B7216" i="106" s="1"/>
  <c r="D7216" i="106" s="1"/>
  <c r="G30" i="108"/>
  <c r="J129" i="29"/>
  <c r="B7038" i="106" s="1"/>
  <c r="D7038" i="106" s="1"/>
  <c r="I129" i="29"/>
  <c r="B7037" i="106" s="1"/>
  <c r="D7037" i="106" s="1"/>
  <c r="G35" i="108"/>
  <c r="F34" i="34"/>
  <c r="B7826" i="106" s="1"/>
  <c r="D7826" i="106" s="1"/>
  <c r="F36" i="34"/>
  <c r="B7828" i="106" s="1"/>
  <c r="D7828" i="106" s="1"/>
  <c r="C129" i="29"/>
  <c r="C151" i="29" s="1"/>
  <c r="B1226" i="106" s="1"/>
  <c r="D1226" i="106" s="1"/>
  <c r="H342" i="29"/>
  <c r="B7221" i="106" s="1"/>
  <c r="D7221"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58" i="185" s="1"/>
  <c r="B1134" i="106"/>
  <c r="D1134" i="106" s="1"/>
  <c r="B7759" i="106"/>
  <c r="D7759" i="106" s="1"/>
  <c r="B1339" i="106"/>
  <c r="D1339" i="106" s="1"/>
  <c r="C210" i="29"/>
  <c r="B1340" i="106" s="1"/>
  <c r="D1340" i="106" s="1"/>
  <c r="B169" i="106"/>
  <c r="D169" i="106" s="1"/>
  <c r="F41" i="3"/>
  <c r="D47" i="185" s="1"/>
  <c r="B1131" i="106"/>
  <c r="D1131" i="106" s="1"/>
  <c r="L3" i="1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D45" i="185" l="1"/>
  <c r="D60" i="185"/>
  <c r="D61" i="185"/>
  <c r="H19" i="184"/>
  <c r="L20" i="184" s="1"/>
  <c r="D59" i="185"/>
  <c r="N57" i="184"/>
  <c r="N68" i="184" s="1"/>
  <c r="E68" i="184"/>
  <c r="E19" i="184"/>
  <c r="D44" i="185"/>
  <c r="B1381" i="106"/>
  <c r="D1381" i="106" s="1"/>
  <c r="F66" i="34"/>
  <c r="C367" i="29"/>
  <c r="B3622" i="106" s="1"/>
  <c r="D3622" i="106" s="1"/>
  <c r="I151" i="29"/>
  <c r="F59" i="34" s="1"/>
  <c r="H151" i="29"/>
  <c r="B1273" i="106" s="1"/>
  <c r="D1273" i="106" s="1"/>
  <c r="B7235" i="106"/>
  <c r="D7235" i="106" s="1"/>
  <c r="J151" i="29"/>
  <c r="B7052" i="106" s="1"/>
  <c r="D7052" i="106" s="1"/>
  <c r="K77" i="4"/>
  <c r="B3587" i="106" s="1"/>
  <c r="D3587" i="106" s="1"/>
  <c r="B5770" i="106"/>
  <c r="D5770" i="106" s="1"/>
  <c r="B4435" i="106"/>
  <c r="D4435" i="106" s="1"/>
  <c r="B1225" i="106"/>
  <c r="D1225" i="106" s="1"/>
  <c r="F41" i="108"/>
  <c r="G43" i="108" s="1"/>
  <c r="B7215" i="106"/>
  <c r="D7215" i="106" s="1"/>
  <c r="L114" i="29"/>
  <c r="B3459" i="106"/>
  <c r="D3459" i="106" s="1"/>
  <c r="M20" i="3"/>
  <c r="B2864" i="106" s="1"/>
  <c r="D2864" i="106" s="1"/>
  <c r="B2058" i="106"/>
  <c r="D2058" i="106" s="1"/>
  <c r="M18" i="3"/>
  <c r="B275" i="106" s="1"/>
  <c r="D275" i="106" s="1"/>
  <c r="B7596" i="106"/>
  <c r="M15" i="3"/>
  <c r="B2056" i="106"/>
  <c r="D2056" i="106" s="1"/>
  <c r="M16" i="3"/>
  <c r="B273" i="106" s="1"/>
  <c r="D273" i="106" s="1"/>
  <c r="B2057" i="106"/>
  <c r="D2057" i="106" s="1"/>
  <c r="M17" i="3"/>
  <c r="B274" i="106" s="1"/>
  <c r="D274" i="106" s="1"/>
  <c r="B2059" i="106"/>
  <c r="D2059" i="106" s="1"/>
  <c r="M19" i="3"/>
  <c r="B276" i="106" s="1"/>
  <c r="D276" i="106" s="1"/>
  <c r="B6216" i="106"/>
  <c r="D6216" i="106" s="1"/>
  <c r="L16" i="11"/>
  <c r="K365" i="29"/>
  <c r="K16" i="4"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B7051" i="106"/>
  <c r="D7051" i="106" s="1"/>
  <c r="B7243" i="106"/>
  <c r="D7243" i="106" s="1"/>
  <c r="B7224" i="106"/>
  <c r="D7224" i="106" s="1"/>
  <c r="B1145" i="106"/>
  <c r="D1145" i="106" s="1"/>
  <c r="K367" i="29"/>
  <c r="B3678" i="106" s="1"/>
  <c r="D3678" i="106" s="1"/>
  <c r="M23" i="3"/>
  <c r="B6297" i="106"/>
  <c r="D6297"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K368" i="29"/>
  <c r="B3681" i="106" s="1"/>
  <c r="D3681" i="106" s="1"/>
  <c r="B6223" i="106"/>
  <c r="D6223" i="106" s="1"/>
  <c r="F77" i="34"/>
  <c r="B7834" i="106" s="1"/>
  <c r="D7834" i="106" s="1"/>
  <c r="J20" i="4"/>
  <c r="B6230" i="106" s="1"/>
  <c r="D6230" i="106" s="1"/>
  <c r="F8" i="4"/>
  <c r="B2595" i="106" s="1"/>
  <c r="D2595" i="106" s="1"/>
  <c r="B279" i="106"/>
  <c r="D279" i="106" s="1"/>
  <c r="K17" i="4"/>
  <c r="K19" i="4" s="1"/>
  <c r="B4144" i="106" s="1"/>
  <c r="D414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185"/>
  <c r="K20" i="4"/>
  <c r="K78" i="4" s="1"/>
  <c r="J78" i="4"/>
  <c r="J81" i="4" s="1"/>
  <c r="D64" i="185" s="1"/>
  <c r="F10" i="4"/>
  <c r="B4125" i="106" s="1"/>
  <c r="D4125" i="106" s="1"/>
  <c r="D8" i="146"/>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B6263" i="106"/>
  <c r="D6263" i="106" s="1"/>
  <c r="D78" i="4"/>
  <c r="B3239" i="106" s="1"/>
  <c r="D3239" i="106" s="1"/>
  <c r="D10" i="146"/>
  <c r="F8" i="146"/>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D81" i="4" l="1"/>
  <c r="D82" i="4" s="1"/>
  <c r="F10" i="146"/>
  <c r="F176" i="34"/>
  <c r="B7878" i="106" s="1"/>
  <c r="D7878" i="106" s="1"/>
  <c r="B7835" i="106"/>
  <c r="D7835" i="106" s="1"/>
  <c r="B3278" i="106"/>
  <c r="D3278" i="106" s="1"/>
  <c r="E81" i="4"/>
  <c r="B3233" i="106"/>
  <c r="D3233" i="106" s="1"/>
  <c r="C81" i="4"/>
  <c r="D57" i="185" s="1"/>
  <c r="A7263" i="106"/>
  <c r="D7262" i="106"/>
  <c r="B1700" i="106"/>
  <c r="D1700" i="106" s="1"/>
  <c r="H82" i="4"/>
  <c r="O16" i="118"/>
  <c r="F81" i="4"/>
  <c r="B3256" i="106"/>
  <c r="D3256" i="106" s="1"/>
  <c r="G81" i="4"/>
  <c r="B3262" i="106"/>
  <c r="D3262" i="106" s="1"/>
  <c r="B3323" i="106"/>
  <c r="D3323" i="106" s="1"/>
  <c r="I82" i="4"/>
  <c r="E11" i="146"/>
  <c r="B3591" i="106"/>
  <c r="D3591" i="106" s="1"/>
  <c r="K82" i="4"/>
  <c r="J83" i="4"/>
  <c r="B6283" i="106" s="1"/>
  <c r="D6283" i="106" s="1"/>
  <c r="B6274" i="106"/>
  <c r="D6274" i="106" s="1"/>
  <c r="C11" i="146" l="1"/>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J24" i="24"/>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<sst xmlns="http://schemas.openxmlformats.org/spreadsheetml/2006/main" count="5229" uniqueCount="2112">
  <si>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</si>
  <si>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</si>
  <si>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</si>
  <si>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</si>
  <si>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</si>
  <si>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</si>
  <si>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</si>
  <si>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</si>
  <si>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</si>
  <si>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</si>
  <si>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</si>
  <si>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</si>
  <si>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</si>
  <si>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</si>
  <si>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</si>
  <si>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</si>
  <si>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</si>
  <si>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</si>
  <si>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</si>
  <si>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</si>
  <si>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</si>
  <si>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</si>
  <si>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</si>
  <si>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</si>
  <si>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</si>
  <si>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</si>
  <si>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</si>
  <si>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</si>
  <si>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</si>
  <si>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</si>
  <si>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</si>
  <si>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</si>
  <si>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</si>
  <si>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</si>
  <si>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</si>
  <si>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</si>
  <si>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</si>
  <si>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</si>
  <si>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</si>
  <si>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</si>
  <si>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</si>
  <si>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</si>
  <si>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</si>
  <si>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</si>
  <si>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</si>
  <si>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</si>
  <si>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</si>
  <si>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</si>
  <si>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</si>
  <si>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</si>
  <si>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</si>
  <si>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</si>
  <si>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</si>
  <si>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</si>
  <si>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</si>
  <si>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</si>
  <si>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</si>
  <si>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</si>
  <si>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</si>
  <si>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</si>
  <si>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</si>
  <si>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</si>
  <si>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</si>
  <si>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</si>
  <si>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</si>
  <si>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</si>
  <si>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</si>
  <si>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</si>
  <si>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</si>
  <si>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</si>
  <si>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</si>
  <si>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</si>
  <si>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</si>
  <si>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</si>
  <si>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</si>
  <si>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</si>
  <si>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</si>
  <si>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</si>
  <si>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</si>
  <si>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</si>
  <si>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</si>
  <si>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</si>
  <si>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</si>
  <si>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</si>
  <si>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</si>
  <si>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</si>
  <si>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</si>
  <si>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</si>
  <si>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</si>
  <si>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</si>
  <si>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</si>
  <si>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</si>
  <si>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</si>
  <si>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</si>
  <si>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</si>
  <si>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</si>
  <si>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</si>
  <si>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</si>
  <si>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</si>
  <si>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</si>
  <si>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</si>
  <si>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</si>
  <si>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</si>
  <si>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</si>
  <si>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</si>
  <si>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</si>
  <si>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</si>
  <si>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</si>
  <si>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</si>
  <si>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</si>
  <si>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</si>
  <si>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</si>
  <si>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</si>
  <si>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</si>
  <si>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</si>
  <si>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</si>
  <si>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</si>
  <si>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</si>
  <si>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</si>
  <si>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</si>
  <si>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</si>
  <si>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</si>
  <si>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</si>
  <si>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</si>
  <si>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</si>
  <si>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</si>
  <si>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</si>
  <si>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</si>
  <si>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</si>
  <si>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</si>
  <si>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</si>
  <si>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</si>
  <si>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</si>
  <si>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</si>
  <si>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</si>
  <si>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</si>
  <si>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</si>
  <si>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</si>
  <si>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</si>
  <si>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</si>
  <si>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</si>
  <si>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</si>
  <si>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</si>
  <si>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</si>
  <si>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</si>
  <si>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</si>
  <si>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</si>
  <si>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</si>
  <si>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</si>
  <si>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</si>
  <si>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</si>
  <si>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</si>
  <si>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</si>
  <si>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</si>
  <si>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</si>
  <si>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</si>
  <si>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</si>
  <si>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</si>
  <si>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</si>
  <si>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</si>
  <si>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</si>
  <si>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</si>
  <si>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</si>
  <si>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</si>
  <si>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</si>
  <si>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</si>
  <si>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</si>
  <si>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</si>
  <si>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</si>
  <si>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</si>
  <si>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</si>
  <si>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</si>
  <si>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</si>
  <si>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</si>
  <si>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</si>
  <si>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</si>
  <si>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</si>
  <si>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</si>
  <si>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</si>
  <si>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</si>
  <si>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</si>
  <si>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</si>
  <si>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</si>
  <si>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</si>
  <si>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</si>
  <si>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</si>
  <si>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</si>
  <si>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</si>
  <si>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</si>
  <si>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</si>
  <si>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</si>
  <si>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</si>
  <si>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</si>
  <si>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</si>
  <si>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</si>
  <si>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</si>
  <si>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</si>
  <si>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</si>
  <si>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</si>
  <si>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</si>
  <si>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</si>
  <si>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</si>
  <si>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</si>
  <si>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</si>
  <si>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</si>
  <si>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</si>
  <si>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</si>
  <si>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</si>
  <si>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</si>
  <si>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</si>
  <si>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</si>
  <si>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</si>
  <si>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</si>
  <si>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</si>
  <si>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</si>
  <si>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</si>
  <si>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</si>
  <si>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</si>
  <si>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</si>
  <si>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</si>
  <si>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</si>
  <si>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</si>
  <si>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</si>
  <si>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</si>
  <si>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</si>
  <si>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</si>
  <si>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</si>
  <si>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</si>
  <si>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</si>
  <si>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</si>
  <si>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</si>
  <si>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</si>
  <si>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</si>
  <si>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</si>
  <si>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</si>
  <si>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</si>
  <si>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</si>
  <si>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</si>
  <si>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</si>
  <si>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</si>
  <si>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</si>
  <si>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</si>
  <si>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</si>
  <si>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</si>
  <si>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</si>
  <si>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</si>
  <si>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</si>
  <si>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</si>
  <si>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</si>
  <si>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</si>
  <si>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</si>
  <si>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</si>
  <si>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</si>
  <si>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</si>
  <si>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</si>
  <si>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</si>
  <si>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</si>
  <si>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</si>
  <si>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</si>
  <si>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</si>
  <si>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</si>
  <si>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</si>
  <si>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</si>
  <si>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</si>
  <si>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</si>
  <si>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</si>
  <si>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</si>
  <si>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</si>
  <si>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</si>
  <si>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</si>
  <si>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</si>
  <si>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</si>
  <si>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</si>
  <si>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</si>
  <si>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</si>
  <si>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</si>
  <si>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</si>
  <si>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</si>
  <si>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</si>
  <si>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</si>
  <si>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</si>
  <si>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</si>
  <si>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</si>
  <si>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</si>
  <si>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</si>
  <si>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</si>
  <si>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</si>
  <si>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</si>
  <si>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</si>
  <si>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</si>
  <si>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</si>
  <si>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</si>
  <si>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</si>
  <si>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</si>
  <si>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</si>
  <si>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</si>
  <si>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</si>
  <si>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</si>
  <si>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</si>
  <si>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</si>
  <si>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</si>
  <si>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</si>
  <si>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</si>
  <si>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</si>
  <si>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</si>
  <si>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</si>
  <si>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</si>
  <si>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</si>
  <si>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</si>
  <si>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</si>
  <si>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</si>
  <si>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</si>
  <si>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</si>
  <si>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</si>
  <si>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</si>
  <si>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</si>
  <si>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</si>
  <si>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</si>
  <si>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</si>
  <si>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</si>
  <si>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</si>
  <si>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</si>
  <si>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</si>
  <si>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</si>
  <si>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</si>
  <si>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</si>
  <si>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</si>
  <si>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</si>
  <si>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</si>
  <si>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</si>
  <si>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</si>
  <si>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</si>
  <si>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</si>
  <si>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</si>
  <si>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</si>
  <si>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</si>
  <si>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</si>
  <si>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</si>
  <si>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</si>
  <si>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</si>
  <si>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</si>
  <si>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</si>
  <si>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</si>
  <si>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</si>
  <si>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</si>
  <si>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</si>
  <si>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</si>
  <si>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</si>
  <si>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</si>
  <si>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</si>
  <si>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</si>
  <si>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</si>
  <si>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</si>
  <si>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</si>
  <si>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</si>
  <si>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</si>
  <si>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</si>
  <si>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</si>
  <si>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</si>
  <si>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</si>
  <si>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</si>
  <si>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</si>
  <si>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</si>
  <si>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</si>
  <si>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</si>
  <si>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</si>
  <si>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</si>
  <si>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</si>
  <si>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</si>
  <si>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</si>
  <si>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</si>
  <si>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</si>
  <si>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</si>
  <si>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</si>
  <si>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</si>
  <si>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</si>
  <si>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</si>
  <si>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</si>
  <si>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</si>
  <si>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</si>
  <si>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</si>
  <si>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</si>
  <si>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</si>
  <si>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</si>
  <si>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</si>
  <si>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</si>
  <si>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</si>
  <si>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</si>
  <si>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</si>
  <si>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</si>
  <si>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</si>
  <si>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</si>
  <si>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</si>
  <si>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</si>
  <si>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</si>
  <si>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</si>
  <si>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</si>
  <si>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</si>
  <si>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</si>
  <si>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</si>
  <si>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</si>
  <si>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</si>
  <si>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</si>
  <si>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</si>
  <si>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</si>
  <si>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</si>
  <si>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</si>
  <si>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</si>
  <si>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</si>
  <si>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</si>
  <si>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</si>
  <si>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</si>
  <si>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</si>
  <si>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</si>
  <si>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</si>
  <si>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</si>
  <si>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</si>
  <si>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</si>
  <si>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</si>
  <si>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</si>
  <si>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</si>
  <si>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</si>
  <si>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</si>
  <si>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</si>
  <si>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</si>
  <si>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</si>
  <si>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</si>
  <si>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</si>
  <si>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</si>
  <si>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</si>
  <si>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</si>
  <si>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</si>
  <si>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</si>
  <si>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</si>
  <si>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</si>
  <si>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</si>
  <si>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</si>
  <si>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</si>
  <si>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</si>
  <si>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</si>
  <si>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</si>
  <si>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</si>
  <si>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</si>
  <si>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</si>
  <si>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</si>
  <si>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</si>
  <si>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</si>
  <si>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</si>
  <si>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</si>
  <si>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</si>
  <si>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</si>
  <si>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</si>
  <si>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</si>
  <si>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</si>
  <si>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</si>
  <si>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</si>
  <si>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</si>
  <si>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</si>
  <si>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</si>
  <si>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</si>
  <si>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</si>
  <si>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</si>
  <si>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</si>
  <si>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</si>
  <si>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</si>
  <si>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</si>
  <si>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</si>
  <si>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</si>
  <si>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</si>
  <si>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</si>
  <si>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</si>
  <si>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</si>
  <si>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</si>
  <si>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</si>
  <si>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</si>
  <si>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</si>
  <si>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</si>
  <si>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</si>
  <si>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</si>
  <si>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</si>
  <si>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</si>
  <si>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</si>
  <si>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</si>
  <si>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</si>
  <si>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</si>
  <si>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</si>
  <si>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</si>
  <si>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</si>
  <si>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</si>
  <si>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</si>
  <si>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</si>
  <si>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</si>
  <si>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</si>
  <si>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</si>
  <si>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</si>
  <si>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</si>
  <si>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</si>
  <si>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</si>
  <si>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</si>
  <si>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</si>
  <si>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</si>
  <si>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</si>
  <si>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</si>
  <si>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</si>
  <si>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</si>
  <si>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</si>
  <si>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</si>
  <si>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</si>
  <si>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</si>
  <si>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</si>
  <si>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</si>
  <si>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</si>
  <si>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</si>
  <si>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</si>
  <si>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</si>
  <si>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</si>
  <si>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</si>
  <si>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</si>
  <si>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</si>
  <si>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</si>
  <si>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</si>
  <si>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</si>
  <si>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</si>
  <si>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</si>
  <si>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</si>
  <si>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</si>
  <si>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</si>
  <si>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</si>
  <si>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</si>
  <si>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</si>
  <si>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</si>
  <si>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</si>
  <si>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</si>
  <si>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</si>
  <si>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</si>
  <si>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</si>
  <si>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</si>
  <si>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</si>
  <si>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</si>
  <si>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</si>
  <si>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</si>
  <si>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</si>
  <si>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</si>
  <si>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</si>
  <si>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</si>
  <si>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</si>
  <si>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</si>
  <si>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</si>
  <si>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</si>
  <si>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</si>
  <si>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</si>
  <si>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</si>
  <si>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</si>
  <si>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</si>
  <si>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</si>
  <si>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</si>
  <si>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</si>
  <si>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</si>
  <si>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</si>
  <si>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</si>
  <si>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</si>
  <si>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</si>
  <si>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</si>
  <si>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</si>
  <si>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</si>
  <si>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</si>
  <si>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</si>
  <si>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</si>
  <si>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</si>
  <si>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</si>
  <si>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</si>
  <si>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</si>
  <si>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</si>
  <si>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</si>
  <si>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</si>
  <si>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</si>
  <si>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</si>
  <si>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</si>
  <si>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</si>
  <si>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</si>
  <si>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</si>
  <si>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</si>
  <si>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</si>
  <si>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</si>
  <si>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</si>
  <si>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</si>
  <si>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</si>
  <si>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</si>
  <si>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</si>
  <si>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</si>
  <si>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</si>
  <si>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</si>
  <si>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</si>
  <si>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</si>
  <si>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</si>
  <si>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</si>
  <si>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</si>
  <si>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</si>
  <si>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</si>
  <si>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</si>
  <si>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</si>
  <si>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</si>
  <si>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</si>
  <si>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</si>
  <si>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</si>
  <si>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</si>
  <si>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</si>
  <si>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</si>
  <si>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</si>
  <si>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</si>
  <si>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</si>
  <si>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</si>
  <si>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</si>
  <si>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</si>
  <si>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</si>
  <si>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</si>
  <si>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</si>
  <si>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</si>
  <si>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</si>
  <si>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</si>
  <si>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</si>
  <si>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</si>
  <si>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</si>
  <si>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</si>
  <si>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</si>
  <si>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</si>
  <si>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</si>
  <si>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</si>
  <si>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</si>
  <si>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</si>
  <si>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</si>
  <si>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</si>
  <si>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</si>
  <si>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</si>
  <si>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</si>
  <si>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</si>
  <si>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</si>
  <si>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</si>
  <si>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</si>
  <si>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</si>
  <si>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</si>
  <si>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</si>
  <si>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</si>
  <si>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</si>
  <si>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</si>
  <si>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</si>
  <si>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</si>
  <si>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</si>
  <si>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</si>
  <si>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</si>
  <si>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</si>
  <si>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</si>
  <si>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</si>
  <si>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</si>
  <si>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</si>
  <si>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</si>
  <si>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</si>
  <si>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</si>
  <si>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</si>
  <si>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</si>
  <si>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</si>
  <si>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</si>
  <si>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</si>
  <si>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</si>
  <si>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</si>
  <si>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</si>
  <si>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</si>
  <si>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</si>
  <si>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</si>
  <si>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</si>
  <si>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</si>
  <si>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</si>
  <si>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</si>
  <si>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</si>
  <si>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</si>
  <si>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</si>
  <si>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</si>
  <si>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</si>
  <si>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</si>
  <si>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</si>
  <si>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</si>
  <si>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</si>
  <si>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</si>
  <si>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</si>
  <si>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</si>
  <si>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</si>
  <si>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</si>
  <si>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</si>
  <si>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</si>
  <si>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</si>
  <si>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</si>
  <si>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</si>
  <si>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</si>
  <si>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</si>
  <si>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</si>
  <si>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</si>
  <si>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</si>
  <si>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</si>
  <si>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</si>
  <si>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</si>
  <si>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</si>
  <si>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</si>
  <si>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</si>
  <si>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</si>
  <si>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</si>
  <si>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</si>
  <si>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</si>
  <si>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</si>
  <si>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</si>
  <si>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</si>
  <si>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</si>
  <si>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</si>
  <si>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</si>
  <si>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</si>
  <si>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</si>
  <si>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</si>
  <si>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</si>
  <si>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</si>
  <si>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</si>
  <si>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</si>
  <si>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</si>
  <si>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</si>
  <si>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</si>
  <si>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</si>
  <si>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</si>
  <si>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</si>
  <si>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</si>
  <si>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</si>
  <si>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</si>
  <si>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</si>
  <si>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</si>
  <si>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</si>
  <si>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</si>
  <si>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</si>
  <si>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</si>
  <si>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</si>
  <si>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</si>
  <si>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</si>
  <si>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</si>
  <si>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</si>
  <si>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</si>
  <si>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</si>
  <si>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</si>
  <si>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</si>
  <si>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</si>
  <si>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</si>
  <si>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</si>
  <si>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</si>
  <si>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</si>
  <si>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</si>
  <si>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</si>
  <si>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</si>
  <si>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</si>
  <si>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</si>
  <si>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</si>
  <si>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</si>
  <si>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</si>
  <si>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</si>
  <si>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</si>
  <si>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</si>
  <si>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</si>
  <si>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</si>
  <si>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</si>
  <si>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</si>
  <si>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</si>
  <si>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</si>
  <si>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</si>
  <si>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</si>
  <si>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</si>
  <si>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</si>
  <si>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</si>
  <si>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</si>
  <si>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</si>
  <si>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</si>
  <si>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</si>
  <si>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</si>
  <si>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</si>
  <si>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</si>
  <si>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</si>
  <si>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</si>
  <si>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</si>
  <si>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</si>
  <si>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</si>
  <si>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</si>
  <si>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</si>
  <si>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</si>
  <si>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</si>
  <si>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</si>
  <si>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</si>
  <si>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</si>
  <si>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</si>
  <si>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</si>
  <si>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</si>
  <si>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</si>
  <si>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</si>
  <si>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</si>
  <si>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</si>
  <si>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</si>
  <si>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</si>
  <si>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</si>
  <si>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</si>
  <si>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</si>
  <si>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</si>
  <si>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</si>
  <si>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</si>
  <si>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</si>
  <si>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</si>
  <si>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</si>
  <si>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</si>
  <si>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</si>
  <si>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</si>
  <si>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</si>
  <si>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</si>
  <si>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</si>
  <si>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</si>
  <si>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</si>
  <si>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</si>
  <si>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</si>
  <si>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</si>
  <si>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</si>
  <si>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</si>
  <si>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</si>
  <si>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</si>
  <si>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</si>
  <si>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</si>
  <si>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</si>
  <si>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</si>
  <si>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</si>
  <si>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</si>
  <si>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</si>
  <si>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</si>
  <si>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</si>
  <si>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</si>
  <si>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</si>
  <si>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</si>
  <si>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</si>
  <si>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</si>
  <si>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</si>
  <si>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</si>
  <si>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</si>
  <si>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</si>
  <si>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</si>
  <si>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</si>
  <si>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</si>
  <si>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</si>
  <si>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</si>
  <si>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</si>
  <si>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</si>
  <si>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</si>
  <si>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</si>
  <si>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</si>
  <si>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</si>
  <si>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</si>
  <si>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</si>
  <si>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</si>
  <si>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</si>
  <si>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</si>
  <si>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</si>
  <si>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</si>
  <si>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</si>
  <si>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</si>
  <si>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</si>
  <si>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</si>
  <si>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</si>
  <si>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</si>
  <si>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</si>
  <si>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</si>
  <si>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</si>
  <si>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</si>
  <si>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</si>
  <si>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</si>
  <si>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</si>
  <si>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</si>
  <si>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</si>
  <si>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</si>
  <si>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</si>
  <si>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</si>
  <si>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</si>
  <si>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</si>
  <si>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</si>
  <si>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</si>
  <si>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</si>
  <si>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</si>
  <si>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</si>
  <si>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</si>
  <si>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</si>
  <si>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</si>
  <si>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</si>
  <si>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</si>
  <si>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</si>
  <si>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</si>
  <si>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</si>
  <si>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</si>
  <si>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</si>
  <si>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</si>
  <si>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</si>
  <si>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</si>
  <si>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</si>
  <si>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</si>
  <si>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</si>
  <si>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</si>
  <si>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</si>
  <si>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</si>
  <si>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</si>
  <si>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</si>
  <si>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</si>
  <si>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</si>
  <si>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</si>
  <si>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</si>
  <si>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</si>
  <si>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</si>
  <si>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</si>
  <si>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</si>
  <si>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</si>
  <si>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</si>
  <si>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</si>
  <si>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</si>
  <si>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</si>
  <si>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</si>
  <si>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</si>
  <si>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</si>
  <si>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</si>
  <si>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</si>
  <si>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</si>
  <si>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</si>
  <si>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</si>
  <si>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</si>
  <si>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</si>
  <si>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</si>
  <si>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</si>
  <si>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</si>
  <si>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</si>
  <si>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</si>
  <si>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</si>
  <si>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</si>
  <si>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</si>
  <si>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</si>
  <si>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</si>
  <si>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</si>
  <si>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</si>
  <si>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</si>
  <si>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</si>
  <si>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</si>
  <si>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</si>
  <si>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</si>
  <si>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</si>
  <si>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</si>
  <si>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</si>
  <si>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</si>
  <si>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</si>
  <si>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</si>
  <si>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</si>
  <si>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</si>
  <si>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</si>
  <si>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</si>
  <si>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</si>
  <si>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</si>
  <si>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</si>
  <si>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</si>
  <si>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</si>
  <si>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</si>
  <si>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</si>
  <si>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</si>
  <si>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</si>
  <si>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</si>
  <si>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</si>
  <si>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</si>
  <si>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</si>
  <si>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</si>
  <si>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</si>
  <si>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</si>
  <si>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</si>
  <si>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</si>
  <si>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</si>
  <si>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</si>
  <si>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</si>
  <si>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</si>
  <si>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</si>
  <si>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</si>
  <si>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</si>
  <si>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</si>
  <si>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</si>
  <si>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</si>
  <si>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</si>
  <si>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</si>
  <si>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</si>
  <si>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</si>
  <si>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</si>
  <si>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</si>
  <si>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</si>
  <si>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</si>
  <si>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</si>
  <si>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</si>
  <si>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</si>
  <si>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</si>
  <si>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</si>
  <si>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</si>
  <si>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</si>
  <si>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</si>
  <si>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</si>
  <si>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</si>
  <si>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</si>
  <si>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</si>
  <si>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</si>
  <si>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</si>
  <si>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</si>
  <si>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</si>
  <si>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</si>
  <si>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</si>
  <si>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</si>
  <si>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</si>
  <si>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</si>
  <si>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</si>
  <si>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</si>
  <si>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</si>
  <si>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</si>
  <si>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</si>
  <si>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</si>
  <si>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</si>
  <si>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</si>
  <si>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</si>
  <si>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</si>
  <si>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</si>
  <si>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</si>
  <si>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</si>
  <si>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</si>
  <si>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</si>
  <si>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</si>
  <si>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</si>
  <si>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</si>
  <si>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</si>
  <si>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</si>
  <si>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</si>
  <si>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</si>
  <si>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</si>
  <si>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</si>
  <si>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</si>
  <si>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</si>
  <si>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</si>
  <si>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</si>
  <si>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</si>
  <si>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</si>
  <si>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</si>
  <si>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</si>
  <si>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</si>
  <si>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</si>
  <si>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</si>
  <si>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</si>
  <si>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</si>
  <si>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</si>
  <si>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</si>
  <si>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</si>
  <si>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</si>
  <si>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</si>
  <si>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</si>
  <si>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</si>
  <si>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</si>
  <si>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</si>
  <si>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</si>
  <si>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</si>
  <si>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</si>
  <si>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</si>
  <si>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</si>
  <si>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</si>
  <si>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</si>
  <si>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</si>
  <si>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</si>
  <si>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</si>
  <si>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</si>
  <si>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</si>
  <si>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</si>
  <si>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</si>
  <si>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</si>
  <si>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</si>
  <si>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</si>
  <si>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</si>
  <si>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</si>
  <si>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</si>
  <si>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</si>
  <si>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</si>
  <si>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</si>
  <si>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</si>
  <si>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</si>
  <si>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</si>
  <si>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</si>
  <si>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</si>
  <si>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</si>
  <si>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</si>
  <si>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</si>
  <si>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</si>
  <si>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</si>
  <si>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</si>
  <si>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</si>
  <si>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</si>
  <si>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</si>
  <si>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</si>
  <si>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</si>
  <si>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</si>
  <si>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</si>
  <si>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</si>
  <si>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</si>
  <si>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</si>
  <si>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</si>
  <si>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</si>
  <si>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</si>
  <si>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</si>
  <si>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</si>
  <si>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</si>
  <si>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</si>
  <si>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</si>
  <si>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</si>
  <si>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</si>
  <si>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</si>
  <si>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</si>
  <si>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</si>
  <si>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</si>
  <si>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</si>
  <si>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</si>
  <si>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</si>
  <si>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</si>
  <si>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</si>
  <si>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</si>
  <si>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</si>
  <si>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</si>
  <si>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</si>
  <si>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</si>
  <si>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</si>
  <si>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</si>
  <si>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</si>
  <si>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</si>
  <si>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</si>
  <si>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</si>
  <si>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</si>
  <si>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</si>
  <si>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</si>
  <si>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</si>
  <si>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</si>
  <si>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</si>
  <si>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</si>
  <si>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</si>
  <si>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</si>
  <si>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</si>
  <si>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</si>
  <si>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</si>
  <si>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</si>
  <si>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</si>
  <si>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</si>
  <si>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</si>
  <si>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</si>
  <si>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</si>
  <si>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</si>
  <si>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</si>
  <si>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</si>
  <si>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</si>
  <si>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</si>
  <si>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</si>
  <si>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</si>
  <si>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</si>
  <si>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</si>
  <si>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</si>
  <si>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</si>
  <si>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</si>
  <si>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</si>
  <si>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</si>
  <si>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</si>
  <si>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</si>
  <si>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</si>
  <si>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</si>
  <si>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</si>
  <si>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</si>
  <si>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</si>
  <si>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</si>
  <si>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</si>
  <si>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</si>
  <si>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</si>
  <si>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</si>
  <si>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</si>
  <si>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</si>
  <si>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</si>
  <si>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</si>
  <si>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</si>
  <si>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</si>
  <si>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</si>
  <si>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</si>
  <si>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</si>
  <si>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</si>
  <si>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</si>
  <si>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</si>
  <si>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</si>
  <si>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</si>
  <si>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</si>
  <si>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</si>
  <si>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</si>
  <si>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</si>
  <si>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</si>
  <si>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</si>
  <si>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</si>
  <si>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</si>
  <si>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</si>
  <si>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</si>
  <si>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</si>
  <si>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</si>
  <si>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</si>
  <si>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</si>
  <si>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</si>
  <si>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</si>
  <si>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</si>
  <si>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</si>
  <si>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</si>
  <si>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</si>
  <si>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</si>
  <si>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</si>
  <si>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</si>
  <si>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</si>
  <si>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</si>
  <si>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</si>
  <si>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</si>
  <si>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</si>
  <si>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</si>
  <si>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</si>
  <si>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</si>
  <si>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</si>
  <si>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</si>
  <si>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</si>
  <si>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</si>
  <si>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</si>
  <si>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</si>
  <si>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</si>
  <si>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</si>
  <si>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</si>
  <si>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</si>
  <si>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</si>
  <si>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</si>
  <si>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</si>
  <si>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</si>
  <si>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</si>
  <si>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</si>
  <si>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</si>
  <si>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</si>
  <si>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</si>
  <si>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</si>
  <si>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</si>
  <si>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</si>
  <si>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</si>
  <si>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</si>
  <si>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</si>
  <si>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</si>
  <si>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</si>
  <si>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</si>
  <si>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</si>
  <si>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</si>
  <si>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</si>
  <si>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</si>
  <si>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</si>
  <si>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</si>
  <si>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</si>
  <si>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</si>
  <si>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</si>
  <si>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</si>
  <si>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</si>
  <si>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</si>
  <si>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</si>
  <si>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</si>
  <si>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</si>
  <si>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</si>
  <si>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</si>
  <si>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</si>
  <si>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</si>
  <si>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</si>
  <si>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</si>
  <si>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</si>
  <si>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</si>
  <si>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</si>
  <si>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</si>
  <si>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</si>
  <si>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</si>
  <si>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</si>
  <si>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</si>
  <si>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</si>
  <si>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</si>
  <si>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</si>
  <si>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</si>
  <si>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</si>
  <si>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</si>
  <si>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</si>
  <si>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</si>
  <si>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</si>
  <si>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</si>
  <si>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</si>
  <si>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</si>
  <si>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</si>
  <si>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</si>
  <si>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</si>
  <si>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</si>
  <si>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</si>
  <si>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</si>
  <si>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</si>
  <si>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</si>
  <si>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</si>
  <si>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</si>
  <si>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</si>
  <si>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</si>
  <si>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</si>
  <si>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</si>
  <si>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</si>
  <si>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</si>
  <si>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</si>
  <si>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</si>
  <si>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</si>
  <si>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</si>
  <si>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</si>
  <si>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</si>
  <si>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</si>
  <si>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</si>
  <si>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</si>
  <si>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</si>
  <si>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</si>
  <si>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</si>
  <si>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</si>
  <si>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</si>
  <si>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</si>
  <si>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</si>
  <si>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</si>
  <si>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</si>
  <si>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</si>
  <si>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</si>
  <si>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</si>
  <si>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</si>
  <si>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</si>
  <si>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</si>
  <si>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</si>
  <si>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</si>
  <si>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</si>
  <si>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</si>
  <si>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</si>
  <si>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</si>
  <si>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</si>
  <si>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</si>
  <si>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</si>
  <si>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</si>
  <si>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</si>
  <si>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</si>
  <si>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</si>
  <si>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</si>
  <si>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</si>
  <si>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</si>
  <si>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</si>
  <si>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</si>
  <si>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</si>
  <si>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</si>
  <si>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</si>
  <si>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</si>
  <si>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</si>
  <si>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</si>
  <si>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</si>
  <si>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</si>
  <si>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</si>
  <si>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</si>
  <si>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</si>
  <si>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</si>
  <si>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</si>
  <si>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</si>
  <si>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</si>
  <si>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</si>
  <si>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</si>
  <si>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</si>
  <si>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</si>
  <si>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</si>
  <si>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</si>
  <si>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</si>
  <si>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</si>
  <si>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</si>
  <si>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</si>
  <si>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</si>
  <si>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</si>
  <si>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</si>
  <si>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</si>
  <si>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</si>
  <si>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</si>
  <si>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</si>
  <si>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</si>
  <si>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</si>
  <si>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</si>
  <si>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</si>
  <si>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</si>
  <si>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</si>
  <si>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</si>
  <si>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</si>
  <si>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</si>
  <si>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</si>
  <si>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</si>
  <si>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</si>
  <si>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</si>
  <si>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</si>
  <si>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</si>
  <si>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</si>
  <si>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</si>
  <si>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</si>
  <si>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</si>
  <si>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</si>
  <si>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</si>
  <si>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</si>
  <si>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</si>
  <si>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</si>
  <si>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</si>
  <si>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</si>
  <si>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</si>
  <si>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</si>
  <si>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</si>
  <si>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</si>
  <si>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</si>
  <si>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</si>
  <si>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</si>
  <si>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</si>
  <si>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</si>
  <si>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</si>
  <si>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</si>
  <si>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</si>
  <si>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</si>
  <si>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</si>
  <si>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</si>
  <si>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</si>
  <si>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</si>
  <si>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</si>
  <si>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</si>
  <si>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</si>
  <si>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</si>
  <si>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</si>
  <si>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</si>
  <si>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</si>
  <si>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</si>
  <si>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</si>
  <si>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</si>
  <si>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</si>
  <si>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</si>
  <si>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</si>
  <si>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</si>
  <si>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</si>
  <si>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</si>
  <si>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</si>
  <si>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</si>
  <si>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</si>
  <si>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</si>
  <si>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</si>
  <si>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</si>
  <si>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</si>
  <si>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</si>
  <si>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</si>
  <si>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</si>
  <si>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</si>
  <si>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</si>
  <si>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</si>
  <si>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</si>
  <si>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</si>
  <si>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</si>
  <si>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</si>
  <si>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</si>
  <si>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</si>
  <si>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</si>
  <si>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</si>
  <si>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</si>
  <si>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</si>
  <si>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</si>
  <si>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</si>
  <si>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</si>
  <si>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</si>
  <si>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</si>
  <si>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</si>
  <si>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</si>
  <si>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</si>
  <si>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</si>
  <si>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</si>
  <si>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</si>
  <si>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</si>
  <si>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</si>
  <si>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</si>
  <si>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</si>
  <si>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</si>
  <si>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</si>
  <si>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</si>
  <si>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</si>
  <si>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</si>
  <si>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</si>
  <si>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</si>
  <si>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</si>
  <si>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</si>
  <si>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</si>
  <si>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</si>
  <si>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</si>
  <si>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</si>
  <si>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</si>
  <si>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</si>
  <si>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</si>
  <si>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</si>
  <si>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</si>
  <si>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</si>
  <si>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</si>
  <si>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</si>
  <si>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</si>
  <si>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</si>
  <si>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</si>
  <si>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</si>
  <si>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</si>
  <si>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</si>
  <si>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</si>
  <si>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</si>
  <si>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</si>
  <si>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</si>
  <si>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</si>
  <si>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</si>
  <si>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</si>
  <si>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</si>
  <si>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</si>
  <si>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</si>
  <si>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</si>
  <si>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</si>
  <si>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</si>
  <si>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</si>
  <si>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</si>
  <si>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</si>
  <si>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</si>
  <si>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</si>
  <si>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</si>
  <si>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</si>
  <si>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</si>
  <si>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</si>
  <si>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</si>
  <si>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</si>
  <si>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</si>
  <si>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</si>
  <si>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</si>
  <si>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</si>
  <si>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</si>
  <si>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</si>
  <si>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</si>
  <si>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</si>
  <si>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</si>
  <si>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</si>
  <si>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</si>
  <si>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</si>
  <si>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</si>
  <si>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</si>
  <si>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</si>
  <si>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</si>
  <si>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</si>
  <si>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</si>
  <si>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</si>
  <si>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</si>
  <si>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</si>
  <si>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</si>
  <si>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</si>
  <si>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</si>
  <si>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</si>
  <si>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</si>
  <si>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</si>
  <si>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</si>
  <si>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</si>
  <si>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</si>
  <si>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</si>
  <si>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</si>
  <si>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</si>
  <si>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</si>
  <si>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</si>
  <si>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</si>
  <si>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</si>
  <si>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</si>
  <si>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</si>
  <si>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</si>
  <si>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</si>
  <si>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</si>
  <si>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</si>
  <si>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</si>
  <si>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</si>
  <si>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</si>
  <si>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</si>
  <si>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</si>
  <si>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</si>
  <si>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</si>
  <si>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</si>
  <si>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</si>
  <si>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</si>
  <si>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</si>
  <si>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</si>
  <si>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</si>
  <si>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</si>
  <si>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</si>
  <si>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</si>
  <si>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</si>
  <si>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</si>
  <si>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</si>
  <si>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</si>
  <si>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</si>
  <si>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</si>
  <si>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</si>
  <si>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</si>
  <si>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</si>
  <si>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</si>
  <si>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</si>
  <si>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</si>
  <si>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</si>
  <si>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</si>
  <si>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</si>
  <si>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</si>
  <si>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</si>
  <si>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</si>
  <si>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</si>
  <si>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</si>
  <si>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</si>
  <si>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</si>
  <si>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</si>
  <si>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</si>
  <si>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</si>
  <si>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</si>
  <si>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</si>
  <si>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</si>
  <si>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</si>
  <si>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</si>
  <si>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</si>
  <si>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</si>
  <si>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</si>
  <si>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</si>
  <si>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</si>
  <si>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</si>
  <si>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</si>
  <si>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</si>
  <si>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</si>
  <si>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</si>
  <si>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</si>
  <si>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</si>
  <si>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</si>
  <si>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</si>
  <si>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</si>
  <si>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</si>
  <si>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</si>
  <si>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</si>
  <si>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</si>
  <si>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</si>
  <si>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</si>
  <si>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</si>
  <si>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</si>
  <si>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</si>
  <si>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</si>
  <si>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</si>
  <si>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</si>
  <si>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</si>
  <si>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</si>
  <si>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</si>
  <si>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</si>
  <si>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</si>
  <si>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</si>
  <si>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</si>
  <si>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</si>
  <si>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</si>
  <si>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</si>
  <si>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</si>
  <si>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</si>
  <si>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</si>
  <si>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</si>
  <si>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</si>
  <si>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</si>
  <si>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</si>
  <si>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</si>
  <si>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</si>
  <si>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</si>
  <si>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</si>
  <si>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</si>
  <si>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</si>
  <si>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</si>
  <si>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</si>
  <si>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</si>
  <si>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</si>
  <si>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</si>
  <si>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</si>
  <si>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</si>
  <si>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</si>
  <si>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</si>
  <si>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</si>
  <si>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</si>
  <si>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</si>
  <si>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</si>
  <si>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</si>
  <si>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</si>
  <si>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</si>
  <si>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</si>
  <si>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</si>
  <si>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</si>
  <si>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</si>
  <si>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</si>
  <si>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</si>
  <si>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</si>
  <si>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</si>
  <si>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</si>
  <si>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</si>
  <si>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</si>
  <si>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</si>
  <si>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</si>
  <si>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</si>
  <si>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</si>
  <si>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</si>
  <si>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</si>
  <si>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</si>
  <si>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</si>
  <si>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</si>
  <si>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</si>
  <si>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</si>
  <si>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</si>
  <si>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</si>
  <si>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</si>
  <si>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</si>
  <si>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</si>
  <si>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</si>
  <si>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</si>
  <si>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</si>
  <si>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</si>
  <si>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</si>
  <si>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</si>
  <si>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</si>
  <si>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</si>
  <si>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</si>
  <si>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</si>
  <si>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</si>
  <si>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</si>
  <si>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</si>
  <si>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</si>
  <si>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</si>
  <si>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</si>
  <si>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</si>
  <si>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</si>
  <si>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</si>
  <si>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</si>
  <si>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</si>
  <si>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</si>
  <si>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</si>
  <si>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</si>
  <si>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</si>
  <si>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</si>
  <si>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</si>
  <si>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</si>
  <si>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</si>
  <si>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</si>
  <si>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</si>
  <si>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</si>
  <si>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</si>
  <si>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</si>
  <si>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</si>
  <si>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</si>
  <si>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</si>
  <si>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</si>
  <si>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</si>
  <si>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</si>
  <si>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</si>
  <si>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</si>
  <si>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</si>
  <si>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</si>
  <si>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</si>
  <si>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</si>
  <si>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</si>
  <si>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</si>
  <si>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</si>
  <si>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</si>
  <si>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</si>
  <si>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</si>
  <si>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</si>
  <si>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</si>
  <si>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</si>
  <si>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</si>
  <si>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</si>
  <si>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</si>
  <si>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</si>
  <si>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</si>
  <si>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</si>
  <si>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</si>
  <si>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</si>
  <si>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</si>
  <si>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</si>
  <si>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</si>
  <si>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</si>
  <si>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</si>
  <si>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</si>
  <si>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</si>
  <si>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</si>
  <si>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</si>
  <si>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</si>
  <si>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</si>
  <si>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</si>
  <si>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</si>
  <si>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</si>
  <si>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</si>
  <si>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</si>
  <si>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</si>
  <si>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</si>
  <si>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</si>
  <si>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</si>
  <si>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</si>
  <si>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</si>
  <si>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</si>
  <si>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</si>
  <si>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</si>
  <si>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</si>
  <si>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</si>
  <si>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</si>
  <si>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</si>
  <si>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</si>
  <si>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</si>
  <si>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</si>
  <si>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</si>
  <si>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</si>
  <si>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</si>
  <si>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</si>
  <si>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</si>
  <si>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</si>
  <si>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</si>
  <si>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</si>
  <si>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</si>
  <si>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</si>
  <si>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</si>
  <si>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</si>
  <si>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</si>
  <si>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</si>
  <si>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</si>
  <si>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</si>
  <si>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</si>
  <si>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</si>
  <si>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</si>
  <si>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</si>
  <si>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</si>
  <si>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</si>
  <si>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</si>
  <si>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</si>
  <si>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</si>
  <si>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</si>
  <si>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</si>
  <si>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</si>
  <si>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</si>
  <si>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</si>
  <si>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</si>
  <si>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</si>
  <si>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</si>
  <si>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</si>
  <si>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</si>
  <si>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</si>
  <si>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</si>
  <si>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</si>
  <si>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</si>
  <si>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</si>
  <si>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</si>
  <si>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</si>
  <si>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</si>
  <si>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</si>
  <si>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</si>
  <si>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</si>
  <si>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</si>
  <si>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</si>
  <si>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</si>
  <si>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</si>
  <si>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</si>
  <si>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</si>
  <si>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</si>
  <si>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</si>
  <si>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</si>
  <si>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</si>
  <si>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</si>
  <si>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</si>
  <si>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</si>
  <si>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</si>
  <si>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</si>
  <si>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</si>
  <si>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</si>
  <si>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</si>
  <si>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</si>
  <si>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</si>
  <si>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</si>
  <si>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</si>
  <si>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</si>
  <si>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</si>
  <si>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</si>
  <si>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</si>
  <si>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</si>
  <si>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</si>
  <si>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</si>
  <si>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</si>
  <si>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</si>
  <si>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</si>
  <si>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</si>
  <si>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</si>
  <si>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</si>
  <si>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</si>
  <si>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</si>
  <si>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</si>
  <si>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</si>
  <si>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</si>
  <si>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</si>
  <si>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</si>
  <si>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</si>
  <si>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</si>
  <si>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</si>
  <si>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</si>
  <si>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</si>
  <si>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</si>
  <si>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</si>
  <si>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</si>
  <si>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</si>
  <si>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</si>
  <si>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</si>
  <si>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</si>
  <si>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</si>
  <si>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</si>
  <si>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</si>
  <si>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</si>
  <si>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</si>
  <si>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</si>
  <si>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</si>
  <si>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</si>
  <si>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</si>
  <si>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</si>
  <si>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</si>
  <si>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</si>
  <si>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</si>
  <si>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</si>
  <si>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</si>
  <si>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</si>
  <si>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</si>
  <si>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</si>
  <si>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</si>
  <si>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</si>
  <si>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</si>
  <si>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</si>
  <si>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</si>
  <si>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</si>
  <si>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</si>
  <si>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</si>
  <si>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</si>
  <si>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</si>
  <si>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</si>
  <si>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</si>
  <si>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</si>
  <si>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</si>
  <si>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</si>
  <si>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</si>
  <si>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</si>
  <si>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</si>
  <si>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</si>
  <si>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</si>
  <si>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</si>
  <si>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</si>
  <si>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</si>
  <si>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</si>
  <si>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</si>
  <si>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</si>
  <si>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</si>
  <si>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</si>
  <si>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</si>
  <si>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</si>
  <si>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</si>
  <si>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</si>
  <si>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</si>
  <si>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</si>
  <si>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</si>
  <si>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</si>
  <si>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</si>
  <si>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</si>
  <si>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</si>
  <si>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</si>
  <si>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</si>
  <si>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</si>
  <si>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</si>
  <si>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</si>
  <si>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</si>
  <si>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</si>
  <si>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</si>
  <si>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</si>
  <si>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</si>
  <si>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</si>
  <si>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</si>
  <si>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</si>
  <si>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</si>
  <si>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</si>
  <si>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</si>
  <si>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</si>
  <si>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</si>
  <si>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</si>
  <si>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</si>
  <si>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</si>
  <si>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</si>
  <si>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</si>
  <si>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</si>
  <si>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</si>
  <si>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</si>
  <si>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</si>
  <si>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</si>
  <si>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</si>
  <si>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</si>
  <si>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</si>
  <si>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</si>
  <si>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</si>
  <si>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</si>
  <si>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</si>
  <si>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</si>
  <si>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</si>
  <si>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</si>
  <si>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</si>
  <si>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</si>
  <si>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</si>
  <si>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</si>
  <si>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</si>
  <si>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</si>
  <si>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</si>
  <si>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</si>
  <si>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</si>
  <si>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</si>
  <si>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</si>
  <si>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</si>
  <si>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</si>
  <si>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</si>
  <si>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</si>
  <si>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</si>
  <si>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</si>
  <si>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</si>
  <si>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</si>
  <si>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</si>
  <si>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</si>
  <si>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</si>
  <si>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05-016-0280-02</t>
  </si>
  <si>
    <t>Lauterbach &amp; Amen, LLP</t>
  </si>
  <si>
    <t>Cook</t>
  </si>
  <si>
    <t>Matt Beran</t>
  </si>
  <si>
    <t>Northbrook SD 28</t>
  </si>
  <si>
    <t>668 N River Road</t>
  </si>
  <si>
    <t>1475 Maple Avenue</t>
  </si>
  <si>
    <t>Naperville</t>
  </si>
  <si>
    <t>IL</t>
  </si>
  <si>
    <t>Northbrook</t>
  </si>
  <si>
    <t>jdonato@northbrook28.net</t>
  </si>
  <si>
    <t>065-033233</t>
  </si>
  <si>
    <t>Larry Hewitt</t>
  </si>
  <si>
    <t>lhewitt@northbrook28.net</t>
  </si>
  <si>
    <t>N/A</t>
  </si>
  <si>
    <t>Northfield HS District 225 - World Language; Science</t>
  </si>
  <si>
    <t>Educational Benefit Cooperative Health &amp; Dental</t>
  </si>
  <si>
    <t>NSSED (Northern Suburban Special Education District)</t>
  </si>
  <si>
    <t>Northbrook Park District</t>
  </si>
  <si>
    <t>Suburban School Cooperative Insurance Pool</t>
  </si>
  <si>
    <t>PMA, ISDLAF and Northfield Township Treasurer</t>
  </si>
  <si>
    <t>Northfield HS District 225</t>
  </si>
  <si>
    <t>Northfield Township School Districts 27, 29, 30, 31, 34</t>
  </si>
  <si>
    <t>NSSED (Northern Suburban Special Education Districts), NSSEO</t>
  </si>
  <si>
    <t>US Communities, Northfield Township Districts 27, 30, 31</t>
  </si>
  <si>
    <t>Northfield Township Technology Consortium</t>
  </si>
  <si>
    <t>Northfield Township Districts 27, 30, 31 &amp; NSSED Special Ed Transportation</t>
  </si>
  <si>
    <t>Northbrook Park District joint use of facilities</t>
  </si>
  <si>
    <t>Northbrook Library, Northbrook Police Department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</si>
  <si>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</si>
  <si>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</si>
  <si>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</si>
  <si>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</si>
  <si>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</si>
  <si>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</si>
  <si>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</si>
  <si>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</si>
  <si>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</si>
  <si>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</si>
  <si>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</si>
  <si>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</si>
  <si>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</si>
  <si>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</si>
  <si>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</si>
  <si>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</si>
  <si>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</si>
  <si>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</si>
  <si>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</si>
  <si>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</si>
  <si>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</si>
  <si>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</si>
  <si>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</si>
  <si>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</si>
  <si>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</si>
  <si>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</si>
  <si>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</si>
  <si>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</si>
  <si>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</si>
  <si>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</si>
  <si>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ED-Instruction-Other Objects</t>
  </si>
  <si>
    <t>Laureate Day School</t>
  </si>
  <si>
    <t>Wediko-Remit</t>
  </si>
  <si>
    <t>ED-Direction of Business Support Services-Purchased Services</t>
  </si>
  <si>
    <t>Accident Fund</t>
  </si>
  <si>
    <t>O&amp;M-Operations &amp; Maintenance of Plant Services-Purchased Services</t>
  </si>
  <si>
    <t>Bertog Landscape Co.</t>
  </si>
  <si>
    <t>Call One</t>
  </si>
  <si>
    <t>ED-Instruction-Purchased Services</t>
  </si>
  <si>
    <t>Dinternet Consulting LLC</t>
  </si>
  <si>
    <t>Transportation-Pupil Transportation-Purchased Services</t>
  </si>
  <si>
    <t>First Student</t>
  </si>
  <si>
    <t>Groot Industries</t>
  </si>
  <si>
    <t>ED-General Administration Services-Purchased Services</t>
  </si>
  <si>
    <t>Hauser, Izzo, Petrarca, Gleason</t>
  </si>
  <si>
    <t>Himes, Petrarca &amp; Fester</t>
  </si>
  <si>
    <t>Hodges, Loizzi, Eisenhammer</t>
  </si>
  <si>
    <t>Imagetec LP</t>
  </si>
  <si>
    <t>Net56</t>
  </si>
  <si>
    <t>ED-Instructional Staff-Purchased Services</t>
  </si>
  <si>
    <t>NWEA</t>
  </si>
  <si>
    <t>ED-Food Services-Purchased Services</t>
  </si>
  <si>
    <t>Organic Life LLC</t>
  </si>
  <si>
    <t>PMA Leasing Inc</t>
  </si>
  <si>
    <t>Powerschool Group LLC</t>
  </si>
  <si>
    <t>Precision Control Systems Of</t>
  </si>
  <si>
    <t>Santucci Plumbing</t>
  </si>
  <si>
    <t>Septran Inc</t>
  </si>
  <si>
    <t>Suburban Sch. Coop Ins. Pool</t>
  </si>
  <si>
    <t>Triangle Mechanical Services</t>
  </si>
  <si>
    <t>United Dispatch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</si>
</sst>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7D55BB9A-F0B9-43A6-8EBA-E845812252F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C115" sqref="C11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8">
        <f>+'AFR20'!E4</f>
        <v>44119</v>
      </c>
      <c r="C1" s="2028"/>
      <c r="D1" s="2029"/>
      <c r="I1" s="2107" t="s">
        <v>402</v>
      </c>
      <c r="J1" s="2108"/>
      <c r="K1" s="2108"/>
      <c r="L1" s="2108"/>
      <c r="M1" s="2108"/>
      <c r="N1" s="2108"/>
      <c r="O1" s="2108"/>
      <c r="P1" s="2108"/>
      <c r="Q1" s="2108"/>
      <c r="R1" s="2108"/>
      <c r="S1" s="2108"/>
    </row>
    <row r="2" spans="1:32" ht="12" customHeight="1" x14ac:dyDescent="0.2">
      <c r="A2" s="1782" t="str">
        <f>"Due to ISBE on "</f>
        <v xml:space="preserve">Due to ISBE on </v>
      </c>
      <c r="B2" s="2030">
        <f>+'AFR20'!F4</f>
        <v>44151</v>
      </c>
      <c r="C2" s="2030"/>
      <c r="D2" s="2031"/>
      <c r="I2" s="2109" t="s">
        <v>2006</v>
      </c>
      <c r="J2" s="2108"/>
      <c r="K2" s="2108"/>
      <c r="L2" s="2108"/>
      <c r="M2" s="2108"/>
      <c r="N2" s="2108"/>
      <c r="O2" s="2108"/>
      <c r="P2" s="2108"/>
      <c r="Q2" s="2108"/>
      <c r="R2" s="2108"/>
      <c r="S2" s="2108"/>
    </row>
    <row r="3" spans="1:32" ht="12" customHeight="1" x14ac:dyDescent="0.2">
      <c r="A3" s="1785" t="str">
        <f>"SD/JA"&amp;MID('AFR20'!E2,3,2)</f>
        <v>SD/JA20</v>
      </c>
      <c r="B3" s="151"/>
      <c r="C3" s="151"/>
      <c r="D3" s="152"/>
      <c r="I3" s="2109" t="s">
        <v>52</v>
      </c>
      <c r="J3" s="2108"/>
      <c r="K3" s="2108"/>
      <c r="L3" s="2108"/>
      <c r="M3" s="2108"/>
      <c r="N3" s="2108"/>
      <c r="O3" s="2108"/>
      <c r="P3" s="2108"/>
      <c r="Q3" s="2108"/>
      <c r="R3" s="2108"/>
      <c r="S3" s="2108"/>
    </row>
    <row r="4" spans="1:32" ht="12" customHeight="1" x14ac:dyDescent="0.2">
      <c r="A4" s="37"/>
      <c r="I4" s="2109" t="s">
        <v>521</v>
      </c>
      <c r="J4" s="2108"/>
      <c r="K4" s="2108"/>
      <c r="L4" s="2108"/>
      <c r="M4" s="2108"/>
      <c r="N4" s="2108"/>
      <c r="O4" s="2108"/>
      <c r="P4" s="2108"/>
      <c r="Q4" s="2108"/>
      <c r="R4" s="2108"/>
      <c r="S4" s="2108"/>
    </row>
    <row r="5" spans="1:32" ht="14.1" customHeight="1" x14ac:dyDescent="0.2">
      <c r="B5" s="101" t="s">
        <v>2021</v>
      </c>
      <c r="C5" s="26" t="s">
        <v>904</v>
      </c>
      <c r="D5" s="81"/>
      <c r="E5" s="81"/>
      <c r="H5" s="38"/>
      <c r="I5" s="2116" t="s">
        <v>675</v>
      </c>
      <c r="J5" s="2061"/>
      <c r="K5" s="2061"/>
      <c r="L5" s="2061"/>
      <c r="M5" s="2061"/>
      <c r="N5" s="2061"/>
      <c r="O5" s="2061"/>
      <c r="P5" s="2061"/>
      <c r="Q5" s="2061"/>
      <c r="R5" s="2061"/>
      <c r="S5" s="2061"/>
      <c r="AF5" s="1778"/>
    </row>
    <row r="6" spans="1:32" ht="14.1" customHeight="1" x14ac:dyDescent="0.2">
      <c r="B6" s="101"/>
      <c r="C6" s="26" t="s">
        <v>905</v>
      </c>
      <c r="D6" s="81"/>
      <c r="E6" s="81"/>
      <c r="I6" s="2115" t="s">
        <v>877</v>
      </c>
      <c r="J6" s="2061"/>
      <c r="K6" s="2061"/>
      <c r="L6" s="2061"/>
      <c r="M6" s="2061"/>
      <c r="N6" s="2061"/>
      <c r="O6" s="2061"/>
      <c r="P6" s="2061"/>
      <c r="Q6" s="2061"/>
      <c r="R6" s="2061"/>
      <c r="S6" s="2061"/>
    </row>
    <row r="7" spans="1:32" ht="12.2" customHeight="1" x14ac:dyDescent="0.2">
      <c r="I7" s="2110" t="str">
        <f>"June 30, "&amp;'AFR20'!E2</f>
        <v>June 30, 2020</v>
      </c>
      <c r="J7" s="2111"/>
      <c r="K7" s="2111"/>
      <c r="L7" s="2111"/>
      <c r="M7" s="2111"/>
      <c r="N7" s="2111"/>
      <c r="O7" s="2111"/>
      <c r="P7" s="2111"/>
      <c r="Q7" s="2111"/>
      <c r="R7" s="2111"/>
      <c r="S7" s="21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2" t="s">
        <v>669</v>
      </c>
      <c r="J9" s="2113"/>
      <c r="K9" s="2113"/>
      <c r="L9" s="2113"/>
      <c r="M9" s="2113"/>
      <c r="N9" s="2113"/>
      <c r="O9" s="2113"/>
      <c r="P9" s="2113"/>
      <c r="Q9" s="2113"/>
      <c r="R9" s="2113"/>
      <c r="S9" s="2114"/>
      <c r="T9" s="2057" t="s">
        <v>530</v>
      </c>
      <c r="U9" s="2058"/>
      <c r="V9" s="2058"/>
      <c r="W9" s="2058"/>
      <c r="X9" s="2058"/>
      <c r="Y9" s="2058"/>
      <c r="Z9" s="2058"/>
      <c r="AA9" s="2059"/>
    </row>
    <row r="10" spans="1:32" ht="13.5" customHeight="1" x14ac:dyDescent="0.2">
      <c r="A10" s="2066" t="s">
        <v>670</v>
      </c>
      <c r="B10" s="2067"/>
      <c r="C10" s="2067"/>
      <c r="D10" s="2067"/>
      <c r="E10" s="2067"/>
      <c r="F10" s="2067"/>
      <c r="G10" s="2067"/>
      <c r="H10" s="2068"/>
      <c r="I10" s="29"/>
      <c r="J10" s="30"/>
      <c r="K10" s="28"/>
      <c r="R10" s="30"/>
      <c r="S10" s="30"/>
      <c r="T10" s="2060"/>
      <c r="U10" s="2061"/>
      <c r="V10" s="2061"/>
      <c r="W10" s="2061"/>
      <c r="X10" s="2061"/>
      <c r="Y10" s="2061"/>
      <c r="Z10" s="2061"/>
      <c r="AA10" s="2062"/>
    </row>
    <row r="11" spans="1:32" ht="14.25" customHeight="1" x14ac:dyDescent="0.2">
      <c r="A11" s="2069" t="s">
        <v>949</v>
      </c>
      <c r="B11" s="2070"/>
      <c r="C11" s="2070"/>
      <c r="D11" s="2070"/>
      <c r="E11" s="2070"/>
      <c r="F11" s="2070"/>
      <c r="G11" s="2070"/>
      <c r="H11" s="2071"/>
      <c r="I11" s="27"/>
      <c r="J11" s="71"/>
      <c r="K11" s="27"/>
      <c r="O11" s="144"/>
      <c r="P11" s="97" t="s">
        <v>199</v>
      </c>
      <c r="Q11" s="30"/>
      <c r="R11" s="28"/>
      <c r="S11" s="27"/>
      <c r="T11" s="2063"/>
      <c r="U11" s="2064"/>
      <c r="V11" s="2064"/>
      <c r="W11" s="2064"/>
      <c r="X11" s="2064"/>
      <c r="Y11" s="2064"/>
      <c r="Z11" s="2064"/>
      <c r="AA11" s="2065"/>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77" t="s">
        <v>2022</v>
      </c>
      <c r="B13" s="2078"/>
      <c r="C13" s="2078"/>
      <c r="D13" s="2078"/>
      <c r="E13" s="2078"/>
      <c r="F13" s="2078"/>
      <c r="G13" s="2078"/>
      <c r="H13" s="2079"/>
      <c r="I13" s="31"/>
      <c r="J13" s="30"/>
      <c r="K13" s="28"/>
      <c r="L13" s="30"/>
      <c r="M13" s="30"/>
      <c r="N13" s="30"/>
      <c r="O13" s="30"/>
      <c r="P13" s="30"/>
      <c r="Q13" s="30"/>
      <c r="R13" s="30"/>
      <c r="S13" s="30"/>
      <c r="T13" s="2082" t="s">
        <v>2023</v>
      </c>
      <c r="U13" s="2083"/>
      <c r="V13" s="2083"/>
      <c r="W13" s="2083"/>
      <c r="X13" s="2083"/>
      <c r="Y13" s="2084"/>
      <c r="Z13" s="2084"/>
      <c r="AA13" s="208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5" t="s">
        <v>2024</v>
      </c>
      <c r="B15" s="2080"/>
      <c r="C15" s="2080"/>
      <c r="D15" s="2080"/>
      <c r="E15" s="2080"/>
      <c r="F15" s="2080"/>
      <c r="G15" s="2080"/>
      <c r="H15" s="2081"/>
      <c r="T15" s="2043" t="s">
        <v>2025</v>
      </c>
      <c r="U15" s="2044"/>
      <c r="V15" s="2044"/>
      <c r="W15" s="2044"/>
      <c r="X15" s="2044"/>
      <c r="Y15" s="2086"/>
      <c r="Z15" s="2086"/>
      <c r="AA15" s="208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5" t="s">
        <v>2026</v>
      </c>
      <c r="B17" s="2105"/>
      <c r="C17" s="2105"/>
      <c r="D17" s="2105"/>
      <c r="E17" s="2105"/>
      <c r="F17" s="2105"/>
      <c r="G17" s="2105"/>
      <c r="H17" s="2106"/>
      <c r="T17" s="2092" t="s">
        <v>2027</v>
      </c>
      <c r="U17" s="2093"/>
      <c r="V17" s="2093"/>
      <c r="W17" s="2093"/>
      <c r="X17" s="2093"/>
      <c r="Y17" s="2093"/>
      <c r="Z17" s="2093"/>
      <c r="AA17" s="2094"/>
    </row>
    <row r="18" spans="1:27" ht="13.5" customHeight="1" x14ac:dyDescent="0.2">
      <c r="A18" s="82" t="s">
        <v>527</v>
      </c>
      <c r="B18" s="73"/>
      <c r="C18" s="69"/>
      <c r="D18" s="73"/>
      <c r="E18" s="73"/>
      <c r="F18" s="73"/>
      <c r="G18" s="73"/>
      <c r="H18" s="53"/>
      <c r="I18" s="2102" t="s">
        <v>671</v>
      </c>
      <c r="J18" s="2103"/>
      <c r="K18" s="2103"/>
      <c r="L18" s="2103"/>
      <c r="M18" s="2103"/>
      <c r="N18" s="2103"/>
      <c r="O18" s="2103"/>
      <c r="P18" s="2103"/>
      <c r="Q18" s="2103"/>
      <c r="R18" s="2103"/>
      <c r="S18" s="2104"/>
      <c r="T18" s="82" t="s">
        <v>706</v>
      </c>
      <c r="U18" s="48"/>
      <c r="V18" s="69"/>
      <c r="W18" s="47"/>
      <c r="X18" s="82" t="s">
        <v>264</v>
      </c>
      <c r="Y18" s="78"/>
      <c r="Z18" s="154" t="s">
        <v>672</v>
      </c>
      <c r="AA18" s="44"/>
    </row>
    <row r="19" spans="1:27" ht="13.5" customHeight="1" x14ac:dyDescent="0.2">
      <c r="A19" s="2075" t="s">
        <v>2028</v>
      </c>
      <c r="B19" s="2076"/>
      <c r="C19" s="2076"/>
      <c r="D19" s="2076"/>
      <c r="E19" s="2076"/>
      <c r="F19" s="2076"/>
      <c r="G19" s="2076"/>
      <c r="H19" s="2074"/>
      <c r="I19" s="30"/>
      <c r="J19" s="96"/>
      <c r="K19" s="40"/>
      <c r="L19" s="38"/>
      <c r="M19" s="109" t="s">
        <v>312</v>
      </c>
      <c r="P19" s="27"/>
      <c r="Q19" s="27"/>
      <c r="R19" s="27"/>
      <c r="S19" s="31"/>
      <c r="T19" s="2075" t="s">
        <v>2029</v>
      </c>
      <c r="U19" s="2073"/>
      <c r="V19" s="2073"/>
      <c r="W19" s="2074"/>
      <c r="X19" s="2090" t="s">
        <v>2030</v>
      </c>
      <c r="Y19" s="2091"/>
      <c r="Z19" s="2088">
        <v>60563</v>
      </c>
      <c r="AA19" s="208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2" t="s">
        <v>2031</v>
      </c>
      <c r="B21" s="2073"/>
      <c r="C21" s="2073"/>
      <c r="D21" s="2073"/>
      <c r="E21" s="2073"/>
      <c r="F21" s="2073"/>
      <c r="G21" s="2073"/>
      <c r="H21" s="2074"/>
      <c r="I21" s="2098" t="s">
        <v>673</v>
      </c>
      <c r="J21" s="2061"/>
      <c r="K21" s="2061"/>
      <c r="L21" s="2061"/>
      <c r="M21" s="2061"/>
      <c r="N21" s="2061"/>
      <c r="O21" s="2061"/>
      <c r="P21" s="2061"/>
      <c r="Q21" s="2061"/>
      <c r="R21" s="2061"/>
      <c r="S21" s="2062"/>
      <c r="T21" s="2040">
        <v>6303931483</v>
      </c>
      <c r="U21" s="2041"/>
      <c r="V21" s="2041"/>
      <c r="W21" s="2041"/>
      <c r="X21" s="2054">
        <v>6303932516</v>
      </c>
      <c r="Y21" s="2055"/>
      <c r="Z21" s="2055"/>
      <c r="AA21" s="2056"/>
    </row>
    <row r="22" spans="1:27" ht="13.5" customHeight="1" x14ac:dyDescent="0.2">
      <c r="A22" s="84" t="s">
        <v>528</v>
      </c>
      <c r="B22" s="56"/>
      <c r="C22" s="56"/>
      <c r="D22" s="56"/>
      <c r="E22" s="56"/>
      <c r="F22" s="56"/>
      <c r="G22" s="56"/>
      <c r="H22" s="57"/>
      <c r="I22" s="2099" t="s">
        <v>1415</v>
      </c>
      <c r="J22" s="2100"/>
      <c r="K22" s="2100"/>
      <c r="L22" s="2100"/>
      <c r="M22" s="2100"/>
      <c r="N22" s="2100"/>
      <c r="O22" s="2100"/>
      <c r="P22" s="2100"/>
      <c r="Q22" s="2100"/>
      <c r="R22" s="2100"/>
      <c r="S22" s="2101"/>
      <c r="T22" s="82" t="s">
        <v>1502</v>
      </c>
      <c r="U22" s="48"/>
      <c r="V22" s="69"/>
      <c r="W22" s="48"/>
      <c r="X22" s="155" t="s">
        <v>1309</v>
      </c>
      <c r="Z22" s="43"/>
      <c r="AA22" s="44"/>
    </row>
    <row r="23" spans="1:27" ht="13.5" customHeight="1" x14ac:dyDescent="0.2">
      <c r="A23" s="2095" t="s">
        <v>2032</v>
      </c>
      <c r="B23" s="2096"/>
      <c r="C23" s="2096"/>
      <c r="D23" s="2096"/>
      <c r="E23" s="2096"/>
      <c r="F23" s="2096"/>
      <c r="G23" s="2096"/>
      <c r="H23" s="2097"/>
      <c r="T23" s="2035" t="s">
        <v>2033</v>
      </c>
      <c r="U23" s="2036"/>
      <c r="V23" s="2036"/>
      <c r="W23" s="2036"/>
      <c r="X23" s="2051">
        <v>44469</v>
      </c>
      <c r="Y23" s="2052"/>
      <c r="Z23" s="2052"/>
      <c r="AA23" s="2053"/>
    </row>
    <row r="24" spans="1:27" ht="14.1" customHeight="1" x14ac:dyDescent="0.2">
      <c r="A24" s="85" t="s">
        <v>672</v>
      </c>
      <c r="B24" s="46"/>
      <c r="C24" s="46"/>
      <c r="D24" s="46"/>
      <c r="E24" s="46"/>
      <c r="F24" s="46"/>
      <c r="G24" s="46"/>
      <c r="H24" s="58"/>
      <c r="J24" s="2137" t="e">
        <f>IF(B5="x",IF(#REF!="AFR form Incomplete.","",IF(#REF!="Deficit reduction plan is required.","School District must complete a deficit reduction plan in the 2019-2020 Budget",)),"")</f>
        <v>#REF!</v>
      </c>
      <c r="K24" s="2137"/>
      <c r="L24" s="2137"/>
      <c r="M24" s="2137"/>
      <c r="N24" s="2137"/>
      <c r="O24" s="2137"/>
      <c r="P24" s="2137"/>
      <c r="Q24" s="2137"/>
      <c r="R24" s="2137"/>
      <c r="S24" s="2138"/>
      <c r="T24" s="102" t="s">
        <v>528</v>
      </c>
      <c r="U24" s="103"/>
      <c r="V24" s="103"/>
      <c r="W24" s="103"/>
      <c r="X24" s="104"/>
      <c r="Y24" s="104"/>
      <c r="Z24" s="104"/>
      <c r="AA24" s="105"/>
    </row>
    <row r="25" spans="1:27" ht="14.1" customHeight="1" x14ac:dyDescent="0.2">
      <c r="A25" s="2072">
        <v>60062</v>
      </c>
      <c r="B25" s="2073"/>
      <c r="C25" s="2073"/>
      <c r="D25" s="2073"/>
      <c r="E25" s="2073"/>
      <c r="F25" s="2073"/>
      <c r="G25" s="2073"/>
      <c r="H25" s="2074"/>
      <c r="I25" s="110"/>
      <c r="J25" s="2139"/>
      <c r="K25" s="2139"/>
      <c r="L25" s="2139"/>
      <c r="M25" s="2139"/>
      <c r="N25" s="2139"/>
      <c r="O25" s="2139"/>
      <c r="P25" s="2139"/>
      <c r="Q25" s="2139"/>
      <c r="R25" s="2139"/>
      <c r="S25" s="2140"/>
      <c r="T25" s="2032"/>
      <c r="U25" s="2033"/>
      <c r="V25" s="2033"/>
      <c r="W25" s="2033"/>
      <c r="X25" s="2033"/>
      <c r="Y25" s="2033"/>
      <c r="Z25" s="2033"/>
      <c r="AA25" s="20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0" t="s">
        <v>1497</v>
      </c>
      <c r="J27" s="2103"/>
      <c r="K27" s="2103"/>
      <c r="L27" s="2103"/>
      <c r="M27" s="2103"/>
      <c r="N27" s="2103"/>
      <c r="O27" s="2103"/>
      <c r="P27" s="2103"/>
      <c r="Q27" s="2103"/>
      <c r="R27" s="2103"/>
      <c r="S27" s="210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6"/>
      <c r="Q35" s="2073"/>
      <c r="R35" s="207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5" t="s">
        <v>2034</v>
      </c>
      <c r="B38" s="2105"/>
      <c r="C38" s="2105"/>
      <c r="D38" s="2105"/>
      <c r="E38" s="2105"/>
      <c r="F38" s="2073"/>
      <c r="G38" s="2073"/>
      <c r="H38" s="2074"/>
      <c r="I38" s="2124"/>
      <c r="J38" s="2044"/>
      <c r="K38" s="2044"/>
      <c r="L38" s="2044"/>
      <c r="M38" s="2044"/>
      <c r="N38" s="2044"/>
      <c r="O38" s="2044"/>
      <c r="P38" s="2045"/>
      <c r="Q38" s="2045"/>
      <c r="R38" s="2045"/>
      <c r="S38" s="2046"/>
      <c r="T38" s="2043"/>
      <c r="U38" s="2044"/>
      <c r="V38" s="2044"/>
      <c r="W38" s="2044"/>
      <c r="X38" s="2045"/>
      <c r="Y38" s="2045"/>
      <c r="Z38" s="2045"/>
      <c r="AA38" s="2046"/>
    </row>
    <row r="39" spans="1:27" ht="12" customHeight="1" x14ac:dyDescent="0.2">
      <c r="A39" s="2128" t="s">
        <v>528</v>
      </c>
      <c r="B39" s="2129"/>
      <c r="C39" s="69"/>
      <c r="D39" s="66"/>
      <c r="E39" s="66"/>
      <c r="F39" s="76"/>
      <c r="G39" s="66"/>
      <c r="H39" s="53"/>
      <c r="I39" s="2128" t="s">
        <v>528</v>
      </c>
      <c r="J39" s="2129"/>
      <c r="K39" s="2129"/>
      <c r="L39" s="2129"/>
      <c r="M39" s="2129"/>
      <c r="N39" s="64"/>
      <c r="O39" s="69"/>
      <c r="P39" s="69"/>
      <c r="Q39" s="75"/>
      <c r="R39" s="69"/>
      <c r="S39" s="53"/>
      <c r="T39" s="69" t="s">
        <v>528</v>
      </c>
      <c r="U39" s="48"/>
      <c r="V39" s="69"/>
      <c r="W39" s="47"/>
      <c r="X39" s="75"/>
      <c r="Y39" s="43"/>
      <c r="Z39" s="43"/>
      <c r="AA39" s="44"/>
    </row>
    <row r="40" spans="1:27" ht="13.5" customHeight="1" x14ac:dyDescent="0.2">
      <c r="A40" s="2131" t="s">
        <v>2035</v>
      </c>
      <c r="B40" s="2132"/>
      <c r="C40" s="2133"/>
      <c r="D40" s="2133"/>
      <c r="E40" s="2133"/>
      <c r="F40" s="2134"/>
      <c r="G40" s="2134"/>
      <c r="H40" s="2135"/>
      <c r="I40" s="2047"/>
      <c r="J40" s="2049"/>
      <c r="K40" s="2049"/>
      <c r="L40" s="2049"/>
      <c r="M40" s="2049"/>
      <c r="N40" s="2049"/>
      <c r="O40" s="2049"/>
      <c r="P40" s="2049"/>
      <c r="Q40" s="2049"/>
      <c r="R40" s="2049"/>
      <c r="S40" s="2050"/>
      <c r="T40" s="2047"/>
      <c r="U40" s="2048"/>
      <c r="V40" s="2049"/>
      <c r="W40" s="2049"/>
      <c r="X40" s="2049"/>
      <c r="Y40" s="2049"/>
      <c r="Z40" s="2049"/>
      <c r="AA40" s="205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1">
        <v>8475043401</v>
      </c>
      <c r="B42" s="2122"/>
      <c r="C42" s="2123"/>
      <c r="D42" s="2136"/>
      <c r="E42" s="2122"/>
      <c r="F42" s="2122"/>
      <c r="G42" s="2122"/>
      <c r="H42" s="2123"/>
      <c r="I42" s="2042"/>
      <c r="J42" s="2038"/>
      <c r="K42" s="2038"/>
      <c r="L42" s="2038"/>
      <c r="M42" s="2038"/>
      <c r="N42" s="2038"/>
      <c r="O42" s="2039"/>
      <c r="P42" s="2037"/>
      <c r="Q42" s="2038"/>
      <c r="R42" s="2038"/>
      <c r="S42" s="2039"/>
      <c r="T42" s="2042"/>
      <c r="U42" s="2038"/>
      <c r="V42" s="2038"/>
      <c r="W42" s="2039"/>
      <c r="X42" s="2037"/>
      <c r="Y42" s="2038"/>
      <c r="Z42" s="2038"/>
      <c r="AA42" s="203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5"/>
      <c r="B44" s="2126"/>
      <c r="C44" s="2126"/>
      <c r="D44" s="2126"/>
      <c r="E44" s="2126"/>
      <c r="F44" s="2126"/>
      <c r="G44" s="2126"/>
      <c r="H44" s="2127"/>
      <c r="I44" s="2117"/>
      <c r="J44" s="2119"/>
      <c r="K44" s="2119"/>
      <c r="L44" s="2119"/>
      <c r="M44" s="2119"/>
      <c r="N44" s="2119"/>
      <c r="O44" s="2119"/>
      <c r="P44" s="2119"/>
      <c r="Q44" s="2119"/>
      <c r="R44" s="2119"/>
      <c r="S44" s="2120"/>
      <c r="T44" s="2117"/>
      <c r="U44" s="2118"/>
      <c r="V44" s="2118"/>
      <c r="W44" s="2118"/>
      <c r="X44" s="2118"/>
      <c r="Y44" s="2118"/>
      <c r="Z44" s="2119"/>
      <c r="AA44" s="212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9"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80"/>
      <c r="B3" s="1245"/>
      <c r="C3" s="1246"/>
      <c r="D3" s="1247" t="s">
        <v>254</v>
      </c>
      <c r="E3" s="1246"/>
      <c r="F3" s="1247" t="s">
        <v>255</v>
      </c>
    </row>
    <row r="4" spans="1:8" ht="13.7" customHeight="1" x14ac:dyDescent="0.2">
      <c r="A4" s="579" t="s">
        <v>1147</v>
      </c>
      <c r="B4" s="1672">
        <f>'Revenues 9-14'!C5</f>
        <v>29435889</v>
      </c>
      <c r="C4" s="1673">
        <v>15652980</v>
      </c>
      <c r="D4" s="1674">
        <f>B4-C4</f>
        <v>13782909</v>
      </c>
      <c r="E4" s="1673">
        <v>32028366</v>
      </c>
      <c r="F4" s="1674">
        <f>E4-C4</f>
        <v>16375386</v>
      </c>
    </row>
    <row r="5" spans="1:8" ht="13.7" customHeight="1" x14ac:dyDescent="0.2">
      <c r="A5" s="579" t="s">
        <v>865</v>
      </c>
      <c r="B5" s="1675">
        <f>'Revenues 9-14'!D5</f>
        <v>2622854</v>
      </c>
      <c r="C5" s="1615">
        <v>1392859</v>
      </c>
      <c r="D5" s="1676">
        <f t="shared" ref="D5:D18" si="0">B5-C5</f>
        <v>1229995</v>
      </c>
      <c r="E5" s="1615">
        <v>2850000</v>
      </c>
      <c r="F5" s="1676">
        <f>E5-C5</f>
        <v>1457141</v>
      </c>
    </row>
    <row r="6" spans="1:8" ht="13.7" customHeight="1" x14ac:dyDescent="0.2">
      <c r="A6" s="579" t="s">
        <v>408</v>
      </c>
      <c r="B6" s="1675">
        <f>'Revenues 9-14'!E5</f>
        <v>0</v>
      </c>
      <c r="C6" s="1615"/>
      <c r="D6" s="1676">
        <f t="shared" si="0"/>
        <v>0</v>
      </c>
      <c r="E6" s="1615"/>
      <c r="F6" s="1676">
        <f t="shared" ref="F6:F18" si="1">E6-C6</f>
        <v>0</v>
      </c>
    </row>
    <row r="7" spans="1:8" ht="13.7" customHeight="1" x14ac:dyDescent="0.2">
      <c r="A7" s="579" t="s">
        <v>154</v>
      </c>
      <c r="B7" s="1675">
        <f>'Revenues 9-14'!F5</f>
        <v>833512</v>
      </c>
      <c r="C7" s="1615">
        <v>489113</v>
      </c>
      <c r="D7" s="1676">
        <f t="shared" si="0"/>
        <v>344399</v>
      </c>
      <c r="E7" s="1615">
        <v>1000800</v>
      </c>
      <c r="F7" s="1676">
        <f t="shared" si="1"/>
        <v>511687</v>
      </c>
    </row>
    <row r="8" spans="1:8" ht="13.7" customHeight="1" x14ac:dyDescent="0.2">
      <c r="A8" s="579" t="s">
        <v>1171</v>
      </c>
      <c r="B8" s="1675">
        <f>'Revenues 9-14'!G5</f>
        <v>570393</v>
      </c>
      <c r="C8" s="1615">
        <v>302030</v>
      </c>
      <c r="D8" s="1676">
        <f t="shared" si="0"/>
        <v>268363</v>
      </c>
      <c r="E8" s="1615">
        <v>618000</v>
      </c>
      <c r="F8" s="1676">
        <f t="shared" si="1"/>
        <v>315970</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0</v>
      </c>
      <c r="C10" s="1615"/>
      <c r="D10" s="1676">
        <f t="shared" si="0"/>
        <v>0</v>
      </c>
      <c r="E10" s="1615"/>
      <c r="F10" s="1676">
        <f t="shared" si="1"/>
        <v>0</v>
      </c>
    </row>
    <row r="11" spans="1:8" x14ac:dyDescent="0.2">
      <c r="A11" s="579" t="s">
        <v>406</v>
      </c>
      <c r="B11" s="1675">
        <f>'Revenues 9-14'!J5</f>
        <v>0</v>
      </c>
      <c r="C11" s="1615"/>
      <c r="D11" s="1676">
        <f t="shared" si="0"/>
        <v>0</v>
      </c>
      <c r="E11" s="1615"/>
      <c r="F11" s="1676">
        <f t="shared" si="1"/>
        <v>0</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0</v>
      </c>
      <c r="C14" s="1615"/>
      <c r="D14" s="1676">
        <f t="shared" si="0"/>
        <v>0</v>
      </c>
      <c r="E14" s="1615"/>
      <c r="F14" s="1676">
        <f t="shared" si="1"/>
        <v>0</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650930</v>
      </c>
      <c r="C16" s="1615">
        <v>344549</v>
      </c>
      <c r="D16" s="1676">
        <f t="shared" si="0"/>
        <v>306381</v>
      </c>
      <c r="E16" s="1615">
        <v>705000</v>
      </c>
      <c r="F16" s="1676">
        <f t="shared" si="1"/>
        <v>360451</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34113578</v>
      </c>
      <c r="C19" s="1677">
        <f>SUM(C4:C18)</f>
        <v>18181531</v>
      </c>
      <c r="D19" s="1677">
        <f>SUM(D4:D18)</f>
        <v>15932047</v>
      </c>
      <c r="E19" s="1677">
        <f>SUM(E4:E18)</f>
        <v>37202166</v>
      </c>
      <c r="F19" s="1677">
        <f>SUM(F4:F18)</f>
        <v>19020635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51" sqref="J5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5" t="s">
        <v>625</v>
      </c>
      <c r="B1" s="2286"/>
      <c r="C1" s="585"/>
    </row>
    <row r="2" spans="1:7" ht="33.75" x14ac:dyDescent="0.2">
      <c r="A2" s="2294" t="s">
        <v>1782</v>
      </c>
      <c r="B2" s="2295"/>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298" t="s">
        <v>1106</v>
      </c>
      <c r="B3" s="2299"/>
      <c r="C3" s="2287"/>
      <c r="D3" s="2288"/>
      <c r="E3" s="2288"/>
      <c r="F3" s="2289"/>
    </row>
    <row r="4" spans="1:7" ht="12.75" customHeight="1" thickBot="1" x14ac:dyDescent="0.25">
      <c r="A4" s="2296" t="s">
        <v>626</v>
      </c>
      <c r="B4" s="2297"/>
      <c r="C4" s="1607"/>
      <c r="D4" s="1607"/>
      <c r="E4" s="1607"/>
      <c r="F4" s="1683">
        <f>SUM(C4+D4)-E4</f>
        <v>0</v>
      </c>
    </row>
    <row r="5" spans="1:7" ht="15.75" customHeight="1" thickTop="1" x14ac:dyDescent="0.2">
      <c r="A5" s="2281" t="s">
        <v>1103</v>
      </c>
      <c r="B5" s="2282"/>
      <c r="C5" s="2290"/>
      <c r="D5" s="2291"/>
      <c r="E5" s="2291"/>
      <c r="F5" s="2292"/>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83" t="s">
        <v>627</v>
      </c>
      <c r="B15" s="2284"/>
      <c r="C15" s="1683">
        <f>SUM(C6:C14)</f>
        <v>0</v>
      </c>
      <c r="D15" s="1683">
        <f>SUM(D6:D14)</f>
        <v>0</v>
      </c>
      <c r="E15" s="1683">
        <f>SUM(E6:E14)</f>
        <v>0</v>
      </c>
      <c r="F15" s="1683">
        <f>SUM(F6:F14)</f>
        <v>0</v>
      </c>
      <c r="G15" s="473"/>
    </row>
    <row r="16" spans="1:7" s="197" customFormat="1" ht="15.75" customHeight="1" thickTop="1" x14ac:dyDescent="0.2">
      <c r="A16" s="2293" t="s">
        <v>1104</v>
      </c>
      <c r="B16" s="2282"/>
      <c r="C16" s="2290"/>
      <c r="D16" s="2291"/>
      <c r="E16" s="2291"/>
      <c r="F16" s="2292"/>
    </row>
    <row r="17" spans="1:11" ht="12.75" customHeight="1" thickBot="1" x14ac:dyDescent="0.25">
      <c r="A17" s="2306" t="s">
        <v>64</v>
      </c>
      <c r="B17" s="2307"/>
      <c r="C17" s="1684"/>
      <c r="D17" s="1615"/>
      <c r="E17" s="1684"/>
      <c r="F17" s="1683">
        <f>SUM(C17+D17)-E17</f>
        <v>0</v>
      </c>
    </row>
    <row r="18" spans="1:11" ht="12.75" customHeight="1" thickTop="1" thickBot="1" x14ac:dyDescent="0.25">
      <c r="A18" s="2306" t="s">
        <v>6</v>
      </c>
      <c r="B18" s="2307"/>
      <c r="C18" s="1684"/>
      <c r="D18" s="1615"/>
      <c r="E18" s="1684"/>
      <c r="F18" s="1683">
        <f>SUM(C18+D18)-E18</f>
        <v>0</v>
      </c>
    </row>
    <row r="19" spans="1:11" ht="12.75" customHeight="1" thickTop="1" thickBot="1" x14ac:dyDescent="0.25">
      <c r="A19" s="2306" t="s">
        <v>385</v>
      </c>
      <c r="B19" s="2307"/>
      <c r="C19" s="1684"/>
      <c r="D19" s="1615"/>
      <c r="E19" s="1684"/>
      <c r="F19" s="1683">
        <f>SUM(C19+D19)-E19</f>
        <v>0</v>
      </c>
    </row>
    <row r="20" spans="1:11" ht="12.75" customHeight="1" thickTop="1" thickBot="1" x14ac:dyDescent="0.25">
      <c r="A20" s="2306" t="s">
        <v>445</v>
      </c>
      <c r="B20" s="2307"/>
      <c r="C20" s="1684"/>
      <c r="D20" s="1615"/>
      <c r="E20" s="1684"/>
      <c r="F20" s="1683">
        <f>SUM(C20+D20)-E20</f>
        <v>0</v>
      </c>
    </row>
    <row r="21" spans="1:11" ht="14.25" thickTop="1" thickBot="1" x14ac:dyDescent="0.25">
      <c r="A21" s="2283" t="s">
        <v>628</v>
      </c>
      <c r="B21" s="2284"/>
      <c r="C21" s="1683">
        <f>SUM(C17:C20)</f>
        <v>0</v>
      </c>
      <c r="D21" s="1683">
        <f>SUM(D17:D20)</f>
        <v>0</v>
      </c>
      <c r="E21" s="1683">
        <f>SUM(E17:E20)</f>
        <v>0</v>
      </c>
      <c r="F21" s="1683">
        <f>SUM(F17:F20)</f>
        <v>0</v>
      </c>
      <c r="G21" s="473"/>
    </row>
    <row r="22" spans="1:11" ht="15.75" customHeight="1" thickTop="1" x14ac:dyDescent="0.2">
      <c r="A22" s="2308" t="s">
        <v>1105</v>
      </c>
      <c r="B22" s="2282"/>
      <c r="C22" s="2290"/>
      <c r="D22" s="2291"/>
      <c r="E22" s="2291"/>
      <c r="F22" s="2292"/>
    </row>
    <row r="23" spans="1:11" ht="13.5" thickBot="1" x14ac:dyDescent="0.25">
      <c r="A23" s="2296" t="s">
        <v>629</v>
      </c>
      <c r="B23" s="2297"/>
      <c r="C23" s="1607"/>
      <c r="D23" s="1607"/>
      <c r="E23" s="1607"/>
      <c r="F23" s="1683">
        <f>SUM(C23+D23)-E23</f>
        <v>0</v>
      </c>
      <c r="G23" s="473"/>
    </row>
    <row r="24" spans="1:11" ht="15.75" customHeight="1" thickTop="1" x14ac:dyDescent="0.2">
      <c r="A24" s="2308" t="s">
        <v>2009</v>
      </c>
      <c r="B24" s="2282"/>
      <c r="C24" s="2290"/>
      <c r="D24" s="2291"/>
      <c r="E24" s="2291"/>
      <c r="F24" s="2292"/>
    </row>
    <row r="25" spans="1:11" ht="13.5" thickBot="1" x14ac:dyDescent="0.25">
      <c r="A25" s="2296" t="s">
        <v>2010</v>
      </c>
      <c r="B25" s="2297"/>
      <c r="C25" s="1607"/>
      <c r="D25" s="1607"/>
      <c r="E25" s="1607"/>
      <c r="F25" s="1683">
        <f>SUM(C25+D25)-E25</f>
        <v>0</v>
      </c>
      <c r="G25" s="473"/>
    </row>
    <row r="26" spans="1:11" ht="15.75" customHeight="1" thickTop="1" x14ac:dyDescent="0.2">
      <c r="A26" s="2281" t="s">
        <v>652</v>
      </c>
      <c r="B26" s="2282"/>
      <c r="C26" s="589"/>
      <c r="D26" s="589"/>
      <c r="E26" s="589"/>
      <c r="F26" s="590"/>
    </row>
    <row r="27" spans="1:11" ht="13.5" thickBot="1" x14ac:dyDescent="0.25">
      <c r="A27" s="2283" t="s">
        <v>1063</v>
      </c>
      <c r="B27" s="2284"/>
      <c r="C27" s="1615"/>
      <c r="D27" s="1615"/>
      <c r="E27" s="1615"/>
      <c r="F27" s="1683">
        <f>SUM(C27+D27)-E27</f>
        <v>0</v>
      </c>
      <c r="G27" s="473"/>
    </row>
    <row r="28" spans="1:11" ht="7.5" customHeight="1" thickTop="1" x14ac:dyDescent="0.2">
      <c r="A28" s="489"/>
    </row>
    <row r="29" spans="1:11" ht="23.25" customHeight="1" x14ac:dyDescent="0.2">
      <c r="A29" s="2309" t="s">
        <v>578</v>
      </c>
      <c r="B29" s="2286"/>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c r="B31" s="595"/>
      <c r="C31" s="1685"/>
      <c r="D31" s="1686"/>
      <c r="E31" s="1685"/>
      <c r="F31" s="1685"/>
      <c r="G31" s="1685"/>
      <c r="H31" s="1685"/>
      <c r="I31" s="1687">
        <f>((E31+F31)-H31)+G31</f>
        <v>0</v>
      </c>
      <c r="J31" s="1685"/>
      <c r="K31" s="596"/>
    </row>
    <row r="32" spans="1:11" ht="12" customHeight="1" x14ac:dyDescent="0.2">
      <c r="A32" s="594"/>
      <c r="B32" s="595"/>
      <c r="C32" s="1685"/>
      <c r="D32" s="1686"/>
      <c r="E32" s="1685"/>
      <c r="F32" s="1685"/>
      <c r="G32" s="1685"/>
      <c r="H32" s="1685"/>
      <c r="I32" s="1687">
        <f>((E32+F32)-H32)+G32</f>
        <v>0</v>
      </c>
      <c r="J32" s="1685"/>
      <c r="K32" s="596"/>
    </row>
    <row r="33" spans="1:11" ht="12" customHeight="1" x14ac:dyDescent="0.2">
      <c r="A33" s="594"/>
      <c r="B33" s="595"/>
      <c r="C33" s="1685"/>
      <c r="D33" s="1686"/>
      <c r="E33" s="1685"/>
      <c r="F33" s="1685"/>
      <c r="G33" s="1685"/>
      <c r="H33" s="1685"/>
      <c r="I33" s="1687">
        <f t="shared" ref="I33:I48" si="1">((E33+F33)-H33)+G33</f>
        <v>0</v>
      </c>
      <c r="J33" s="1685"/>
      <c r="K33" s="596"/>
    </row>
    <row r="34" spans="1:11" ht="12" customHeight="1" x14ac:dyDescent="0.2">
      <c r="A34" s="594"/>
      <c r="B34" s="595"/>
      <c r="C34" s="1685"/>
      <c r="D34" s="1686"/>
      <c r="E34" s="1685"/>
      <c r="F34" s="1685"/>
      <c r="G34" s="1685"/>
      <c r="H34" s="1685"/>
      <c r="I34" s="1687">
        <f t="shared" si="1"/>
        <v>0</v>
      </c>
      <c r="J34" s="1685"/>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0</v>
      </c>
      <c r="D49" s="1693"/>
      <c r="E49" s="1687">
        <f t="shared" ref="E49:J49" si="2">SUM(E31:E48)</f>
        <v>0</v>
      </c>
      <c r="F49" s="1687">
        <f t="shared" si="2"/>
        <v>0</v>
      </c>
      <c r="G49" s="1687">
        <f t="shared" si="2"/>
        <v>0</v>
      </c>
      <c r="H49" s="1687">
        <f t="shared" si="2"/>
        <v>0</v>
      </c>
      <c r="I49" s="1687">
        <f t="shared" si="2"/>
        <v>0</v>
      </c>
      <c r="J49" s="1687">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6" t="s">
        <v>851</v>
      </c>
      <c r="B1" s="2337"/>
      <c r="C1" s="2337"/>
      <c r="D1" s="2337"/>
      <c r="E1" s="2337"/>
      <c r="F1" s="2337"/>
      <c r="G1" s="2338"/>
      <c r="H1" s="1249"/>
      <c r="I1" s="614"/>
      <c r="J1" s="400"/>
    </row>
    <row r="2" spans="1:11" ht="26.25" x14ac:dyDescent="0.2">
      <c r="A2" s="2313" t="s">
        <v>1661</v>
      </c>
      <c r="B2" s="2314"/>
      <c r="C2" s="2314"/>
      <c r="D2" s="2314"/>
      <c r="E2" s="2315"/>
      <c r="F2" s="615" t="s">
        <v>898</v>
      </c>
      <c r="G2" s="616" t="s">
        <v>1658</v>
      </c>
      <c r="H2" s="616" t="s">
        <v>407</v>
      </c>
      <c r="I2" s="616" t="s">
        <v>1150</v>
      </c>
      <c r="J2" s="616" t="s">
        <v>1792</v>
      </c>
      <c r="K2" s="616" t="s">
        <v>137</v>
      </c>
    </row>
    <row r="3" spans="1:11" x14ac:dyDescent="0.2">
      <c r="A3" s="2316" t="str">
        <f>"Cash Basis Fund Balance as of July 1, "&amp;'AFR20'!E2-1</f>
        <v>Cash Basis Fund Balance as of July 1, 2019</v>
      </c>
      <c r="B3" s="2317"/>
      <c r="C3" s="2317"/>
      <c r="D3" s="2317"/>
      <c r="E3" s="2318"/>
      <c r="F3" s="617"/>
      <c r="G3" s="1695"/>
      <c r="H3" s="1695"/>
      <c r="I3" s="1695"/>
      <c r="J3" s="1696"/>
      <c r="K3" s="1696"/>
    </row>
    <row r="4" spans="1:11" x14ac:dyDescent="0.2">
      <c r="A4" s="2319" t="s">
        <v>366</v>
      </c>
      <c r="B4" s="2320"/>
      <c r="C4" s="2320"/>
      <c r="D4" s="2320"/>
      <c r="E4" s="2301"/>
      <c r="F4" s="620"/>
      <c r="G4" s="1697"/>
      <c r="H4" s="1698"/>
      <c r="I4" s="1697"/>
      <c r="J4" s="1699"/>
      <c r="K4" s="1699"/>
    </row>
    <row r="5" spans="1:11" x14ac:dyDescent="0.2">
      <c r="A5" s="2339" t="s">
        <v>1062</v>
      </c>
      <c r="B5" s="2310"/>
      <c r="C5" s="2310"/>
      <c r="D5" s="2310"/>
      <c r="E5" s="2340"/>
      <c r="F5" s="622" t="s">
        <v>843</v>
      </c>
      <c r="G5" s="1700"/>
      <c r="H5" s="1695"/>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39" t="s">
        <v>1793</v>
      </c>
      <c r="B10" s="2310"/>
      <c r="C10" s="2310"/>
      <c r="D10" s="2310"/>
      <c r="E10" s="2341"/>
      <c r="F10" s="633" t="s">
        <v>857</v>
      </c>
      <c r="G10" s="1704"/>
      <c r="H10" s="1705"/>
      <c r="I10" s="1695"/>
      <c r="J10" s="1696"/>
      <c r="K10" s="1696"/>
    </row>
    <row r="11" spans="1:11" x14ac:dyDescent="0.2">
      <c r="A11" s="2339" t="s">
        <v>159</v>
      </c>
      <c r="B11" s="2310"/>
      <c r="C11" s="2310"/>
      <c r="D11" s="2310"/>
      <c r="E11" s="2340"/>
      <c r="F11" s="622" t="s">
        <v>847</v>
      </c>
      <c r="G11" s="1700"/>
      <c r="H11" s="1695"/>
      <c r="I11" s="1695"/>
      <c r="J11" s="1696"/>
      <c r="K11" s="1702"/>
    </row>
    <row r="12" spans="1:11" ht="13.5" thickBot="1" x14ac:dyDescent="0.25">
      <c r="A12" s="2327" t="s">
        <v>899</v>
      </c>
      <c r="B12" s="2328"/>
      <c r="C12" s="2328"/>
      <c r="D12" s="2328"/>
      <c r="E12" s="2329"/>
      <c r="F12" s="1384"/>
      <c r="G12" s="1706">
        <f>SUM(G5:G11)</f>
        <v>0</v>
      </c>
      <c r="H12" s="1706">
        <f>SUM(H5:H11)</f>
        <v>0</v>
      </c>
      <c r="I12" s="1706">
        <f>SUM(I5:I11)</f>
        <v>0</v>
      </c>
      <c r="J12" s="1706">
        <f>SUM(J5:J11)</f>
        <v>0</v>
      </c>
      <c r="K12" s="1706">
        <f>SUM(K5:K11)</f>
        <v>0</v>
      </c>
    </row>
    <row r="13" spans="1:11" ht="13.5" thickTop="1" x14ac:dyDescent="0.2">
      <c r="A13" s="2321" t="s">
        <v>367</v>
      </c>
      <c r="B13" s="2322"/>
      <c r="C13" s="2322"/>
      <c r="D13" s="2322"/>
      <c r="E13" s="2323"/>
      <c r="F13" s="634"/>
      <c r="G13" s="1707"/>
      <c r="H13" s="1708"/>
      <c r="I13" s="1709"/>
      <c r="J13" s="1709"/>
      <c r="K13" s="1709"/>
    </row>
    <row r="14" spans="1:11" x14ac:dyDescent="0.2">
      <c r="A14" s="2345" t="s">
        <v>453</v>
      </c>
      <c r="B14" s="2345"/>
      <c r="C14" s="2345"/>
      <c r="D14" s="2345"/>
      <c r="E14" s="2346"/>
      <c r="F14" s="635" t="s">
        <v>849</v>
      </c>
      <c r="G14" s="1704"/>
      <c r="H14" s="1695"/>
      <c r="I14" s="1700"/>
      <c r="J14" s="1702"/>
      <c r="K14" s="1696"/>
    </row>
    <row r="15" spans="1:11" x14ac:dyDescent="0.2">
      <c r="A15" s="2310" t="s">
        <v>4</v>
      </c>
      <c r="B15" s="2310"/>
      <c r="C15" s="2310"/>
      <c r="D15" s="2310"/>
      <c r="E15" s="2340"/>
      <c r="F15" s="635" t="s">
        <v>850</v>
      </c>
      <c r="G15" s="1700"/>
      <c r="H15" s="1695"/>
      <c r="I15" s="1695"/>
      <c r="J15" s="1696"/>
      <c r="K15" s="1696"/>
    </row>
    <row r="16" spans="1:11" x14ac:dyDescent="0.2">
      <c r="A16" s="2310" t="s">
        <v>295</v>
      </c>
      <c r="B16" s="2310"/>
      <c r="C16" s="2310"/>
      <c r="D16" s="2310"/>
      <c r="E16" s="2340"/>
      <c r="F16" s="635" t="s">
        <v>917</v>
      </c>
      <c r="G16" s="1701"/>
      <c r="H16" s="1697"/>
      <c r="I16" s="1697"/>
      <c r="J16" s="1699"/>
      <c r="K16" s="1699"/>
    </row>
    <row r="17" spans="1:15" x14ac:dyDescent="0.2">
      <c r="A17" s="2334" t="s">
        <v>929</v>
      </c>
      <c r="B17" s="2334"/>
      <c r="C17" s="2334"/>
      <c r="D17" s="2334"/>
      <c r="E17" s="2335"/>
      <c r="F17" s="636"/>
      <c r="G17" s="1710"/>
      <c r="H17" s="1711"/>
      <c r="I17" s="1711"/>
      <c r="J17" s="1712"/>
      <c r="K17" s="1713"/>
    </row>
    <row r="18" spans="1:15" x14ac:dyDescent="0.2">
      <c r="A18" s="2324" t="s">
        <v>365</v>
      </c>
      <c r="B18" s="2325"/>
      <c r="C18" s="2325"/>
      <c r="D18" s="2325"/>
      <c r="E18" s="2326"/>
      <c r="F18" s="635" t="s">
        <v>926</v>
      </c>
      <c r="G18" s="1704"/>
      <c r="H18" s="1704"/>
      <c r="I18" s="1704"/>
      <c r="J18" s="1696"/>
      <c r="K18" s="1714"/>
    </row>
    <row r="19" spans="1:15" ht="21.75" customHeight="1" x14ac:dyDescent="0.2">
      <c r="A19" s="2347" t="s">
        <v>1789</v>
      </c>
      <c r="B19" s="2347"/>
      <c r="C19" s="2347"/>
      <c r="D19" s="2347"/>
      <c r="E19" s="2348"/>
      <c r="F19" s="635" t="s">
        <v>927</v>
      </c>
      <c r="G19" s="1704"/>
      <c r="H19" s="1704"/>
      <c r="I19" s="1704"/>
      <c r="J19" s="1696"/>
      <c r="K19" s="1714"/>
    </row>
    <row r="20" spans="1:15" x14ac:dyDescent="0.2">
      <c r="A20" s="2324" t="s">
        <v>1794</v>
      </c>
      <c r="B20" s="2325"/>
      <c r="C20" s="2325"/>
      <c r="D20" s="2325"/>
      <c r="E20" s="2326"/>
      <c r="F20" s="635" t="s">
        <v>928</v>
      </c>
      <c r="G20" s="1704"/>
      <c r="H20" s="1704"/>
      <c r="I20" s="1704"/>
      <c r="J20" s="1696"/>
      <c r="K20" s="1714"/>
    </row>
    <row r="21" spans="1:15" ht="13.5" thickBot="1" x14ac:dyDescent="0.25">
      <c r="A21" s="2330" t="s">
        <v>633</v>
      </c>
      <c r="B21" s="2330"/>
      <c r="C21" s="2330"/>
      <c r="D21" s="2330"/>
      <c r="E21" s="2330"/>
      <c r="F21" s="1385"/>
      <c r="G21" s="1711"/>
      <c r="H21" s="1715"/>
      <c r="I21" s="1715"/>
      <c r="J21" s="1716">
        <f>SUM(J18:J20)</f>
        <v>0</v>
      </c>
      <c r="K21" s="1712"/>
    </row>
    <row r="22" spans="1:15" ht="13.5" thickTop="1" x14ac:dyDescent="0.2">
      <c r="A22" s="2310" t="s">
        <v>1795</v>
      </c>
      <c r="B22" s="2310"/>
      <c r="C22" s="2310"/>
      <c r="D22" s="2310"/>
      <c r="E22" s="2340"/>
      <c r="F22" s="635" t="s">
        <v>857</v>
      </c>
      <c r="G22" s="1704"/>
      <c r="H22" s="1695"/>
      <c r="I22" s="1695"/>
      <c r="J22" s="1717"/>
      <c r="K22" s="1696"/>
    </row>
    <row r="23" spans="1:15" ht="13.5" thickBot="1" x14ac:dyDescent="0.25">
      <c r="A23" s="2331" t="s">
        <v>900</v>
      </c>
      <c r="B23" s="2330"/>
      <c r="C23" s="2330"/>
      <c r="D23" s="2330"/>
      <c r="E23" s="2330"/>
      <c r="F23" s="1387"/>
      <c r="G23" s="1706">
        <f>SUM(G14:G16,G21,G22)</f>
        <v>0</v>
      </c>
      <c r="H23" s="1706">
        <f>SUM(H14:H16,H21,H22)</f>
        <v>0</v>
      </c>
      <c r="I23" s="1706">
        <f>SUM(I14:I16,I21,I22)</f>
        <v>0</v>
      </c>
      <c r="J23" s="1706">
        <f>SUM(J14:J16,J21,J22)</f>
        <v>0</v>
      </c>
      <c r="K23" s="1706">
        <f>SUM(K14:K16,K21,K22)</f>
        <v>0</v>
      </c>
      <c r="M23" s="1797"/>
      <c r="N23" s="1797"/>
      <c r="O23" s="1797"/>
    </row>
    <row r="24" spans="1:15" ht="14.25" thickTop="1" thickBot="1" x14ac:dyDescent="0.25">
      <c r="A24" s="2332" t="str">
        <f>"Ending Cash Basis Fund Balance as of June 30, "&amp;'AFR20'!E2</f>
        <v>Ending Cash Basis Fund Balance as of June 30, 2020</v>
      </c>
      <c r="B24" s="2333"/>
      <c r="C24" s="2333"/>
      <c r="D24" s="2333"/>
      <c r="E24" s="2333"/>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2"/>
      <c r="I31" s="2343"/>
      <c r="J31" s="2343"/>
      <c r="K31" s="2343"/>
    </row>
    <row r="32" spans="1:15" x14ac:dyDescent="0.2">
      <c r="A32" s="649"/>
      <c r="B32" s="232"/>
      <c r="C32" s="232"/>
      <c r="D32" s="232"/>
      <c r="E32" s="645"/>
      <c r="F32" s="651" t="s">
        <v>537</v>
      </c>
      <c r="G32" s="618"/>
      <c r="H32" s="2344"/>
      <c r="I32" s="2343"/>
      <c r="J32" s="2343"/>
      <c r="K32" s="2343"/>
    </row>
    <row r="33" spans="1:11" ht="1.5" customHeight="1" x14ac:dyDescent="0.2">
      <c r="A33" s="652" t="s">
        <v>1161</v>
      </c>
      <c r="B33" s="341"/>
      <c r="C33" s="341"/>
      <c r="D33" s="341"/>
      <c r="E33" s="341"/>
      <c r="F33" s="341"/>
      <c r="G33" s="653"/>
      <c r="H33" s="2344"/>
      <c r="I33" s="2343"/>
      <c r="J33" s="2343"/>
      <c r="K33" s="2343"/>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0" t="s">
        <v>538</v>
      </c>
      <c r="B41" s="2311"/>
      <c r="C41" s="2311"/>
      <c r="D41" s="2311"/>
      <c r="E41" s="2311"/>
      <c r="F41" s="231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1" t="s">
        <v>1878</v>
      </c>
      <c r="B1" s="2352"/>
      <c r="C1" s="2353"/>
      <c r="D1" s="666"/>
      <c r="E1" s="667"/>
      <c r="F1" s="667"/>
      <c r="G1" s="668"/>
      <c r="H1" s="669"/>
      <c r="I1" s="670"/>
      <c r="J1" s="2349"/>
      <c r="K1" s="2350"/>
      <c r="L1" s="2350"/>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v>678040</v>
      </c>
      <c r="D5" s="1721">
        <v>0</v>
      </c>
      <c r="E5" s="1721">
        <v>0</v>
      </c>
      <c r="F5" s="1716">
        <f>(C5+D5)-E5</f>
        <v>678040</v>
      </c>
      <c r="G5" s="676"/>
      <c r="H5" s="680"/>
      <c r="I5" s="680"/>
      <c r="J5" s="680"/>
      <c r="K5" s="637"/>
      <c r="L5" s="1393">
        <f>F5-K5</f>
        <v>678040</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v>55780500</v>
      </c>
      <c r="D8" s="1722">
        <v>923949</v>
      </c>
      <c r="E8" s="1722"/>
      <c r="F8" s="1716">
        <f>(C8+D8)-E8</f>
        <v>56704449</v>
      </c>
      <c r="G8" s="681">
        <v>50</v>
      </c>
      <c r="H8" s="619">
        <v>23116648</v>
      </c>
      <c r="I8" s="619">
        <v>1291038</v>
      </c>
      <c r="J8" s="619"/>
      <c r="K8" s="1393">
        <f>(H8+I8)-J8</f>
        <v>24407686</v>
      </c>
      <c r="L8" s="1393">
        <f>F8-K8</f>
        <v>32296763</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v>793484</v>
      </c>
      <c r="D10" s="1723"/>
      <c r="E10" s="1723"/>
      <c r="F10" s="1724">
        <f>(C10+D10)-E10</f>
        <v>793484</v>
      </c>
      <c r="G10" s="681">
        <v>20</v>
      </c>
      <c r="H10" s="683">
        <v>625971</v>
      </c>
      <c r="I10" s="683">
        <v>10244</v>
      </c>
      <c r="J10" s="683"/>
      <c r="K10" s="1393">
        <f>(H10+I10)-J10</f>
        <v>636215</v>
      </c>
      <c r="L10" s="1393">
        <f>F10-K10</f>
        <v>157269</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v>10278797</v>
      </c>
      <c r="D12" s="1722">
        <v>19642</v>
      </c>
      <c r="E12" s="1722"/>
      <c r="F12" s="1716">
        <f>(C12+D12)-E12</f>
        <v>10298439</v>
      </c>
      <c r="G12" s="681">
        <v>10</v>
      </c>
      <c r="H12" s="619">
        <v>8576898</v>
      </c>
      <c r="I12" s="619">
        <v>227484</v>
      </c>
      <c r="J12" s="619"/>
      <c r="K12" s="1393">
        <f>(H12+I12)-J12</f>
        <v>8804382</v>
      </c>
      <c r="L12" s="1393">
        <f>F12-K12</f>
        <v>1494057</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v>461664</v>
      </c>
      <c r="D15" s="1722">
        <v>116380</v>
      </c>
      <c r="E15" s="1722">
        <v>461664</v>
      </c>
      <c r="F15" s="1716">
        <f>(C15+D15)-E15</f>
        <v>116380</v>
      </c>
      <c r="G15" s="685" t="s">
        <v>857</v>
      </c>
      <c r="H15" s="632"/>
      <c r="I15" s="632"/>
      <c r="J15" s="632"/>
      <c r="K15" s="632"/>
      <c r="L15" s="1393">
        <f>F15-K15</f>
        <v>116380</v>
      </c>
    </row>
    <row r="16" spans="1:14" ht="15" customHeight="1" thickTop="1" thickBot="1" x14ac:dyDescent="0.25">
      <c r="A16" s="1389" t="s">
        <v>638</v>
      </c>
      <c r="B16" s="1390">
        <v>200</v>
      </c>
      <c r="C16" s="1716">
        <f>SUM(C3,C5:C6,C8:C10,C12:C15)</f>
        <v>67992485</v>
      </c>
      <c r="D16" s="1716">
        <f>SUM(D3,D5:D6,D8:D10,D12:D15)</f>
        <v>1059971</v>
      </c>
      <c r="E16" s="1716">
        <f>SUM(E3,E5:E6,E8:E10,E12:E15)</f>
        <v>461664</v>
      </c>
      <c r="F16" s="1716">
        <f>SUM(F3,F5:F6,F8:F10,F12:F15)</f>
        <v>68590792</v>
      </c>
      <c r="G16" s="681"/>
      <c r="H16" s="1386">
        <f>SUM(H3,H6,H8:H10,H12:H14,)</f>
        <v>32319517</v>
      </c>
      <c r="I16" s="1386">
        <f>SUM(I3,I6,I8:I10,I12:I14,)</f>
        <v>1528766</v>
      </c>
      <c r="J16" s="1386">
        <f>SUM(J3,J6,J8:J10,J12:J14,)</f>
        <v>0</v>
      </c>
      <c r="K16" s="1386">
        <f>(H16+I16)-J16</f>
        <v>33848283</v>
      </c>
      <c r="L16" s="1386">
        <f>F16-K16</f>
        <v>34742509</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592669</v>
      </c>
      <c r="G17" s="676">
        <v>10</v>
      </c>
      <c r="H17" s="621"/>
      <c r="I17" s="1393">
        <f>F17/G17</f>
        <v>59266.9</v>
      </c>
      <c r="J17" s="621"/>
      <c r="K17" s="638"/>
      <c r="L17" s="638"/>
    </row>
    <row r="18" spans="1:12" ht="14.25" thickTop="1" thickBot="1" x14ac:dyDescent="0.25">
      <c r="A18" s="1391" t="s">
        <v>680</v>
      </c>
      <c r="B18" s="1392"/>
      <c r="C18" s="623"/>
      <c r="D18" s="623"/>
      <c r="E18" s="623"/>
      <c r="F18" s="686"/>
      <c r="G18" s="687"/>
      <c r="H18" s="624"/>
      <c r="I18" s="1386">
        <f>SUM(I16,I17)</f>
        <v>1588032.9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0" activePane="bottomLeft" state="frozen"/>
      <selection activeCell="A47" sqref="A47"/>
      <selection pane="bottomLeft" activeCell="F59" activeCellId="2" sqref="F55 F58 F5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91"/>
      <c r="I1" s="701"/>
    </row>
    <row r="2" spans="1:9" ht="15" customHeight="1" thickBot="1" x14ac:dyDescent="0.25">
      <c r="A2" s="2360" t="s">
        <v>474</v>
      </c>
      <c r="B2" s="2361"/>
      <c r="C2" s="2361"/>
      <c r="D2" s="2361"/>
      <c r="E2" s="2361"/>
      <c r="F2" s="236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3"/>
      <c r="B5" s="2364"/>
      <c r="C5" s="2364"/>
      <c r="D5" s="2364"/>
      <c r="E5" s="2364"/>
      <c r="F5" s="2364"/>
    </row>
    <row r="6" spans="1:9" ht="13.5" customHeight="1" thickBot="1" x14ac:dyDescent="0.25">
      <c r="A6" s="2354" t="s">
        <v>1097</v>
      </c>
      <c r="B6" s="2355"/>
      <c r="C6" s="2355"/>
      <c r="D6" s="2355"/>
      <c r="E6" s="2355"/>
      <c r="F6" s="235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35709370</v>
      </c>
      <c r="G8" s="701"/>
    </row>
    <row r="9" spans="1:9" x14ac:dyDescent="0.2">
      <c r="A9" s="705" t="s">
        <v>457</v>
      </c>
      <c r="B9" s="706" t="s">
        <v>1851</v>
      </c>
      <c r="C9" s="707"/>
      <c r="D9" s="705" t="s">
        <v>498</v>
      </c>
      <c r="E9" s="704"/>
      <c r="F9" s="1726">
        <f>'Expenditures 15-22'!K151</f>
        <v>2432990</v>
      </c>
      <c r="G9" s="708"/>
    </row>
    <row r="10" spans="1:9" x14ac:dyDescent="0.2">
      <c r="A10" s="705" t="s">
        <v>496</v>
      </c>
      <c r="B10" s="706" t="s">
        <v>1852</v>
      </c>
      <c r="C10" s="707"/>
      <c r="D10" s="705" t="s">
        <v>498</v>
      </c>
      <c r="E10" s="704"/>
      <c r="F10" s="1726">
        <f>'Expenditures 15-22'!K174</f>
        <v>0</v>
      </c>
      <c r="G10" s="708"/>
    </row>
    <row r="11" spans="1:9" x14ac:dyDescent="0.2">
      <c r="A11" s="705" t="s">
        <v>458</v>
      </c>
      <c r="B11" s="706" t="s">
        <v>1853</v>
      </c>
      <c r="C11" s="707"/>
      <c r="D11" s="705" t="s">
        <v>498</v>
      </c>
      <c r="E11" s="704"/>
      <c r="F11" s="1726">
        <f>'Expenditures 15-22'!K210</f>
        <v>1260049</v>
      </c>
      <c r="G11" s="708"/>
    </row>
    <row r="12" spans="1:9" x14ac:dyDescent="0.2">
      <c r="A12" s="705" t="s">
        <v>459</v>
      </c>
      <c r="B12" s="706" t="s">
        <v>1854</v>
      </c>
      <c r="C12" s="707"/>
      <c r="D12" s="705" t="s">
        <v>498</v>
      </c>
      <c r="E12" s="704"/>
      <c r="F12" s="1726">
        <f>'Expenditures 15-22'!K295</f>
        <v>1270238</v>
      </c>
      <c r="G12" s="708"/>
    </row>
    <row r="13" spans="1:9" x14ac:dyDescent="0.2">
      <c r="A13" s="705" t="s">
        <v>106</v>
      </c>
      <c r="B13" s="706" t="s">
        <v>1855</v>
      </c>
      <c r="C13" s="707"/>
      <c r="D13" s="705" t="s">
        <v>498</v>
      </c>
      <c r="E13" s="704"/>
      <c r="F13" s="1726">
        <f>'Expenditures 15-22'!K342</f>
        <v>0</v>
      </c>
      <c r="G13" s="709"/>
    </row>
    <row r="14" spans="1:9" ht="12" customHeight="1" thickBot="1" x14ac:dyDescent="0.25">
      <c r="A14" s="1394"/>
      <c r="B14" s="1395"/>
      <c r="C14" s="1396"/>
      <c r="D14" s="1397" t="s">
        <v>498</v>
      </c>
      <c r="E14" s="1398" t="s">
        <v>952</v>
      </c>
      <c r="F14" s="1727">
        <f>SUM(F8:F13)</f>
        <v>40672647</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561925</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82533</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213982</v>
      </c>
      <c r="G52" s="701"/>
    </row>
    <row r="53" spans="1:7" x14ac:dyDescent="0.2">
      <c r="A53" s="705" t="s">
        <v>456</v>
      </c>
      <c r="B53" s="705" t="s">
        <v>1461</v>
      </c>
      <c r="C53" s="724">
        <f>'Expenditures 15-22'!B102</f>
        <v>4000</v>
      </c>
      <c r="D53" s="723" t="str">
        <f>'Expenditures 15-22'!A102</f>
        <v>Total Payments to Other Govt Units</v>
      </c>
      <c r="E53" s="704"/>
      <c r="F53" s="1733">
        <f>'Expenditures 15-22'!K102</f>
        <v>1591846</v>
      </c>
      <c r="G53" s="701"/>
    </row>
    <row r="54" spans="1:7" x14ac:dyDescent="0.2">
      <c r="A54" s="705" t="s">
        <v>456</v>
      </c>
      <c r="B54" s="705" t="s">
        <v>1462</v>
      </c>
      <c r="C54" s="724" t="s">
        <v>975</v>
      </c>
      <c r="D54" s="720" t="s">
        <v>1088</v>
      </c>
      <c r="E54" s="704"/>
      <c r="F54" s="1733">
        <f>'Expenditures 15-22'!G114</f>
        <v>0</v>
      </c>
      <c r="G54" s="701"/>
    </row>
    <row r="55" spans="1:7" x14ac:dyDescent="0.2">
      <c r="A55" s="705" t="s">
        <v>456</v>
      </c>
      <c r="B55" s="705" t="s">
        <v>1463</v>
      </c>
      <c r="C55" s="724" t="s">
        <v>975</v>
      </c>
      <c r="D55" s="720" t="s">
        <v>288</v>
      </c>
      <c r="E55" s="704"/>
      <c r="F55" s="1733">
        <f>'Expenditures 15-22'!I114</f>
        <v>566239</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730</v>
      </c>
      <c r="G58" s="701"/>
    </row>
    <row r="59" spans="1:7" x14ac:dyDescent="0.2">
      <c r="A59" s="728" t="s">
        <v>457</v>
      </c>
      <c r="B59" s="692" t="s">
        <v>1858</v>
      </c>
      <c r="C59" s="729" t="s">
        <v>975</v>
      </c>
      <c r="D59" s="692" t="s">
        <v>288</v>
      </c>
      <c r="F59" s="1736">
        <f>'Expenditures 15-22'!I151</f>
        <v>26430</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0</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0</v>
      </c>
      <c r="G67" s="701"/>
    </row>
    <row r="68" spans="1:9" x14ac:dyDescent="0.2">
      <c r="A68" s="705" t="s">
        <v>459</v>
      </c>
      <c r="B68" s="705" t="s">
        <v>1465</v>
      </c>
      <c r="C68" s="721" t="str">
        <f>'Expenditures 15-22'!B218</f>
        <v>1225</v>
      </c>
      <c r="D68" s="727" t="str">
        <f>'Expenditures 15-22'!A218</f>
        <v>Special Education Programs - Pre-K</v>
      </c>
      <c r="E68" s="704"/>
      <c r="F68" s="1733">
        <f>'Expenditures 15-22'!K218</f>
        <v>25653</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2777</v>
      </c>
      <c r="G71" s="701"/>
    </row>
    <row r="72" spans="1:9" x14ac:dyDescent="0.2">
      <c r="A72" s="705" t="s">
        <v>459</v>
      </c>
      <c r="B72" s="705" t="s">
        <v>1870</v>
      </c>
      <c r="C72" s="721">
        <f>'Expenditures 15-22'!B280</f>
        <v>3000</v>
      </c>
      <c r="D72" s="712" t="s">
        <v>446</v>
      </c>
      <c r="E72" s="704"/>
      <c r="F72" s="1733">
        <f>'Expenditures 15-22'!K280</f>
        <v>23942</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3096057</v>
      </c>
      <c r="G77" s="701"/>
    </row>
    <row r="78" spans="1:9" s="728" customFormat="1" ht="12" customHeight="1" thickTop="1" thickBot="1" x14ac:dyDescent="0.25">
      <c r="A78" s="1401"/>
      <c r="B78" s="1399"/>
      <c r="C78" s="1396"/>
      <c r="D78" s="1400" t="s">
        <v>2015</v>
      </c>
      <c r="E78" s="1398"/>
      <c r="F78" s="1739">
        <f>(F14-F77)</f>
        <v>37576590</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1779.14</v>
      </c>
      <c r="G79" s="733"/>
      <c r="H79" s="705"/>
      <c r="I79" s="705"/>
    </row>
    <row r="80" spans="1:9" s="728" customFormat="1" ht="12" customHeight="1" thickBot="1" x14ac:dyDescent="0.25">
      <c r="A80" s="1403"/>
      <c r="B80" s="1399"/>
      <c r="C80" s="1396"/>
      <c r="D80" s="1400" t="s">
        <v>2016</v>
      </c>
      <c r="E80" s="1398" t="s">
        <v>952</v>
      </c>
      <c r="F80" s="1741">
        <f>IF(F79&gt;0,F78/F79," Complete Line 79")</f>
        <v>21120.648178333351</v>
      </c>
      <c r="G80" s="705"/>
    </row>
    <row r="81" spans="1:7" s="728" customFormat="1" ht="8.25" customHeight="1" thickTop="1" x14ac:dyDescent="0.2">
      <c r="A81" s="734"/>
      <c r="B81" s="705"/>
      <c r="C81" s="707"/>
      <c r="D81" s="735"/>
      <c r="E81" s="704"/>
      <c r="F81" s="1742"/>
      <c r="G81" s="705"/>
    </row>
    <row r="82" spans="1:7" s="728" customFormat="1" ht="12" thickBot="1" x14ac:dyDescent="0.25">
      <c r="A82" s="2354" t="s">
        <v>1098</v>
      </c>
      <c r="B82" s="2355"/>
      <c r="C82" s="2355"/>
      <c r="D82" s="2355"/>
      <c r="E82" s="2355"/>
      <c r="F82" s="235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117552</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13407</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246456</v>
      </c>
      <c r="G95" s="745"/>
    </row>
    <row r="96" spans="1:7" x14ac:dyDescent="0.2">
      <c r="A96" s="741" t="s">
        <v>139</v>
      </c>
      <c r="B96" s="741" t="s">
        <v>174</v>
      </c>
      <c r="C96" s="743">
        <v>1700</v>
      </c>
      <c r="D96" s="751" t="str">
        <f>'Revenues 9-14'!A82</f>
        <v>Total District/School Activity Income</v>
      </c>
      <c r="E96" s="739"/>
      <c r="F96" s="1744">
        <f>SUM('Revenues 9-14'!C82,'Revenues 9-14'!D82)</f>
        <v>37235</v>
      </c>
      <c r="G96" s="745"/>
    </row>
    <row r="97" spans="1:7" x14ac:dyDescent="0.2">
      <c r="A97" s="741" t="s">
        <v>456</v>
      </c>
      <c r="B97" s="741" t="s">
        <v>175</v>
      </c>
      <c r="C97" s="743">
        <f>'Revenues 9-14'!B84</f>
        <v>1811</v>
      </c>
      <c r="D97" s="744" t="str">
        <f>'Revenues 9-14'!A84</f>
        <v>Rentals - Regular Textbooks</v>
      </c>
      <c r="E97" s="739"/>
      <c r="F97" s="1744">
        <f>'Revenues 9-14'!C84</f>
        <v>211127</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207370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26144</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163</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332859</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50000</v>
      </c>
      <c r="G121" s="763"/>
    </row>
    <row r="122" spans="1:7" x14ac:dyDescent="0.2">
      <c r="A122" s="760" t="s">
        <v>497</v>
      </c>
      <c r="B122" s="760" t="s">
        <v>1929</v>
      </c>
      <c r="C122" s="761">
        <f>'Revenues 9-14'!B168</f>
        <v>3999</v>
      </c>
      <c r="D122" s="762" t="s">
        <v>540</v>
      </c>
      <c r="E122" s="764"/>
      <c r="F122" s="1744">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13584</v>
      </c>
      <c r="G126" s="763"/>
    </row>
    <row r="127" spans="1:7" x14ac:dyDescent="0.2">
      <c r="A127" s="760" t="s">
        <v>663</v>
      </c>
      <c r="B127" s="760" t="s">
        <v>1934</v>
      </c>
      <c r="C127" s="765">
        <v>4300</v>
      </c>
      <c r="D127" s="766" t="str">
        <f>'Revenues 9-14'!A204</f>
        <v>Total Title I</v>
      </c>
      <c r="E127" s="739"/>
      <c r="F127" s="1744">
        <f>SUM('Revenues 9-14'!C204,'Revenues 9-14'!D204,'Revenues 9-14'!F204,'Revenues 9-14'!G204)</f>
        <v>70940</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440809</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70597</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25243</v>
      </c>
      <c r="G159" s="738"/>
    </row>
    <row r="160" spans="1:7" s="703" customFormat="1" x14ac:dyDescent="0.2">
      <c r="A160" s="771" t="s">
        <v>497</v>
      </c>
      <c r="B160" s="772" t="s">
        <v>1956</v>
      </c>
      <c r="C160" s="773" t="s">
        <v>1452</v>
      </c>
      <c r="D160" s="774" t="s">
        <v>1453</v>
      </c>
      <c r="E160" s="775"/>
      <c r="F160" s="1744">
        <f>SUM('Revenues 9-14'!C254:H254,'Revenues 9-14'!J254:K254)</f>
        <v>42451</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42192</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v>609494.16</v>
      </c>
      <c r="G172" s="760"/>
    </row>
    <row r="173" spans="1:7" x14ac:dyDescent="0.2">
      <c r="A173" s="1480" t="s">
        <v>659</v>
      </c>
      <c r="B173" s="1481" t="s">
        <v>1888</v>
      </c>
      <c r="C173" s="1482">
        <v>3300</v>
      </c>
      <c r="D173" s="1483" t="s">
        <v>1891</v>
      </c>
      <c r="E173" s="739"/>
      <c r="F173" s="1745">
        <v>24783.16</v>
      </c>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2582406.3200000003</v>
      </c>
    </row>
    <row r="176" spans="1:7" ht="12" customHeight="1" x14ac:dyDescent="0.2">
      <c r="A176" s="1394"/>
      <c r="B176" s="1404"/>
      <c r="C176" s="1405"/>
      <c r="D176" s="1406" t="s">
        <v>2017</v>
      </c>
      <c r="E176" s="1407"/>
      <c r="F176" s="1744">
        <f>'PCTC-OEPP 27-28'!F78-F175</f>
        <v>34994183.68</v>
      </c>
    </row>
    <row r="177" spans="1:9" ht="12" customHeight="1" x14ac:dyDescent="0.2">
      <c r="A177" s="1394"/>
      <c r="B177" s="1404"/>
      <c r="C177" s="1405"/>
      <c r="D177" s="1406" t="s">
        <v>1797</v>
      </c>
      <c r="E177" s="1407"/>
      <c r="F177" s="1744">
        <f>'Cap Outlay Deprec 26'!I18</f>
        <v>1588032.9</v>
      </c>
    </row>
    <row r="178" spans="1:9" ht="12" customHeight="1" x14ac:dyDescent="0.2">
      <c r="A178" s="1394"/>
      <c r="B178" s="1404"/>
      <c r="C178" s="1405"/>
      <c r="D178" s="1406" t="s">
        <v>2018</v>
      </c>
      <c r="E178" s="1407"/>
      <c r="F178" s="1744">
        <f>F176+F177</f>
        <v>36582216.579999998</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1779.14</v>
      </c>
      <c r="G179" s="763"/>
      <c r="I179" s="701"/>
    </row>
    <row r="180" spans="1:9" ht="12" customHeight="1" thickBot="1" x14ac:dyDescent="0.25">
      <c r="A180" s="1394"/>
      <c r="B180" s="1408"/>
      <c r="C180" s="1405"/>
      <c r="D180" s="1406" t="s">
        <v>2020</v>
      </c>
      <c r="E180" s="1407" t="s">
        <v>1531</v>
      </c>
      <c r="F180" s="1749">
        <f>F178/F179</f>
        <v>20561.741391908447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B22" sqref="B22"/>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1810</v>
      </c>
      <c r="B1" s="1809"/>
      <c r="C1" s="1810"/>
      <c r="D1" s="1810"/>
      <c r="E1" s="1810"/>
      <c r="F1" s="1810"/>
    </row>
    <row r="2" spans="1:6" x14ac:dyDescent="0.25">
      <c r="A2" s="1812"/>
      <c r="B2" s="1813"/>
      <c r="C2" s="1861" t="s">
        <v>2006</v>
      </c>
      <c r="D2" s="1812"/>
      <c r="E2" s="1812"/>
      <c r="F2" s="1812"/>
    </row>
    <row r="3" spans="1:6" ht="5.25" customHeight="1" x14ac:dyDescent="0.25">
      <c r="A3" s="1814"/>
      <c r="B3" s="1815"/>
      <c r="C3" s="1814"/>
      <c r="D3" s="1814"/>
      <c r="E3" s="1814"/>
      <c r="F3" s="1814"/>
    </row>
    <row r="4" spans="1:6" ht="18.75" customHeight="1" x14ac:dyDescent="0.25">
      <c r="A4" s="2368" t="s">
        <v>1798</v>
      </c>
      <c r="B4" s="2369"/>
      <c r="C4" s="2369"/>
      <c r="D4" s="2369"/>
      <c r="E4" s="2369"/>
      <c r="F4" s="2370"/>
    </row>
    <row r="5" spans="1:6" x14ac:dyDescent="0.25">
      <c r="A5" s="2371"/>
      <c r="B5" s="2372"/>
      <c r="C5" s="2372"/>
      <c r="D5" s="2372"/>
      <c r="E5" s="2372"/>
      <c r="F5" s="2373"/>
    </row>
    <row r="6" spans="1:6" ht="18.75" x14ac:dyDescent="0.25">
      <c r="A6" s="1816" t="s">
        <v>1799</v>
      </c>
      <c r="B6" s="1817"/>
      <c r="C6" s="1818"/>
      <c r="D6" s="1818"/>
      <c r="E6" s="1818"/>
      <c r="F6" s="1819"/>
    </row>
    <row r="7" spans="1:6" ht="47.25" customHeight="1" x14ac:dyDescent="0.25">
      <c r="A7" s="2374" t="s">
        <v>1988</v>
      </c>
      <c r="B7" s="2375"/>
      <c r="C7" s="2375"/>
      <c r="D7" s="2375"/>
      <c r="E7" s="2375"/>
      <c r="F7" s="2376"/>
    </row>
    <row r="8" spans="1:6" ht="20.25" customHeight="1" x14ac:dyDescent="0.25">
      <c r="A8" s="1851" t="s">
        <v>1990</v>
      </c>
      <c r="B8" s="1852"/>
      <c r="C8" s="1852"/>
      <c r="D8" s="1852"/>
      <c r="E8" s="1820"/>
      <c r="F8" s="1821"/>
    </row>
    <row r="9" spans="1:6" ht="18" customHeight="1" x14ac:dyDescent="0.25">
      <c r="A9" s="1822" t="s">
        <v>1987</v>
      </c>
      <c r="B9" s="1824"/>
      <c r="C9" s="1824"/>
      <c r="D9" s="1824"/>
      <c r="E9" s="1820"/>
      <c r="F9" s="1821"/>
    </row>
    <row r="10" spans="1:6" ht="15.75" customHeight="1" x14ac:dyDescent="0.25">
      <c r="A10" s="2377" t="s">
        <v>1984</v>
      </c>
      <c r="B10" s="2378"/>
      <c r="C10" s="2378"/>
      <c r="D10" s="2378"/>
      <c r="E10" s="2378"/>
      <c r="F10" s="2379"/>
    </row>
    <row r="11" spans="1:6" ht="33" customHeight="1" x14ac:dyDescent="0.25">
      <c r="A11" s="2374" t="s">
        <v>1989</v>
      </c>
      <c r="B11" s="2375"/>
      <c r="C11" s="2375"/>
      <c r="D11" s="2375"/>
      <c r="E11" s="2375"/>
      <c r="F11" s="2376"/>
    </row>
    <row r="12" spans="1:6" ht="15" customHeight="1" x14ac:dyDescent="0.25">
      <c r="A12" s="1822" t="s">
        <v>1985</v>
      </c>
      <c r="B12" s="1823"/>
      <c r="C12" s="1824"/>
      <c r="D12" s="1824"/>
      <c r="E12" s="1824"/>
      <c r="F12" s="1825"/>
    </row>
    <row r="13" spans="1:6" ht="17.25" customHeight="1" x14ac:dyDescent="0.25">
      <c r="A13" s="2374" t="s">
        <v>1986</v>
      </c>
      <c r="B13" s="2375"/>
      <c r="C13" s="2375"/>
      <c r="D13" s="2375"/>
      <c r="E13" s="2375"/>
      <c r="F13" s="2376"/>
    </row>
    <row r="14" spans="1:6" ht="15" customHeight="1" x14ac:dyDescent="0.25">
      <c r="A14" s="1822" t="s">
        <v>1803</v>
      </c>
      <c r="B14" s="1823"/>
      <c r="C14" s="1824"/>
      <c r="D14" s="1824"/>
      <c r="E14" s="1824"/>
      <c r="F14" s="1825"/>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26" t="s">
        <v>1804</v>
      </c>
      <c r="B16" s="1827" t="s">
        <v>1805</v>
      </c>
      <c r="C16" s="1826" t="s">
        <v>1806</v>
      </c>
      <c r="D16" s="1828" t="s">
        <v>1807</v>
      </c>
      <c r="E16" s="1828" t="s">
        <v>1808</v>
      </c>
      <c r="F16" s="1828" t="s">
        <v>1809</v>
      </c>
    </row>
    <row r="17" spans="1:7" x14ac:dyDescent="0.25">
      <c r="A17" s="1829" t="s">
        <v>1811</v>
      </c>
      <c r="B17" s="1856" t="s">
        <v>1802</v>
      </c>
      <c r="C17" s="1830" t="s">
        <v>1800</v>
      </c>
      <c r="D17" s="1831">
        <v>500000</v>
      </c>
      <c r="E17" s="1831" t="str">
        <f>IF(D17&lt;25000,D17,"25,000")</f>
        <v>25,000</v>
      </c>
      <c r="F17" s="1832">
        <f>IF(D17&gt;=25000,(D17-E17),"0")</f>
        <v>475000</v>
      </c>
    </row>
    <row r="18" spans="1:7" x14ac:dyDescent="0.25">
      <c r="A18" s="2025" t="s">
        <v>2081</v>
      </c>
      <c r="B18" s="1857">
        <v>101000600</v>
      </c>
      <c r="C18" s="2026" t="s">
        <v>2082</v>
      </c>
      <c r="D18" s="1835">
        <v>60873</v>
      </c>
      <c r="E18" s="1855" t="str">
        <f t="shared" ref="E18:E81" si="0">IF(D18&lt;25000,D18,"25,000")</f>
        <v>25,000</v>
      </c>
      <c r="F18" s="1855">
        <f t="shared" ref="F18:F81" si="1">IF(D18&gt;=25000,(D18-E18),"0")</f>
        <v>35873</v>
      </c>
      <c r="G18" s="1836"/>
    </row>
    <row r="19" spans="1:7" x14ac:dyDescent="0.25">
      <c r="A19" s="2025" t="s">
        <v>2081</v>
      </c>
      <c r="B19" s="1857">
        <v>101000600</v>
      </c>
      <c r="C19" s="2026" t="s">
        <v>2083</v>
      </c>
      <c r="D19" s="1835">
        <v>93032</v>
      </c>
      <c r="E19" s="1855" t="str">
        <f t="shared" si="0"/>
        <v>25,000</v>
      </c>
      <c r="F19" s="1855">
        <f t="shared" si="1"/>
        <v>68032</v>
      </c>
    </row>
    <row r="20" spans="1:7" ht="30" x14ac:dyDescent="0.25">
      <c r="A20" s="2025" t="s">
        <v>2084</v>
      </c>
      <c r="B20" s="1857">
        <v>102510300</v>
      </c>
      <c r="C20" s="2026" t="s">
        <v>2085</v>
      </c>
      <c r="D20" s="1835">
        <v>86558</v>
      </c>
      <c r="E20" s="1855" t="str">
        <f t="shared" si="0"/>
        <v>25,000</v>
      </c>
      <c r="F20" s="1855">
        <f t="shared" si="1"/>
        <v>61558</v>
      </c>
    </row>
    <row r="21" spans="1:7" ht="30" x14ac:dyDescent="0.25">
      <c r="A21" s="2025" t="s">
        <v>2086</v>
      </c>
      <c r="B21" s="1857">
        <v>202540300</v>
      </c>
      <c r="C21" s="2026" t="s">
        <v>2087</v>
      </c>
      <c r="D21" s="1835">
        <v>26092</v>
      </c>
      <c r="E21" s="1855" t="str">
        <f t="shared" si="0"/>
        <v>25,000</v>
      </c>
      <c r="F21" s="1855">
        <f t="shared" si="1"/>
        <v>1092</v>
      </c>
    </row>
    <row r="22" spans="1:7" ht="30" x14ac:dyDescent="0.25">
      <c r="A22" s="2025" t="s">
        <v>2086</v>
      </c>
      <c r="B22" s="1857">
        <v>202540300</v>
      </c>
      <c r="C22" s="2026" t="s">
        <v>2088</v>
      </c>
      <c r="D22" s="1835">
        <v>31574</v>
      </c>
      <c r="E22" s="1855" t="str">
        <f t="shared" si="0"/>
        <v>25,000</v>
      </c>
      <c r="F22" s="1855">
        <f t="shared" si="1"/>
        <v>6574</v>
      </c>
    </row>
    <row r="23" spans="1:7" x14ac:dyDescent="0.25">
      <c r="A23" s="2025" t="s">
        <v>2089</v>
      </c>
      <c r="B23" s="1857">
        <v>101000300</v>
      </c>
      <c r="C23" s="2026" t="s">
        <v>2090</v>
      </c>
      <c r="D23" s="1835">
        <v>48000</v>
      </c>
      <c r="E23" s="1855" t="str">
        <f t="shared" si="0"/>
        <v>25,000</v>
      </c>
      <c r="F23" s="1855">
        <f t="shared" si="1"/>
        <v>23000</v>
      </c>
    </row>
    <row r="24" spans="1:7" x14ac:dyDescent="0.25">
      <c r="A24" s="2025" t="s">
        <v>2091</v>
      </c>
      <c r="B24" s="1857">
        <v>402550300</v>
      </c>
      <c r="C24" s="2026" t="s">
        <v>2092</v>
      </c>
      <c r="D24" s="1835">
        <v>848579</v>
      </c>
      <c r="E24" s="1855" t="str">
        <f t="shared" si="0"/>
        <v>25,000</v>
      </c>
      <c r="F24" s="1855">
        <f t="shared" si="1"/>
        <v>823579</v>
      </c>
    </row>
    <row r="25" spans="1:7" ht="30" x14ac:dyDescent="0.25">
      <c r="A25" s="2025" t="s">
        <v>2086</v>
      </c>
      <c r="B25" s="1857">
        <v>202540300</v>
      </c>
      <c r="C25" s="2026" t="s">
        <v>2093</v>
      </c>
      <c r="D25" s="1835">
        <v>32041</v>
      </c>
      <c r="E25" s="1855" t="str">
        <f t="shared" si="0"/>
        <v>25,000</v>
      </c>
      <c r="F25" s="1855">
        <f t="shared" si="1"/>
        <v>7041</v>
      </c>
    </row>
    <row r="26" spans="1:7" x14ac:dyDescent="0.25">
      <c r="A26" s="2025" t="s">
        <v>2094</v>
      </c>
      <c r="B26" s="1857">
        <v>102300300</v>
      </c>
      <c r="C26" s="2026" t="s">
        <v>2095</v>
      </c>
      <c r="D26" s="1835">
        <v>29159</v>
      </c>
      <c r="E26" s="1855" t="str">
        <f t="shared" si="0"/>
        <v>25,000</v>
      </c>
      <c r="F26" s="1855">
        <f t="shared" si="1"/>
        <v>4159</v>
      </c>
    </row>
    <row r="27" spans="1:7" x14ac:dyDescent="0.25">
      <c r="A27" s="2025" t="s">
        <v>2094</v>
      </c>
      <c r="B27" s="1857">
        <v>102300300</v>
      </c>
      <c r="C27" s="2026" t="s">
        <v>2096</v>
      </c>
      <c r="D27" s="1835">
        <v>28794</v>
      </c>
      <c r="E27" s="1855" t="str">
        <f t="shared" si="0"/>
        <v>25,000</v>
      </c>
      <c r="F27" s="1855">
        <f t="shared" si="1"/>
        <v>3794</v>
      </c>
    </row>
    <row r="28" spans="1:7" x14ac:dyDescent="0.25">
      <c r="A28" s="2025" t="s">
        <v>2094</v>
      </c>
      <c r="B28" s="1857">
        <v>102300300</v>
      </c>
      <c r="C28" s="2026" t="s">
        <v>2097</v>
      </c>
      <c r="D28" s="1835">
        <v>28775</v>
      </c>
      <c r="E28" s="1855" t="str">
        <f t="shared" si="0"/>
        <v>25,000</v>
      </c>
      <c r="F28" s="1855">
        <f t="shared" si="1"/>
        <v>3775</v>
      </c>
    </row>
    <row r="29" spans="1:7" x14ac:dyDescent="0.25">
      <c r="A29" s="2025" t="s">
        <v>2089</v>
      </c>
      <c r="B29" s="1857">
        <v>101000300</v>
      </c>
      <c r="C29" s="2026" t="s">
        <v>2098</v>
      </c>
      <c r="D29" s="1835">
        <v>54633</v>
      </c>
      <c r="E29" s="1855" t="str">
        <f t="shared" si="0"/>
        <v>25,000</v>
      </c>
      <c r="F29" s="1855">
        <f t="shared" si="1"/>
        <v>29633</v>
      </c>
    </row>
    <row r="30" spans="1:7" x14ac:dyDescent="0.25">
      <c r="A30" s="2025" t="s">
        <v>2094</v>
      </c>
      <c r="B30" s="1857">
        <v>102300300</v>
      </c>
      <c r="C30" s="2026" t="s">
        <v>2099</v>
      </c>
      <c r="D30" s="1835">
        <v>52380</v>
      </c>
      <c r="E30" s="1855" t="str">
        <f t="shared" si="0"/>
        <v>25,000</v>
      </c>
      <c r="F30" s="1855">
        <f t="shared" si="1"/>
        <v>27380</v>
      </c>
    </row>
    <row r="31" spans="1:7" x14ac:dyDescent="0.25">
      <c r="A31" s="2025" t="s">
        <v>2100</v>
      </c>
      <c r="B31" s="1857">
        <v>102200300</v>
      </c>
      <c r="C31" s="2026" t="s">
        <v>2101</v>
      </c>
      <c r="D31" s="1835">
        <v>34850</v>
      </c>
      <c r="E31" s="1855" t="str">
        <f t="shared" si="0"/>
        <v>25,000</v>
      </c>
      <c r="F31" s="1855">
        <f t="shared" si="1"/>
        <v>9850</v>
      </c>
    </row>
    <row r="32" spans="1:7" x14ac:dyDescent="0.25">
      <c r="A32" s="2025" t="s">
        <v>2102</v>
      </c>
      <c r="B32" s="1857">
        <v>102560300</v>
      </c>
      <c r="C32" s="2026" t="s">
        <v>2103</v>
      </c>
      <c r="D32" s="2027">
        <v>269039</v>
      </c>
      <c r="E32" s="1855" t="str">
        <f t="shared" si="0"/>
        <v>25,000</v>
      </c>
      <c r="F32" s="1855">
        <f t="shared" si="1"/>
        <v>244039</v>
      </c>
    </row>
    <row r="33" spans="1:6" x14ac:dyDescent="0.25">
      <c r="A33" s="2025" t="s">
        <v>2089</v>
      </c>
      <c r="B33" s="1857">
        <v>101000300</v>
      </c>
      <c r="C33" s="2026" t="s">
        <v>2104</v>
      </c>
      <c r="D33" s="1835">
        <v>82836</v>
      </c>
      <c r="E33" s="1855" t="str">
        <f t="shared" si="0"/>
        <v>25,000</v>
      </c>
      <c r="F33" s="1855">
        <f t="shared" si="1"/>
        <v>57836</v>
      </c>
    </row>
    <row r="34" spans="1:6" x14ac:dyDescent="0.25">
      <c r="A34" s="2025" t="s">
        <v>2089</v>
      </c>
      <c r="B34" s="1857">
        <v>101000300</v>
      </c>
      <c r="C34" s="2026" t="s">
        <v>2105</v>
      </c>
      <c r="D34" s="1835">
        <v>29079</v>
      </c>
      <c r="E34" s="1855" t="str">
        <f t="shared" si="0"/>
        <v>25,000</v>
      </c>
      <c r="F34" s="1855">
        <f t="shared" si="1"/>
        <v>4079</v>
      </c>
    </row>
    <row r="35" spans="1:6" ht="30" x14ac:dyDescent="0.25">
      <c r="A35" s="2025" t="s">
        <v>2086</v>
      </c>
      <c r="B35" s="1857">
        <v>202540300</v>
      </c>
      <c r="C35" s="2026" t="s">
        <v>2106</v>
      </c>
      <c r="D35" s="1835">
        <v>28313</v>
      </c>
      <c r="E35" s="1855" t="str">
        <f t="shared" si="0"/>
        <v>25,000</v>
      </c>
      <c r="F35" s="1855">
        <f t="shared" si="1"/>
        <v>3313</v>
      </c>
    </row>
    <row r="36" spans="1:6" ht="30" x14ac:dyDescent="0.25">
      <c r="A36" s="2025" t="s">
        <v>2086</v>
      </c>
      <c r="B36" s="1857">
        <v>202540300</v>
      </c>
      <c r="C36" s="2026" t="s">
        <v>2107</v>
      </c>
      <c r="D36" s="1835">
        <v>53426</v>
      </c>
      <c r="E36" s="1855" t="str">
        <f t="shared" si="0"/>
        <v>25,000</v>
      </c>
      <c r="F36" s="1855">
        <f t="shared" si="1"/>
        <v>28426</v>
      </c>
    </row>
    <row r="37" spans="1:6" x14ac:dyDescent="0.25">
      <c r="A37" s="2025" t="s">
        <v>2091</v>
      </c>
      <c r="B37" s="1857">
        <v>402550300</v>
      </c>
      <c r="C37" s="2026" t="s">
        <v>2108</v>
      </c>
      <c r="D37" s="1835">
        <v>300130</v>
      </c>
      <c r="E37" s="1855" t="str">
        <f t="shared" si="0"/>
        <v>25,000</v>
      </c>
      <c r="F37" s="1855">
        <f t="shared" si="1"/>
        <v>275130</v>
      </c>
    </row>
    <row r="38" spans="1:6" ht="30" x14ac:dyDescent="0.25">
      <c r="A38" s="2025" t="s">
        <v>2084</v>
      </c>
      <c r="B38" s="1857">
        <v>102510300</v>
      </c>
      <c r="C38" s="2026" t="s">
        <v>2109</v>
      </c>
      <c r="D38" s="1835">
        <v>41448</v>
      </c>
      <c r="E38" s="1855" t="str">
        <f t="shared" si="0"/>
        <v>25,000</v>
      </c>
      <c r="F38" s="1855">
        <f t="shared" si="1"/>
        <v>16448</v>
      </c>
    </row>
    <row r="39" spans="1:6" ht="30" x14ac:dyDescent="0.25">
      <c r="A39" s="2025" t="s">
        <v>2086</v>
      </c>
      <c r="B39" s="1858">
        <v>202540300</v>
      </c>
      <c r="C39" s="2026" t="s">
        <v>2109</v>
      </c>
      <c r="D39" s="1835">
        <v>41448</v>
      </c>
      <c r="E39" s="1855" t="str">
        <f t="shared" si="0"/>
        <v>25,000</v>
      </c>
      <c r="F39" s="1855">
        <f t="shared" si="1"/>
        <v>16448</v>
      </c>
    </row>
    <row r="40" spans="1:6" ht="30" x14ac:dyDescent="0.25">
      <c r="A40" s="2025" t="s">
        <v>2086</v>
      </c>
      <c r="B40" s="1858">
        <v>202540300</v>
      </c>
      <c r="C40" s="2026" t="s">
        <v>2110</v>
      </c>
      <c r="D40" s="1835">
        <v>38571</v>
      </c>
      <c r="E40" s="1855" t="str">
        <f t="shared" si="0"/>
        <v>25,000</v>
      </c>
      <c r="F40" s="1855">
        <f t="shared" si="1"/>
        <v>13571</v>
      </c>
    </row>
    <row r="41" spans="1:6" x14ac:dyDescent="0.25">
      <c r="A41" s="2025" t="s">
        <v>2091</v>
      </c>
      <c r="B41" s="1858">
        <v>402550300</v>
      </c>
      <c r="C41" s="2026" t="s">
        <v>2111</v>
      </c>
      <c r="D41" s="1835">
        <v>74005</v>
      </c>
      <c r="E41" s="1855" t="str">
        <f t="shared" si="0"/>
        <v>25,000</v>
      </c>
      <c r="F41" s="1855">
        <f t="shared" si="1"/>
        <v>49005</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155</v>
      </c>
      <c r="B142" s="1860"/>
      <c r="C142" s="1840"/>
      <c r="D142" s="1841">
        <f>SUM(D18:D141)</f>
        <v>2413635</v>
      </c>
      <c r="E142" s="1842">
        <f>SUM(E18:E141)</f>
        <v>0</v>
      </c>
      <c r="F142" s="1843">
        <f>SUM(F18:F141)</f>
        <v>1813635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A42" sqref="A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0" t="s">
        <v>1663</v>
      </c>
      <c r="B5" s="2381"/>
      <c r="C5" s="2381"/>
      <c r="D5" s="2381"/>
      <c r="E5" s="2381"/>
      <c r="F5" s="2381"/>
      <c r="G5" s="2382"/>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c r="F10" s="805"/>
      <c r="G10" s="806"/>
      <c r="H10" s="157"/>
      <c r="I10" s="157"/>
    </row>
    <row r="11" spans="1:13" s="542"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25022350</v>
      </c>
      <c r="F19" s="1753"/>
      <c r="G19" s="1755">
        <f>'Expenditures 15-22'!K33-SUM('Expenditures 15-22'!G33,'Expenditures 15-22'!I33)+'Expenditures 15-22'!D229</f>
        <v>25022350</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3645475</v>
      </c>
      <c r="F21" s="1756"/>
      <c r="G21" s="1759">
        <f>'Expenditures 15-22'!K42-SUM('Expenditures 15-22'!G42,'Expenditures 15-22'!I42)+'Expenditures 15-22'!K120-SUM('Expenditures 15-22'!G120,'Expenditures 15-22'!I120)+'Expenditures 15-22'!K180-SUM('Expenditures 15-22'!G180,'Expenditures 15-22'!I180)+'Expenditures 15-22'!D238</f>
        <v>3645475</v>
      </c>
      <c r="H21" s="817"/>
      <c r="I21" s="157"/>
    </row>
    <row r="22" spans="1:9" s="542" customFormat="1" ht="12" customHeight="1" x14ac:dyDescent="0.2">
      <c r="A22" s="824" t="s">
        <v>560</v>
      </c>
      <c r="B22" s="825"/>
      <c r="C22" s="823">
        <v>2200</v>
      </c>
      <c r="D22" s="1756"/>
      <c r="E22" s="1758">
        <f>'Expenditures 15-22'!K47-SUM('Expenditures 15-22'!G47,'Expenditures 15-22'!I47)+'Expenditures 15-22'!D243</f>
        <v>1369911</v>
      </c>
      <c r="F22" s="1756"/>
      <c r="G22" s="1759">
        <f>'Expenditures 15-22'!K47-SUM('Expenditures 15-22'!G47,'Expenditures 15-22'!I47)+'Expenditures 15-22'!D243</f>
        <v>1369911</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1064016</v>
      </c>
      <c r="F23" s="1756"/>
      <c r="G23" s="1758">
        <f>'Expenditures 15-22'!K53-SUM('Expenditures 15-22'!G53,'Expenditures 15-22'!I53)+'Expenditures 15-22'!D257+'Expenditures 15-22'!K330-SUM('Expenditures 15-22'!G330,'Expenditures 15-22'!I330)</f>
        <v>1064016</v>
      </c>
      <c r="H23" s="817"/>
      <c r="I23" s="157"/>
    </row>
    <row r="24" spans="1:9" s="542" customFormat="1" ht="12" customHeight="1" x14ac:dyDescent="0.2">
      <c r="A24" s="824" t="s">
        <v>562</v>
      </c>
      <c r="B24" s="825"/>
      <c r="C24" s="823">
        <v>2400</v>
      </c>
      <c r="D24" s="1756"/>
      <c r="E24" s="1758">
        <f>'Expenditures 15-22'!K57-SUM('Expenditures 15-22'!G57,'Expenditures 15-22'!I57)+'Expenditures 15-22'!D261</f>
        <v>2060430</v>
      </c>
      <c r="F24" s="1756"/>
      <c r="G24" s="1759">
        <f>'Expenditures 15-22'!K57-SUM('Expenditures 15-22'!G57,'Expenditures 15-22'!I57)+'Expenditures 15-22'!D261</f>
        <v>2060430</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387831</v>
      </c>
      <c r="E26" s="1758">
        <f>'Expenditures 15-22'!K122-SUM('Expenditures 15-22'!G122,'Expenditures 15-22'!I122)+E7</f>
        <v>0</v>
      </c>
      <c r="F26" s="1758">
        <f>'Expenditures 15-22'!K59-SUM('Expenditures 15-22'!G59,'Expenditures 15-22'!I59)+'Expenditures 15-22'!D263-E7</f>
        <v>387831</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349263</v>
      </c>
      <c r="E27" s="1758">
        <f>E8</f>
        <v>0</v>
      </c>
      <c r="F27" s="1758">
        <f>'Expenditures 15-22'!K60-SUM('Expenditures 15-22'!G60,'Expenditures 15-22'!I60)+'Expenditures 15-22'!D264-E8</f>
        <v>349263</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2631317</v>
      </c>
      <c r="F28" s="1760">
        <f>'Expenditures 15-22'!K61-SUM('Expenditures 15-22'!G61,'Expenditures 15-22'!I61)+'Expenditures 15-22'!K124-SUM('Expenditures 15-22'!G124,'Expenditures 15-22'!I124)+'Expenditures 15-22'!D266-E9</f>
        <v>2631317</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1260049</v>
      </c>
      <c r="F29" s="1756"/>
      <c r="G29" s="1759">
        <f>'Expenditures 15-22'!K62-SUM('Expenditures 15-22'!G62,'Expenditures 15-22'!I62)+'Expenditures 15-22'!K125-SUM('Expenditures 15-22'!G125,'Expenditures 15-22'!I125)+'Expenditures 15-22'!K182-SUM('Expenditures 15-22'!G182,'Expenditures 15-22'!I182)+'Expenditures 15-22'!D267</f>
        <v>1260049</v>
      </c>
      <c r="H29" s="815"/>
    </row>
    <row r="30" spans="1:9" ht="12" customHeight="1" x14ac:dyDescent="0.2">
      <c r="A30" s="824" t="s">
        <v>100</v>
      </c>
      <c r="B30" s="827"/>
      <c r="C30" s="823">
        <v>2560</v>
      </c>
      <c r="D30" s="1756"/>
      <c r="E30" s="1758">
        <f>'Expenditures 15-22'!K63-SUM('Expenditures 15-22'!G63,'Expenditures 15-22'!I63)+'Expenditures 15-22'!D268-E10</f>
        <v>285789</v>
      </c>
      <c r="F30" s="1756"/>
      <c r="G30" s="1758">
        <f>'Expenditures 15-22'!K63-SUM('Expenditures 15-22'!G63,'Expenditures 15-22'!I63)+'Expenditures 15-22'!D268-E10</f>
        <v>285789</v>
      </c>
    </row>
    <row r="31" spans="1:9" ht="12" customHeight="1" x14ac:dyDescent="0.2">
      <c r="A31" s="824" t="s">
        <v>101</v>
      </c>
      <c r="B31" s="827"/>
      <c r="C31" s="82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142623</v>
      </c>
      <c r="F35" s="1756"/>
      <c r="G35" s="1758">
        <f>'Expenditures 15-22'!K69-SUM('Expenditures 15-22'!G69,'Expenditures 15-22'!I69)+'Expenditures 15-22'!D274</f>
        <v>142623</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30424</v>
      </c>
      <c r="E37" s="1758">
        <f>E14</f>
        <v>0</v>
      </c>
      <c r="F37" s="1758">
        <f>'Expenditures 15-22'!K71-SUM('Expenditures 15-22'!G71,'Expenditures 15-22'!I71)+'Expenditures 15-22'!D276-E14</f>
        <v>30424</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0</v>
      </c>
      <c r="F38" s="1756"/>
      <c r="G38" s="175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237924</v>
      </c>
      <c r="F39" s="1756"/>
      <c r="G39" s="1758">
        <f>'Expenditures 15-22'!K75-SUM('Expenditures 15-22'!G75,'Expenditures 15-22'!I75)+'Expenditures 15-22'!K130-SUM('Expenditures 15-22'!G130,'Expenditures 15-22'!I130)+'Expenditures 15-22'!K185-SUM('Expenditures 15-22'!G185,'Expenditures 15-22'!I185)+'Expenditures 15-22'!D280</f>
        <v>237924</v>
      </c>
    </row>
    <row r="40" spans="1:7" ht="12" customHeight="1" x14ac:dyDescent="0.2">
      <c r="A40" s="820" t="s">
        <v>1801</v>
      </c>
      <c r="B40" s="821"/>
      <c r="C40" s="823"/>
      <c r="D40" s="1756"/>
      <c r="E40" s="1760">
        <f>-'Contracts Paid in CY 29'!F142</f>
        <v>-1813635</v>
      </c>
      <c r="F40" s="1756"/>
      <c r="G40" s="1760">
        <f>-'Contracts Paid in CY 29'!F142</f>
        <v>-1813635</v>
      </c>
    </row>
    <row r="41" spans="1:7" ht="12" customHeight="1" x14ac:dyDescent="0.2">
      <c r="A41" s="828" t="s">
        <v>155</v>
      </c>
      <c r="B41" s="829"/>
      <c r="C41" s="830"/>
      <c r="D41" s="1760">
        <f>SUM(D19:D39)</f>
        <v>767518</v>
      </c>
      <c r="E41" s="1760">
        <f>SUM(E19:E40)</f>
        <v>35906249</v>
      </c>
      <c r="F41" s="1760">
        <f>SUM(F19:F39)</f>
        <v>3398835</v>
      </c>
      <c r="G41" s="1760">
        <f>SUM(G19:G40)</f>
        <v>33274932</v>
      </c>
    </row>
    <row r="42" spans="1:7" x14ac:dyDescent="0.2">
      <c r="A42" s="817"/>
      <c r="B42" s="157"/>
      <c r="C42" s="831"/>
      <c r="D42" s="2383" t="s">
        <v>519</v>
      </c>
      <c r="E42" s="2384"/>
      <c r="F42" s="832" t="s">
        <v>520</v>
      </c>
      <c r="G42" s="833"/>
    </row>
    <row r="43" spans="1:7" ht="12" customHeight="1" x14ac:dyDescent="0.2">
      <c r="A43" s="817"/>
      <c r="B43" s="157"/>
      <c r="C43" s="831"/>
      <c r="D43" s="1409" t="s">
        <v>470</v>
      </c>
      <c r="E43" s="1761">
        <f>D41</f>
        <v>767518</v>
      </c>
      <c r="F43" s="1409" t="s">
        <v>470</v>
      </c>
      <c r="G43" s="1761">
        <f>F41</f>
        <v>3398835</v>
      </c>
    </row>
    <row r="44" spans="1:7" ht="12" customHeight="1" x14ac:dyDescent="0.2">
      <c r="A44" s="817"/>
      <c r="B44" s="157"/>
      <c r="C44" s="831"/>
      <c r="D44" s="1409" t="s">
        <v>471</v>
      </c>
      <c r="E44" s="1761">
        <f>E41</f>
        <v>35906249</v>
      </c>
      <c r="F44" s="1409" t="s">
        <v>471</v>
      </c>
      <c r="G44" s="1761">
        <f>G41</f>
        <v>33274932</v>
      </c>
    </row>
    <row r="45" spans="1:7" ht="12" customHeight="1" x14ac:dyDescent="0.2">
      <c r="A45" s="817"/>
      <c r="B45" s="157"/>
      <c r="C45" s="157"/>
      <c r="D45" s="1410" t="s">
        <v>999</v>
      </c>
      <c r="E45" s="1762">
        <f>(E43/E44)</f>
        <v>2.1375610691052691E-2</v>
      </c>
      <c r="F45" s="1410" t="s">
        <v>999</v>
      </c>
      <c r="G45" s="1762">
        <f>(G43/G44)</f>
        <v>0.10214401039196715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391" t="s">
        <v>1365</v>
      </c>
      <c r="B1" s="2391"/>
      <c r="C1" s="2391"/>
      <c r="D1" s="2391"/>
      <c r="E1" s="2391"/>
      <c r="F1" s="2391"/>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392" t="s">
        <v>1532</v>
      </c>
      <c r="B5" s="2393"/>
      <c r="C5" s="2394"/>
      <c r="D5" s="2394"/>
      <c r="E5" s="2394"/>
      <c r="F5" s="2394"/>
      <c r="G5" s="1458"/>
      <c r="L5" s="1458"/>
      <c r="M5" s="1806"/>
      <c r="N5" s="1806"/>
      <c r="O5" s="1806"/>
    </row>
    <row r="6" spans="1:15" ht="12" customHeight="1" x14ac:dyDescent="0.25">
      <c r="A6" s="1431"/>
      <c r="B6" s="1432"/>
      <c r="C6" s="2395" t="str">
        <f>COVER!A17</f>
        <v>Northbrook SD 28</v>
      </c>
      <c r="D6" s="2395"/>
      <c r="E6" s="2395"/>
      <c r="F6" s="1433"/>
      <c r="G6" s="1458"/>
      <c r="L6" s="1458"/>
      <c r="M6" s="1806"/>
      <c r="N6" s="1806"/>
      <c r="O6" s="1806"/>
    </row>
    <row r="7" spans="1:15" ht="11.25" customHeight="1" thickBot="1" x14ac:dyDescent="0.3">
      <c r="A7" s="1431"/>
      <c r="B7" s="1432"/>
      <c r="C7" s="2396" t="str">
        <f>COVER!A13</f>
        <v>05-016-0280-02</v>
      </c>
      <c r="D7" s="2396"/>
      <c r="E7" s="2396"/>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t="s">
        <v>2021</v>
      </c>
      <c r="D11" s="1446" t="s">
        <v>2021</v>
      </c>
      <c r="E11" s="1447" t="s">
        <v>2036</v>
      </c>
      <c r="F11" s="1448" t="s">
        <v>2037</v>
      </c>
      <c r="G11" s="1458"/>
      <c r="H11" s="1458">
        <f>IF(C11="X",5,0)</f>
        <v>5</v>
      </c>
      <c r="I11" s="1458">
        <f>IF(D11="X",5,0)</f>
        <v>5</v>
      </c>
      <c r="J11" s="1458">
        <f>IF(E11="X",5,0)</f>
        <v>0</v>
      </c>
      <c r="L11" s="1458"/>
      <c r="M11" s="1806"/>
      <c r="N11" s="1806"/>
      <c r="O11" s="1806"/>
    </row>
    <row r="12" spans="1:15" ht="12" customHeight="1" x14ac:dyDescent="0.2">
      <c r="A12" s="1444" t="s">
        <v>1370</v>
      </c>
      <c r="B12" s="1445"/>
      <c r="C12" s="1446"/>
      <c r="D12" s="1446"/>
      <c r="E12" s="1449"/>
      <c r="F12" s="1448"/>
      <c r="G12" s="1458"/>
      <c r="H12" s="1458">
        <f t="shared" ref="H12:H33" si="0">IF(C12="X",5,0)</f>
        <v>0</v>
      </c>
      <c r="I12" s="1458">
        <f t="shared" ref="I12:I33" si="1">IF(D12="X",5,0)</f>
        <v>0</v>
      </c>
      <c r="J12" s="1458">
        <f t="shared" ref="J12:J33" si="2">IF(E12="X",5,0)</f>
        <v>0</v>
      </c>
      <c r="L12" s="1458"/>
      <c r="M12" s="1806"/>
      <c r="N12" s="1806"/>
      <c r="O12" s="1806"/>
    </row>
    <row r="13" spans="1:15" ht="12" customHeight="1" x14ac:dyDescent="0.2">
      <c r="A13" s="1444" t="s">
        <v>1371</v>
      </c>
      <c r="B13" s="1445"/>
      <c r="C13" s="1446"/>
      <c r="D13" s="1446"/>
      <c r="E13" s="1449"/>
      <c r="F13" s="1448"/>
      <c r="G13" s="1458"/>
      <c r="H13" s="1458">
        <f t="shared" si="0"/>
        <v>0</v>
      </c>
      <c r="I13" s="1458">
        <f t="shared" si="1"/>
        <v>0</v>
      </c>
      <c r="J13" s="1458">
        <f t="shared" si="2"/>
        <v>0</v>
      </c>
      <c r="L13" s="1458"/>
      <c r="M13" s="1806"/>
      <c r="N13" s="1806"/>
      <c r="O13" s="1806"/>
    </row>
    <row r="14" spans="1:15" ht="12" customHeight="1" x14ac:dyDescent="0.2">
      <c r="A14" s="1444" t="s">
        <v>1372</v>
      </c>
      <c r="B14" s="1445"/>
      <c r="C14" s="1446" t="s">
        <v>2021</v>
      </c>
      <c r="D14" s="1446" t="s">
        <v>2021</v>
      </c>
      <c r="E14" s="1449" t="s">
        <v>2036</v>
      </c>
      <c r="F14" s="1448" t="s">
        <v>2038</v>
      </c>
      <c r="G14" s="1458"/>
      <c r="H14" s="1458">
        <f t="shared" si="0"/>
        <v>5</v>
      </c>
      <c r="I14" s="1458">
        <f t="shared" si="1"/>
        <v>5</v>
      </c>
      <c r="J14" s="1458">
        <f t="shared" si="2"/>
        <v>0</v>
      </c>
      <c r="L14" s="1458"/>
      <c r="M14" s="1806"/>
      <c r="N14" s="1806"/>
      <c r="O14" s="1806"/>
    </row>
    <row r="15" spans="1:15" ht="12" customHeight="1" x14ac:dyDescent="0.2">
      <c r="A15" s="1444" t="s">
        <v>1373</v>
      </c>
      <c r="B15" s="1445"/>
      <c r="C15" s="1446"/>
      <c r="D15" s="1446"/>
      <c r="E15" s="1449"/>
      <c r="F15" s="1448"/>
      <c r="G15" s="1458"/>
      <c r="H15" s="1458">
        <f t="shared" si="0"/>
        <v>0</v>
      </c>
      <c r="I15" s="1458">
        <f t="shared" si="1"/>
        <v>0</v>
      </c>
      <c r="J15" s="1458">
        <f t="shared" si="2"/>
        <v>0</v>
      </c>
      <c r="L15" s="1458"/>
      <c r="M15" s="1806"/>
      <c r="N15" s="1806"/>
      <c r="O15" s="1806"/>
    </row>
    <row r="16" spans="1:15" ht="12" customHeight="1" x14ac:dyDescent="0.2">
      <c r="A16" s="1444" t="s">
        <v>1374</v>
      </c>
      <c r="B16" s="1445"/>
      <c r="C16" s="1446"/>
      <c r="D16" s="1446"/>
      <c r="E16" s="1449"/>
      <c r="F16" s="1448"/>
      <c r="G16" s="1458"/>
      <c r="H16" s="1458">
        <f t="shared" si="0"/>
        <v>0</v>
      </c>
      <c r="I16" s="1458">
        <f t="shared" si="1"/>
        <v>0</v>
      </c>
      <c r="J16" s="1458">
        <f t="shared" si="2"/>
        <v>0</v>
      </c>
      <c r="L16" s="1458"/>
      <c r="M16" s="1806"/>
      <c r="N16" s="1806"/>
      <c r="O16" s="1806"/>
    </row>
    <row r="17" spans="1:15" ht="12" customHeight="1" x14ac:dyDescent="0.2">
      <c r="A17" s="1444" t="s">
        <v>1375</v>
      </c>
      <c r="B17" s="1445"/>
      <c r="C17" s="1446" t="s">
        <v>2021</v>
      </c>
      <c r="D17" s="1446" t="s">
        <v>2021</v>
      </c>
      <c r="E17" s="1449" t="s">
        <v>2036</v>
      </c>
      <c r="F17" s="1448" t="s">
        <v>2039</v>
      </c>
      <c r="G17" s="1458"/>
      <c r="H17" s="1458">
        <f t="shared" si="0"/>
        <v>5</v>
      </c>
      <c r="I17" s="1458">
        <f t="shared" si="1"/>
        <v>5</v>
      </c>
      <c r="J17" s="1458">
        <f t="shared" si="2"/>
        <v>0</v>
      </c>
      <c r="L17" s="1458"/>
      <c r="M17" s="1806"/>
      <c r="N17" s="1806"/>
      <c r="O17" s="1806"/>
    </row>
    <row r="18" spans="1:15" ht="12" customHeight="1" x14ac:dyDescent="0.2">
      <c r="A18" s="1444" t="s">
        <v>1376</v>
      </c>
      <c r="B18" s="1445"/>
      <c r="C18" s="1446" t="s">
        <v>2021</v>
      </c>
      <c r="D18" s="1446" t="s">
        <v>2021</v>
      </c>
      <c r="E18" s="1449" t="s">
        <v>2036</v>
      </c>
      <c r="F18" s="1448" t="s">
        <v>2040</v>
      </c>
      <c r="G18" s="1458"/>
      <c r="H18" s="1458">
        <f t="shared" si="0"/>
        <v>5</v>
      </c>
      <c r="I18" s="1458">
        <f t="shared" si="1"/>
        <v>5</v>
      </c>
      <c r="J18" s="1458">
        <f t="shared" si="2"/>
        <v>0</v>
      </c>
      <c r="L18" s="1458"/>
      <c r="M18" s="1806"/>
      <c r="N18" s="1806"/>
      <c r="O18" s="1806"/>
    </row>
    <row r="19" spans="1:15" ht="12" customHeight="1" x14ac:dyDescent="0.2">
      <c r="A19" s="1444" t="s">
        <v>1513</v>
      </c>
      <c r="B19" s="1445"/>
      <c r="C19" s="1446" t="s">
        <v>2021</v>
      </c>
      <c r="D19" s="1446" t="s">
        <v>2021</v>
      </c>
      <c r="E19" s="1449" t="s">
        <v>2036</v>
      </c>
      <c r="F19" s="1448" t="s">
        <v>2041</v>
      </c>
      <c r="G19" s="1458"/>
      <c r="H19" s="1458">
        <f t="shared" si="0"/>
        <v>5</v>
      </c>
      <c r="I19" s="1458">
        <f t="shared" si="1"/>
        <v>5</v>
      </c>
      <c r="J19" s="1458">
        <f t="shared" si="2"/>
        <v>0</v>
      </c>
      <c r="L19" s="1458"/>
      <c r="M19" s="1806"/>
      <c r="N19" s="1806"/>
      <c r="O19" s="1806"/>
    </row>
    <row r="20" spans="1:15" ht="12" customHeight="1" x14ac:dyDescent="0.2">
      <c r="A20" s="1444" t="s">
        <v>1514</v>
      </c>
      <c r="B20" s="1445"/>
      <c r="C20" s="1446" t="s">
        <v>2021</v>
      </c>
      <c r="D20" s="1446" t="s">
        <v>2021</v>
      </c>
      <c r="E20" s="1449" t="s">
        <v>2036</v>
      </c>
      <c r="F20" s="1448" t="s">
        <v>2042</v>
      </c>
      <c r="G20" s="1458"/>
      <c r="H20" s="1458">
        <f t="shared" si="0"/>
        <v>5</v>
      </c>
      <c r="I20" s="1458">
        <f t="shared" si="1"/>
        <v>5</v>
      </c>
      <c r="J20" s="1458">
        <f t="shared" si="2"/>
        <v>0</v>
      </c>
      <c r="L20" s="1458"/>
      <c r="M20" s="1806"/>
      <c r="N20" s="1806"/>
      <c r="O20" s="1806"/>
    </row>
    <row r="21" spans="1:15" ht="12" customHeight="1" x14ac:dyDescent="0.2">
      <c r="A21" s="1444" t="s">
        <v>1515</v>
      </c>
      <c r="B21" s="1445"/>
      <c r="C21" s="1446" t="s">
        <v>2021</v>
      </c>
      <c r="D21" s="1446" t="s">
        <v>2021</v>
      </c>
      <c r="E21" s="1449" t="s">
        <v>2036</v>
      </c>
      <c r="F21" s="1448" t="s">
        <v>2043</v>
      </c>
      <c r="G21" s="1458"/>
      <c r="H21" s="1458">
        <f t="shared" si="0"/>
        <v>5</v>
      </c>
      <c r="I21" s="1458">
        <f t="shared" si="1"/>
        <v>5</v>
      </c>
      <c r="J21" s="1458">
        <f t="shared" si="2"/>
        <v>0</v>
      </c>
      <c r="L21" s="1458"/>
      <c r="M21" s="1806"/>
      <c r="N21" s="1806"/>
      <c r="O21" s="1806"/>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6"/>
      <c r="N22" s="1806"/>
      <c r="O22" s="1806"/>
    </row>
    <row r="23" spans="1:15" ht="12" customHeight="1" x14ac:dyDescent="0.2">
      <c r="A23" s="1444" t="s">
        <v>1517</v>
      </c>
      <c r="B23" s="1445"/>
      <c r="C23" s="1446"/>
      <c r="D23" s="1446"/>
      <c r="E23" s="1449"/>
      <c r="F23" s="1448"/>
      <c r="G23" s="1458"/>
      <c r="H23" s="1458">
        <f t="shared" si="0"/>
        <v>0</v>
      </c>
      <c r="I23" s="1458">
        <f t="shared" si="1"/>
        <v>0</v>
      </c>
      <c r="J23" s="1458">
        <f t="shared" si="2"/>
        <v>0</v>
      </c>
      <c r="L23" s="1458"/>
      <c r="M23" s="1806"/>
      <c r="N23" s="1806"/>
      <c r="O23" s="1806"/>
    </row>
    <row r="24" spans="1:15" ht="12" customHeight="1" x14ac:dyDescent="0.2">
      <c r="A24" s="1444" t="s">
        <v>1518</v>
      </c>
      <c r="B24" s="1445"/>
      <c r="C24" s="1446" t="s">
        <v>2021</v>
      </c>
      <c r="D24" s="1446" t="s">
        <v>2021</v>
      </c>
      <c r="E24" s="1449" t="s">
        <v>2036</v>
      </c>
      <c r="F24" s="1448" t="s">
        <v>2044</v>
      </c>
      <c r="G24" s="1458"/>
      <c r="H24" s="1458">
        <f t="shared" si="0"/>
        <v>5</v>
      </c>
      <c r="I24" s="1458">
        <f t="shared" si="1"/>
        <v>5</v>
      </c>
      <c r="J24" s="1458">
        <f t="shared" si="2"/>
        <v>0</v>
      </c>
      <c r="L24" s="1458"/>
      <c r="M24" s="1806"/>
      <c r="N24" s="1806"/>
      <c r="O24" s="1806"/>
    </row>
    <row r="25" spans="1:15" ht="12" customHeight="1" x14ac:dyDescent="0.2">
      <c r="A25" s="1444" t="s">
        <v>1519</v>
      </c>
      <c r="B25" s="1445"/>
      <c r="C25" s="1446"/>
      <c r="D25" s="1446"/>
      <c r="E25" s="1449"/>
      <c r="F25" s="1448"/>
      <c r="G25" s="1458"/>
      <c r="H25" s="1458">
        <f t="shared" si="0"/>
        <v>0</v>
      </c>
      <c r="I25" s="1458">
        <f t="shared" si="1"/>
        <v>0</v>
      </c>
      <c r="J25" s="1458">
        <f t="shared" si="2"/>
        <v>0</v>
      </c>
      <c r="L25" s="1458"/>
      <c r="M25" s="1806"/>
      <c r="N25" s="1806"/>
      <c r="O25" s="1806"/>
    </row>
    <row r="26" spans="1:15" ht="12" customHeight="1" x14ac:dyDescent="0.2">
      <c r="A26" s="1444" t="s">
        <v>1520</v>
      </c>
      <c r="B26" s="1445"/>
      <c r="C26" s="1446" t="s">
        <v>2021</v>
      </c>
      <c r="D26" s="1446" t="s">
        <v>2021</v>
      </c>
      <c r="E26" s="1449" t="s">
        <v>2036</v>
      </c>
      <c r="F26" s="1448" t="s">
        <v>2045</v>
      </c>
      <c r="G26" s="1458"/>
      <c r="H26" s="1458">
        <f t="shared" si="0"/>
        <v>5</v>
      </c>
      <c r="I26" s="1458">
        <f t="shared" si="1"/>
        <v>5</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t="s">
        <v>2021</v>
      </c>
      <c r="D28" s="1446" t="s">
        <v>2021</v>
      </c>
      <c r="E28" s="1449" t="s">
        <v>2036</v>
      </c>
      <c r="F28" s="1448" t="s">
        <v>2046</v>
      </c>
      <c r="G28" s="1458"/>
      <c r="H28" s="1458">
        <f t="shared" si="0"/>
        <v>5</v>
      </c>
      <c r="I28" s="1458">
        <f t="shared" si="1"/>
        <v>5</v>
      </c>
      <c r="J28" s="1458">
        <f t="shared" si="2"/>
        <v>0</v>
      </c>
      <c r="L28" s="1458"/>
      <c r="M28" s="1806"/>
      <c r="N28" s="1806"/>
      <c r="O28" s="1806"/>
    </row>
    <row r="29" spans="1:15" ht="12" customHeight="1" x14ac:dyDescent="0.2">
      <c r="A29" s="1444" t="s">
        <v>1523</v>
      </c>
      <c r="B29" s="1445"/>
      <c r="C29" s="1446" t="s">
        <v>2021</v>
      </c>
      <c r="D29" s="1446" t="s">
        <v>2021</v>
      </c>
      <c r="E29" s="1449" t="s">
        <v>2036</v>
      </c>
      <c r="F29" s="1448" t="s">
        <v>2047</v>
      </c>
      <c r="G29" s="1458"/>
      <c r="H29" s="1458">
        <f t="shared" si="0"/>
        <v>5</v>
      </c>
      <c r="I29" s="1458">
        <f t="shared" si="1"/>
        <v>5</v>
      </c>
      <c r="J29" s="1458">
        <f t="shared" si="2"/>
        <v>0</v>
      </c>
      <c r="L29" s="1458"/>
      <c r="M29" s="1806"/>
      <c r="N29" s="1806"/>
      <c r="O29" s="1806"/>
    </row>
    <row r="30" spans="1:15" ht="12" customHeight="1" x14ac:dyDescent="0.2">
      <c r="A30" s="1444" t="s">
        <v>1524</v>
      </c>
      <c r="B30" s="1445"/>
      <c r="C30" s="1446" t="s">
        <v>2021</v>
      </c>
      <c r="D30" s="1446" t="s">
        <v>2021</v>
      </c>
      <c r="E30" s="1449" t="s">
        <v>2036</v>
      </c>
      <c r="F30" s="1448" t="s">
        <v>2048</v>
      </c>
      <c r="G30" s="1458"/>
      <c r="H30" s="1458">
        <f t="shared" si="0"/>
        <v>5</v>
      </c>
      <c r="I30" s="1458">
        <f t="shared" si="1"/>
        <v>5</v>
      </c>
      <c r="J30" s="1458">
        <f t="shared" si="2"/>
        <v>0</v>
      </c>
      <c r="L30" s="1458"/>
      <c r="M30" s="1806"/>
      <c r="N30" s="1806"/>
      <c r="O30" s="1806"/>
    </row>
    <row r="31" spans="1:15" ht="12" customHeight="1" x14ac:dyDescent="0.2">
      <c r="A31" s="1444" t="s">
        <v>1525</v>
      </c>
      <c r="B31" s="1445"/>
      <c r="C31" s="1446"/>
      <c r="D31" s="1446"/>
      <c r="E31" s="1449"/>
      <c r="F31" s="1448"/>
      <c r="G31" s="1458"/>
      <c r="H31" s="1458">
        <f t="shared" si="0"/>
        <v>0</v>
      </c>
      <c r="I31" s="1458">
        <f t="shared" si="1"/>
        <v>0</v>
      </c>
      <c r="J31" s="1458">
        <f t="shared" si="2"/>
        <v>0</v>
      </c>
      <c r="L31" s="1807"/>
      <c r="M31" s="1806"/>
      <c r="N31" s="1806"/>
      <c r="O31" s="1806"/>
    </row>
    <row r="32" spans="1:15" ht="12" customHeight="1" x14ac:dyDescent="0.2">
      <c r="A32" s="1444" t="s">
        <v>1526</v>
      </c>
      <c r="B32" s="1445"/>
      <c r="C32" s="1446" t="s">
        <v>2021</v>
      </c>
      <c r="D32" s="1446" t="s">
        <v>2021</v>
      </c>
      <c r="E32" s="1449" t="s">
        <v>2036</v>
      </c>
      <c r="F32" s="1448" t="s">
        <v>2049</v>
      </c>
      <c r="G32" s="1458"/>
      <c r="H32" s="1458">
        <f t="shared" si="0"/>
        <v>5</v>
      </c>
      <c r="I32" s="1458">
        <f t="shared" si="1"/>
        <v>5</v>
      </c>
      <c r="J32" s="1458">
        <f t="shared" si="2"/>
        <v>0</v>
      </c>
      <c r="L32" s="1458"/>
      <c r="M32" s="1806"/>
      <c r="N32" s="1806"/>
      <c r="O32" s="1806"/>
    </row>
    <row r="33" spans="1:15" ht="12" customHeight="1" x14ac:dyDescent="0.2">
      <c r="A33" s="1444" t="s">
        <v>1527</v>
      </c>
      <c r="B33" s="1445"/>
      <c r="C33" s="1446" t="s">
        <v>2021</v>
      </c>
      <c r="D33" s="1446" t="s">
        <v>2021</v>
      </c>
      <c r="E33" s="1449" t="s">
        <v>2036</v>
      </c>
      <c r="F33" s="1448" t="s">
        <v>2050</v>
      </c>
      <c r="G33" s="1458"/>
      <c r="H33" s="1458">
        <f t="shared" si="0"/>
        <v>5</v>
      </c>
      <c r="I33" s="1458">
        <f t="shared" si="1"/>
        <v>5</v>
      </c>
      <c r="J33" s="1458">
        <f t="shared" si="2"/>
        <v>0</v>
      </c>
      <c r="L33" s="1458"/>
      <c r="M33" s="1806"/>
      <c r="N33" s="1806"/>
      <c r="O33" s="1806"/>
    </row>
    <row r="34" spans="1:15" ht="12" customHeight="1" x14ac:dyDescent="0.25">
      <c r="A34" s="1450"/>
      <c r="B34" s="1450"/>
      <c r="C34" s="1450"/>
      <c r="D34" s="1450"/>
      <c r="E34" s="1450"/>
      <c r="F34" s="1450"/>
      <c r="G34" s="1458"/>
      <c r="H34" s="1458">
        <f>SUM(H11:H32)</f>
        <v>65</v>
      </c>
      <c r="I34" s="1458">
        <f>SUM(I11:I32)</f>
        <v>65</v>
      </c>
      <c r="J34" s="1458">
        <f>SUM(J11:J32)</f>
        <v>0</v>
      </c>
      <c r="K34" s="1458">
        <f>SUM(H34:J34)</f>
        <v>130</v>
      </c>
      <c r="L34" s="1458"/>
      <c r="M34" s="1806"/>
      <c r="N34" s="1806"/>
      <c r="O34" s="1806"/>
    </row>
    <row r="35" spans="1:15" ht="12" customHeight="1" x14ac:dyDescent="0.2">
      <c r="A35" s="1451" t="s">
        <v>1378</v>
      </c>
      <c r="B35" s="1452"/>
      <c r="C35" s="2397"/>
      <c r="D35" s="2397"/>
      <c r="E35" s="2397"/>
      <c r="F35" s="2398"/>
    </row>
    <row r="36" spans="1:15" ht="12" customHeight="1" x14ac:dyDescent="0.2">
      <c r="A36" s="2388"/>
      <c r="B36" s="2389"/>
      <c r="C36" s="2389"/>
      <c r="D36" s="2389"/>
      <c r="E36" s="2389"/>
      <c r="F36" s="2390"/>
    </row>
    <row r="37" spans="1:15" ht="12" customHeight="1" x14ac:dyDescent="0.2">
      <c r="A37" s="2388"/>
      <c r="B37" s="2389"/>
      <c r="C37" s="2389"/>
      <c r="D37" s="2389"/>
      <c r="E37" s="2389"/>
      <c r="F37" s="2390"/>
    </row>
    <row r="38" spans="1:15" ht="12" customHeight="1" x14ac:dyDescent="0.2">
      <c r="A38" s="2402"/>
      <c r="B38" s="2403"/>
      <c r="C38" s="2403"/>
      <c r="D38" s="2403"/>
      <c r="E38" s="2403"/>
      <c r="F38" s="2404"/>
    </row>
    <row r="39" spans="1:15" ht="4.5" hidden="1" customHeight="1" x14ac:dyDescent="0.2">
      <c r="A39" s="1453"/>
      <c r="B39" s="1453"/>
      <c r="C39" s="1453"/>
      <c r="D39" s="1453"/>
      <c r="E39" s="1453"/>
      <c r="F39" s="1453"/>
    </row>
    <row r="40" spans="1:15" s="1450" customFormat="1" ht="12" customHeight="1" x14ac:dyDescent="0.25">
      <c r="A40" s="1454" t="s">
        <v>1377</v>
      </c>
      <c r="B40" s="1455"/>
      <c r="C40" s="2405"/>
      <c r="D40" s="2405"/>
      <c r="E40" s="2405"/>
      <c r="F40" s="2406"/>
      <c r="H40" s="1459"/>
      <c r="I40" s="1459"/>
      <c r="J40" s="1459"/>
      <c r="K40" s="1459"/>
    </row>
    <row r="41" spans="1:15" s="1450" customFormat="1" ht="12" customHeight="1" x14ac:dyDescent="0.25">
      <c r="A41" s="2407"/>
      <c r="B41" s="2408"/>
      <c r="C41" s="2408"/>
      <c r="D41" s="2408"/>
      <c r="E41" s="2408"/>
      <c r="F41" s="2409"/>
      <c r="H41" s="1459"/>
      <c r="I41" s="1459"/>
      <c r="J41" s="1459"/>
      <c r="K41" s="1459"/>
    </row>
    <row r="42" spans="1:15" s="1450" customFormat="1" ht="12" customHeight="1" x14ac:dyDescent="0.25">
      <c r="A42" s="2407"/>
      <c r="B42" s="2408"/>
      <c r="C42" s="2408"/>
      <c r="D42" s="2408"/>
      <c r="E42" s="2408"/>
      <c r="F42" s="2409"/>
      <c r="H42" s="1459"/>
      <c r="I42" s="1459"/>
      <c r="J42" s="1459"/>
      <c r="K42" s="1459"/>
    </row>
    <row r="43" spans="1:15" s="1450" customFormat="1" ht="15" x14ac:dyDescent="0.25">
      <c r="A43" s="2399"/>
      <c r="B43" s="2400"/>
      <c r="C43" s="2400"/>
      <c r="D43" s="2400"/>
      <c r="E43" s="2400"/>
      <c r="F43" s="2401"/>
      <c r="H43" s="1459"/>
      <c r="I43" s="1459"/>
      <c r="J43" s="1459"/>
      <c r="K43" s="1459"/>
    </row>
    <row r="44" spans="1:15" s="1450" customFormat="1" ht="12" hidden="1" customHeight="1" x14ac:dyDescent="0.25">
      <c r="A44" s="2399"/>
      <c r="B44" s="2400"/>
      <c r="C44" s="2400"/>
      <c r="D44" s="2400"/>
      <c r="E44" s="2400"/>
      <c r="F44" s="2401"/>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8C4A3-86D2-4F18-8D7F-883B4D5143EA}">
  <sheetPr codeName="Sheet12">
    <tabColor rgb="FF92D050"/>
    <pageSetUpPr fitToPage="1"/>
  </sheetPr>
  <dimension ref="A1:N83"/>
  <sheetViews>
    <sheetView showGridLines="0" zoomScaleNormal="100" workbookViewId="0">
      <selection activeCell="I16" sqref="I16"/>
    </sheetView>
  </sheetViews>
  <sheetFormatPr defaultColWidth="9.140625" defaultRowHeight="12.75" x14ac:dyDescent="0.2"/>
  <cols>
    <col min="1" max="1" width="2.85546875" style="1878" customWidth="1"/>
    <col min="2" max="2" width="3" style="1878" customWidth="1"/>
    <col min="3" max="3" width="48.5703125" style="1878" customWidth="1"/>
    <col min="4" max="4" width="7.42578125" style="1878" customWidth="1"/>
    <col min="5" max="5" width="11.28515625" style="1878" customWidth="1"/>
    <col min="6" max="6" width="10.85546875" style="1878" customWidth="1"/>
    <col min="7" max="8" width="9.140625" style="1878"/>
    <col min="9" max="9" width="11.140625" style="1878" customWidth="1"/>
    <col min="10" max="10" width="10.85546875" style="1878" customWidth="1"/>
    <col min="11" max="11" width="9.140625" style="1878"/>
    <col min="12" max="12" width="14.140625" style="1878" customWidth="1"/>
    <col min="13" max="13" width="9.140625" style="1878"/>
    <col min="14" max="14" width="18.7109375" style="1878" customWidth="1"/>
    <col min="15" max="16384" width="9.140625" style="1878"/>
  </cols>
  <sheetData>
    <row r="1" spans="1:14" x14ac:dyDescent="0.2">
      <c r="A1" s="1873"/>
      <c r="B1" s="1874"/>
      <c r="C1" s="1874"/>
      <c r="D1" s="1874"/>
      <c r="E1" s="1874"/>
      <c r="F1" s="1874"/>
      <c r="G1" s="1875" t="s">
        <v>402</v>
      </c>
      <c r="H1" s="1876"/>
      <c r="I1" s="1874"/>
      <c r="J1" s="1874"/>
      <c r="K1" s="1874"/>
      <c r="L1" s="1874"/>
      <c r="M1" s="1874"/>
      <c r="N1" s="1877"/>
    </row>
    <row r="2" spans="1:14" x14ac:dyDescent="0.2">
      <c r="A2" s="1879"/>
      <c r="B2" s="847"/>
      <c r="C2" s="847"/>
      <c r="D2" s="847"/>
      <c r="E2" s="847"/>
      <c r="F2" s="847"/>
      <c r="G2" s="1872" t="s">
        <v>2005</v>
      </c>
      <c r="H2" s="1880"/>
      <c r="I2" s="847"/>
      <c r="J2" s="847"/>
      <c r="K2" s="847"/>
      <c r="L2" s="847"/>
      <c r="M2" s="847"/>
      <c r="N2" s="1881"/>
    </row>
    <row r="3" spans="1:14" x14ac:dyDescent="0.2">
      <c r="A3" s="1879"/>
      <c r="B3" s="847"/>
      <c r="C3" s="847"/>
      <c r="D3" s="847"/>
      <c r="E3" s="847"/>
      <c r="F3" s="847"/>
      <c r="G3" s="1872" t="s">
        <v>403</v>
      </c>
      <c r="H3" s="847"/>
      <c r="I3" s="847"/>
      <c r="J3" s="847"/>
      <c r="K3" s="847"/>
      <c r="L3" s="847"/>
      <c r="M3" s="847"/>
      <c r="N3" s="1881"/>
    </row>
    <row r="4" spans="1:14" x14ac:dyDescent="0.2">
      <c r="A4" s="1879"/>
      <c r="B4" s="847"/>
      <c r="C4" s="847"/>
      <c r="D4" s="847"/>
      <c r="E4" s="847"/>
      <c r="F4" s="847"/>
      <c r="G4" s="1872" t="s">
        <v>863</v>
      </c>
      <c r="H4" s="847"/>
      <c r="I4" s="847"/>
      <c r="J4" s="847"/>
      <c r="K4" s="847"/>
      <c r="L4" s="847"/>
      <c r="M4" s="847"/>
      <c r="N4" s="1881"/>
    </row>
    <row r="5" spans="1:14" x14ac:dyDescent="0.2">
      <c r="A5" s="1879"/>
      <c r="B5" s="847"/>
      <c r="C5" s="847"/>
      <c r="D5" s="847"/>
      <c r="E5" s="847"/>
      <c r="F5" s="1872"/>
      <c r="G5" s="1872"/>
      <c r="H5" s="847"/>
      <c r="I5" s="847"/>
      <c r="J5" s="847"/>
      <c r="K5" s="847"/>
      <c r="L5" s="847"/>
      <c r="M5" s="847"/>
      <c r="N5" s="1881"/>
    </row>
    <row r="6" spans="1:14" x14ac:dyDescent="0.2">
      <c r="A6" s="1882" t="s">
        <v>667</v>
      </c>
      <c r="B6" s="1328"/>
      <c r="C6" s="1328"/>
      <c r="D6" s="1328"/>
      <c r="E6" s="1329"/>
      <c r="F6" s="1883"/>
      <c r="G6" s="1872"/>
      <c r="H6" s="847"/>
      <c r="I6" s="1884" t="s">
        <v>1021</v>
      </c>
      <c r="J6" s="2411" t="str">
        <f>COVER!A17</f>
        <v>Northbrook SD 28</v>
      </c>
      <c r="K6" s="2411"/>
      <c r="L6" s="2412"/>
      <c r="M6" s="847"/>
      <c r="N6" s="1881"/>
    </row>
    <row r="7" spans="1:14" x14ac:dyDescent="0.2">
      <c r="A7" s="2413" t="s">
        <v>864</v>
      </c>
      <c r="B7" s="2414"/>
      <c r="C7" s="2414"/>
      <c r="D7" s="2414"/>
      <c r="E7" s="2415"/>
      <c r="F7" s="1885"/>
      <c r="G7" s="847"/>
      <c r="H7" s="847"/>
      <c r="I7" s="1884" t="s">
        <v>369</v>
      </c>
      <c r="J7" s="2416" t="str">
        <f>COVER!A13</f>
        <v>05-016-0280-02</v>
      </c>
      <c r="K7" s="2416"/>
      <c r="L7" s="2416"/>
      <c r="M7" s="847"/>
      <c r="N7" s="1881"/>
    </row>
    <row r="8" spans="1:14" x14ac:dyDescent="0.2">
      <c r="A8" s="1886"/>
      <c r="B8" s="1887"/>
      <c r="C8" s="1887"/>
      <c r="D8" s="1887"/>
      <c r="E8" s="1888"/>
      <c r="F8" s="1889"/>
      <c r="G8" s="1890"/>
      <c r="H8" s="1890"/>
      <c r="I8" s="1890"/>
      <c r="J8" s="1890"/>
      <c r="K8" s="1890"/>
      <c r="L8" s="1890"/>
      <c r="M8" s="847"/>
      <c r="N8" s="1881"/>
    </row>
    <row r="9" spans="1:14" x14ac:dyDescent="0.2">
      <c r="A9" s="1891"/>
      <c r="B9" s="1892"/>
      <c r="C9" s="1892"/>
      <c r="D9" s="1893"/>
      <c r="E9" s="1894" t="s">
        <v>2051</v>
      </c>
      <c r="F9" s="1895"/>
      <c r="G9" s="1895"/>
      <c r="H9" s="1895"/>
      <c r="I9" s="1896" t="s">
        <v>2052</v>
      </c>
      <c r="J9" s="1895"/>
      <c r="K9" s="1895"/>
      <c r="L9" s="1897"/>
      <c r="M9" s="847"/>
      <c r="N9" s="1881"/>
    </row>
    <row r="10" spans="1:14" x14ac:dyDescent="0.2">
      <c r="A10" s="1879"/>
      <c r="B10" s="847"/>
      <c r="C10" s="1872"/>
      <c r="D10" s="1898"/>
      <c r="E10" s="1899" t="s">
        <v>422</v>
      </c>
      <c r="F10" s="1900" t="s">
        <v>423</v>
      </c>
      <c r="G10" s="1901" t="s">
        <v>429</v>
      </c>
      <c r="H10" s="1902"/>
      <c r="I10" s="1900" t="s">
        <v>422</v>
      </c>
      <c r="J10" s="1900" t="s">
        <v>423</v>
      </c>
      <c r="K10" s="1901" t="s">
        <v>429</v>
      </c>
      <c r="L10" s="1900"/>
      <c r="M10" s="847"/>
      <c r="N10" s="1881"/>
    </row>
    <row r="11" spans="1:14" ht="51" x14ac:dyDescent="0.2">
      <c r="A11" s="2417" t="s">
        <v>478</v>
      </c>
      <c r="B11" s="2418"/>
      <c r="C11" s="2419"/>
      <c r="D11" s="1903" t="s">
        <v>866</v>
      </c>
      <c r="E11" s="1903" t="s">
        <v>64</v>
      </c>
      <c r="F11" s="1903" t="s">
        <v>6</v>
      </c>
      <c r="G11" s="1904" t="s">
        <v>2053</v>
      </c>
      <c r="H11" s="1905" t="s">
        <v>155</v>
      </c>
      <c r="I11" s="1903" t="s">
        <v>64</v>
      </c>
      <c r="J11" s="1903" t="s">
        <v>6</v>
      </c>
      <c r="K11" s="1904" t="s">
        <v>2004</v>
      </c>
      <c r="L11" s="1905" t="s">
        <v>155</v>
      </c>
      <c r="M11" s="847"/>
      <c r="N11" s="1881"/>
    </row>
    <row r="12" spans="1:14" x14ac:dyDescent="0.2">
      <c r="A12" s="1906">
        <v>1</v>
      </c>
      <c r="B12" s="1907" t="s">
        <v>813</v>
      </c>
      <c r="C12" s="1908"/>
      <c r="D12" s="1909">
        <v>2320</v>
      </c>
      <c r="E12" s="1910">
        <f>'Expenditures 15-22'!K50</f>
        <v>800830</v>
      </c>
      <c r="F12" s="1911"/>
      <c r="G12" s="1912">
        <f>G68</f>
        <v>0</v>
      </c>
      <c r="H12" s="1910">
        <f t="shared" ref="H12:H18" si="0">SUM(E12:G12)</f>
        <v>800830</v>
      </c>
      <c r="I12" s="1913">
        <v>832836</v>
      </c>
      <c r="J12" s="1911"/>
      <c r="K12" s="1913"/>
      <c r="L12" s="1910">
        <f t="shared" ref="L12:L18" si="1">SUM(I12:K12)</f>
        <v>832836</v>
      </c>
      <c r="M12" s="847"/>
      <c r="N12" s="1881"/>
    </row>
    <row r="13" spans="1:14" x14ac:dyDescent="0.2">
      <c r="A13" s="1906">
        <v>2</v>
      </c>
      <c r="B13" s="1907" t="s">
        <v>42</v>
      </c>
      <c r="C13" s="1908"/>
      <c r="D13" s="1909">
        <v>2330</v>
      </c>
      <c r="E13" s="1910">
        <f>'Expenditures 15-22'!K51</f>
        <v>0</v>
      </c>
      <c r="F13" s="1911"/>
      <c r="G13" s="1912">
        <f>H68</f>
        <v>0</v>
      </c>
      <c r="H13" s="1910">
        <f t="shared" si="0"/>
        <v>0</v>
      </c>
      <c r="I13" s="1913"/>
      <c r="J13" s="1911"/>
      <c r="K13" s="1913"/>
      <c r="L13" s="1910">
        <f t="shared" si="1"/>
        <v>0</v>
      </c>
      <c r="M13" s="847"/>
      <c r="N13" s="1881"/>
    </row>
    <row r="14" spans="1:14" x14ac:dyDescent="0.2">
      <c r="A14" s="1906">
        <v>3</v>
      </c>
      <c r="B14" s="1907" t="s">
        <v>43</v>
      </c>
      <c r="C14" s="1908"/>
      <c r="D14" s="1914">
        <v>2490</v>
      </c>
      <c r="E14" s="1910">
        <f>'Expenditures 15-22'!K56</f>
        <v>0</v>
      </c>
      <c r="F14" s="1911"/>
      <c r="G14" s="1912">
        <f>I68</f>
        <v>0</v>
      </c>
      <c r="H14" s="1910">
        <f t="shared" si="0"/>
        <v>0</v>
      </c>
      <c r="I14" s="1913"/>
      <c r="J14" s="1911"/>
      <c r="K14" s="1913"/>
      <c r="L14" s="1910">
        <f t="shared" si="1"/>
        <v>0</v>
      </c>
      <c r="M14" s="847"/>
      <c r="N14" s="1881"/>
    </row>
    <row r="15" spans="1:14" x14ac:dyDescent="0.2">
      <c r="A15" s="1906">
        <v>4</v>
      </c>
      <c r="B15" s="1907" t="s">
        <v>1061</v>
      </c>
      <c r="C15" s="1908"/>
      <c r="D15" s="1909">
        <v>2510</v>
      </c>
      <c r="E15" s="1910">
        <f>'Expenditures 15-22'!K59</f>
        <v>384949</v>
      </c>
      <c r="F15" s="1910">
        <f>'Expenditures 15-22'!K122</f>
        <v>0</v>
      </c>
      <c r="G15" s="1912">
        <f>J68</f>
        <v>0</v>
      </c>
      <c r="H15" s="1910">
        <f t="shared" si="0"/>
        <v>384949</v>
      </c>
      <c r="I15" s="1913">
        <v>400760</v>
      </c>
      <c r="J15" s="1913"/>
      <c r="K15" s="1913"/>
      <c r="L15" s="1910">
        <f t="shared" si="1"/>
        <v>400760</v>
      </c>
      <c r="M15" s="847"/>
      <c r="N15" s="1881"/>
    </row>
    <row r="16" spans="1:14" x14ac:dyDescent="0.2">
      <c r="A16" s="1906">
        <v>5</v>
      </c>
      <c r="B16" s="1907" t="s">
        <v>101</v>
      </c>
      <c r="C16" s="1908"/>
      <c r="D16" s="1909">
        <v>2570</v>
      </c>
      <c r="E16" s="1910">
        <f>'Expenditures 15-22'!K64</f>
        <v>0</v>
      </c>
      <c r="F16" s="1911"/>
      <c r="G16" s="1912">
        <f>K68</f>
        <v>0</v>
      </c>
      <c r="H16" s="1910">
        <f t="shared" si="0"/>
        <v>0</v>
      </c>
      <c r="I16" s="1913"/>
      <c r="J16" s="1911"/>
      <c r="K16" s="1913"/>
      <c r="L16" s="1910">
        <f t="shared" si="1"/>
        <v>0</v>
      </c>
      <c r="M16" s="847"/>
      <c r="N16" s="1881"/>
    </row>
    <row r="17" spans="1:14" x14ac:dyDescent="0.2">
      <c r="A17" s="1906">
        <v>6</v>
      </c>
      <c r="B17" s="1907" t="s">
        <v>1053</v>
      </c>
      <c r="C17" s="1908"/>
      <c r="D17" s="1909">
        <v>2610</v>
      </c>
      <c r="E17" s="1910">
        <f>'Expenditures 15-22'!K67</f>
        <v>0</v>
      </c>
      <c r="F17" s="1911"/>
      <c r="G17" s="1912">
        <f>L68</f>
        <v>0</v>
      </c>
      <c r="H17" s="1910">
        <f t="shared" si="0"/>
        <v>0</v>
      </c>
      <c r="I17" s="1913"/>
      <c r="J17" s="1911"/>
      <c r="K17" s="1913"/>
      <c r="L17" s="1910">
        <f t="shared" si="1"/>
        <v>0</v>
      </c>
      <c r="M17" s="847"/>
      <c r="N17" s="1881"/>
    </row>
    <row r="18" spans="1:14" ht="26.25" customHeight="1" x14ac:dyDescent="0.2">
      <c r="A18" s="1915">
        <v>7</v>
      </c>
      <c r="B18" s="2420" t="s">
        <v>7</v>
      </c>
      <c r="C18" s="2420"/>
      <c r="D18" s="2421"/>
      <c r="E18" s="1913"/>
      <c r="F18" s="1913"/>
      <c r="G18" s="1913"/>
      <c r="H18" s="1910">
        <f t="shared" si="0"/>
        <v>0</v>
      </c>
      <c r="I18" s="1913"/>
      <c r="J18" s="1913"/>
      <c r="K18" s="1913"/>
      <c r="L18" s="1910">
        <f t="shared" si="1"/>
        <v>0</v>
      </c>
      <c r="M18" s="847"/>
      <c r="N18" s="1881"/>
    </row>
    <row r="19" spans="1:14" ht="13.5" thickBot="1" x14ac:dyDescent="0.25">
      <c r="A19" s="1906">
        <v>8</v>
      </c>
      <c r="B19" s="1916" t="s">
        <v>1153</v>
      </c>
      <c r="C19" s="847"/>
      <c r="D19" s="1917"/>
      <c r="E19" s="1918">
        <f t="shared" ref="E19:L19" si="2">SUM(E12:E17)-E18</f>
        <v>1185779</v>
      </c>
      <c r="F19" s="1918">
        <f t="shared" si="2"/>
        <v>0</v>
      </c>
      <c r="G19" s="1918">
        <f t="shared" ref="G19" si="3">SUM(G12:G17)-G18</f>
        <v>0</v>
      </c>
      <c r="H19" s="1918">
        <f t="shared" si="2"/>
        <v>1185779</v>
      </c>
      <c r="I19" s="1918">
        <f t="shared" si="2"/>
        <v>1233596</v>
      </c>
      <c r="J19" s="1918">
        <f t="shared" si="2"/>
        <v>0</v>
      </c>
      <c r="K19" s="1918">
        <f t="shared" si="2"/>
        <v>0</v>
      </c>
      <c r="L19" s="1918">
        <f t="shared" si="2"/>
        <v>1233596</v>
      </c>
      <c r="M19" s="847"/>
      <c r="N19" s="1881"/>
    </row>
    <row r="20" spans="1:14" ht="13.5" thickTop="1" x14ac:dyDescent="0.2">
      <c r="A20" s="1906">
        <v>9</v>
      </c>
      <c r="B20" s="2422" t="s">
        <v>2054</v>
      </c>
      <c r="C20" s="2422"/>
      <c r="D20" s="2423"/>
      <c r="E20" s="1919"/>
      <c r="F20" s="1919"/>
      <c r="G20" s="1919"/>
      <c r="H20" s="1919"/>
      <c r="I20" s="1919"/>
      <c r="J20" s="1919"/>
      <c r="K20" s="1919"/>
      <c r="L20" s="1920">
        <f>IF(AND(H19&gt;0,L19&gt;0),(((L19-H19)/H19)),"Enter Budget Data")</f>
        <v>4.0325389469707255E-2</v>
      </c>
      <c r="M20" s="847"/>
      <c r="N20" s="1881"/>
    </row>
    <row r="21" spans="1:14" x14ac:dyDescent="0.2">
      <c r="A21" s="1921" t="s">
        <v>194</v>
      </c>
      <c r="B21" s="294" t="s">
        <v>2055</v>
      </c>
      <c r="C21" s="847"/>
      <c r="D21" s="1922"/>
      <c r="E21" s="1923"/>
      <c r="F21" s="1924"/>
      <c r="G21" s="1924"/>
      <c r="H21" s="1924"/>
      <c r="I21" s="1924"/>
      <c r="J21" s="1924"/>
      <c r="K21" s="1924"/>
      <c r="L21" s="1925"/>
      <c r="M21" s="847"/>
      <c r="N21" s="1881"/>
    </row>
    <row r="22" spans="1:14" x14ac:dyDescent="0.2">
      <c r="A22" s="1879"/>
      <c r="B22" s="1926"/>
      <c r="C22" s="847"/>
      <c r="D22" s="847"/>
      <c r="E22" s="847"/>
      <c r="F22" s="847"/>
      <c r="G22" s="847"/>
      <c r="H22" s="847"/>
      <c r="I22" s="847"/>
      <c r="J22" s="847"/>
      <c r="K22" s="847"/>
      <c r="L22" s="847"/>
      <c r="M22" s="847"/>
      <c r="N22" s="1881"/>
    </row>
    <row r="23" spans="1:14" x14ac:dyDescent="0.2">
      <c r="A23" s="1927" t="s">
        <v>132</v>
      </c>
      <c r="B23" s="1926"/>
      <c r="C23" s="847"/>
      <c r="D23" s="847"/>
      <c r="E23" s="847"/>
      <c r="F23" s="847"/>
      <c r="G23" s="847"/>
      <c r="H23" s="847"/>
      <c r="I23" s="847"/>
      <c r="J23" s="847"/>
      <c r="K23" s="847"/>
      <c r="L23" s="847"/>
      <c r="M23" s="847"/>
      <c r="N23" s="1881"/>
    </row>
    <row r="24" spans="1:14" x14ac:dyDescent="0.2">
      <c r="A24" s="1928" t="s">
        <v>2056</v>
      </c>
      <c r="B24" s="1929"/>
      <c r="C24" s="1930"/>
      <c r="D24" s="1930"/>
      <c r="E24" s="1930"/>
      <c r="F24" s="1930"/>
      <c r="G24" s="1930"/>
      <c r="H24" s="1930"/>
      <c r="I24" s="1930"/>
      <c r="J24" s="1930"/>
      <c r="K24" s="1930"/>
      <c r="L24" s="847"/>
      <c r="M24" s="847"/>
      <c r="N24" s="1881"/>
    </row>
    <row r="25" spans="1:14" x14ac:dyDescent="0.2">
      <c r="A25" s="1928" t="s">
        <v>2057</v>
      </c>
      <c r="B25" s="1929"/>
      <c r="C25" s="1930"/>
      <c r="D25" s="1930"/>
      <c r="E25" s="1930"/>
      <c r="F25" s="1930"/>
      <c r="G25" s="1930"/>
      <c r="H25" s="1930"/>
      <c r="I25" s="1930"/>
      <c r="J25" s="1930"/>
      <c r="K25" s="1930"/>
      <c r="L25" s="847"/>
      <c r="M25" s="847"/>
      <c r="N25" s="1881"/>
    </row>
    <row r="26" spans="1:14" x14ac:dyDescent="0.2">
      <c r="A26" s="1931"/>
      <c r="B26" s="1926"/>
      <c r="C26" s="847"/>
      <c r="D26" s="847"/>
      <c r="E26" s="847"/>
      <c r="F26" s="847"/>
      <c r="G26" s="847"/>
      <c r="H26" s="847"/>
      <c r="I26" s="847"/>
      <c r="J26" s="847"/>
      <c r="K26" s="847"/>
      <c r="L26" s="847"/>
      <c r="M26" s="847"/>
      <c r="N26" s="1881"/>
    </row>
    <row r="27" spans="1:14" x14ac:dyDescent="0.2">
      <c r="A27" s="1879"/>
      <c r="B27" s="1926"/>
      <c r="C27" s="2424"/>
      <c r="D27" s="2424"/>
      <c r="E27" s="1932"/>
      <c r="F27" s="2425"/>
      <c r="G27" s="2425"/>
      <c r="H27" s="2425"/>
      <c r="I27" s="847"/>
      <c r="J27" s="847"/>
      <c r="K27" s="847"/>
      <c r="L27" s="847"/>
      <c r="M27" s="847"/>
      <c r="N27" s="1881"/>
    </row>
    <row r="28" spans="1:14" x14ac:dyDescent="0.2">
      <c r="A28" s="1879"/>
      <c r="B28" s="1926"/>
      <c r="C28" s="1933" t="s">
        <v>1026</v>
      </c>
      <c r="D28" s="1934"/>
      <c r="E28" s="1935"/>
      <c r="F28" s="2426" t="s">
        <v>1495</v>
      </c>
      <c r="G28" s="2426"/>
      <c r="H28" s="2426"/>
      <c r="I28" s="847"/>
      <c r="J28" s="847"/>
      <c r="K28" s="847"/>
      <c r="L28" s="847"/>
      <c r="M28" s="847"/>
      <c r="N28" s="1881"/>
    </row>
    <row r="29" spans="1:14" x14ac:dyDescent="0.2">
      <c r="A29" s="1879"/>
      <c r="B29" s="1926"/>
      <c r="C29" s="2427"/>
      <c r="D29" s="2427"/>
      <c r="E29" s="846"/>
      <c r="F29" s="2427"/>
      <c r="G29" s="2427"/>
      <c r="H29" s="2427"/>
      <c r="I29" s="847"/>
      <c r="J29" s="847"/>
      <c r="K29" s="847"/>
      <c r="L29" s="847"/>
      <c r="M29" s="847"/>
      <c r="N29" s="1881"/>
    </row>
    <row r="30" spans="1:14" x14ac:dyDescent="0.2">
      <c r="A30" s="1879"/>
      <c r="B30" s="1926"/>
      <c r="C30" s="1936" t="s">
        <v>1547</v>
      </c>
      <c r="D30" s="847"/>
      <c r="E30" s="1937"/>
      <c r="F30" s="2410" t="s">
        <v>1496</v>
      </c>
      <c r="G30" s="2410"/>
      <c r="H30" s="2410"/>
      <c r="I30" s="847"/>
      <c r="J30" s="847"/>
      <c r="K30" s="847"/>
      <c r="L30" s="847"/>
      <c r="M30" s="847"/>
      <c r="N30" s="1881"/>
    </row>
    <row r="31" spans="1:14" x14ac:dyDescent="0.2">
      <c r="A31" s="1879"/>
      <c r="B31" s="1926"/>
      <c r="C31" s="1938"/>
      <c r="D31" s="847"/>
      <c r="E31" s="1922"/>
      <c r="F31" s="1923"/>
      <c r="G31" s="1923"/>
      <c r="H31" s="1923"/>
      <c r="I31" s="847"/>
      <c r="J31" s="847"/>
      <c r="K31" s="847"/>
      <c r="L31" s="847"/>
      <c r="M31" s="847"/>
      <c r="N31" s="1881"/>
    </row>
    <row r="32" spans="1:14" x14ac:dyDescent="0.2">
      <c r="A32" s="1879"/>
      <c r="B32" s="1939" t="s">
        <v>1027</v>
      </c>
      <c r="C32" s="847"/>
      <c r="D32" s="847"/>
      <c r="E32" s="847"/>
      <c r="F32" s="847"/>
      <c r="G32" s="847"/>
      <c r="H32" s="847"/>
      <c r="I32" s="847"/>
      <c r="J32" s="847"/>
      <c r="K32" s="847"/>
      <c r="L32" s="847"/>
      <c r="M32" s="847"/>
      <c r="N32" s="1881"/>
    </row>
    <row r="33" spans="1:14" x14ac:dyDescent="0.2">
      <c r="A33" s="1879"/>
      <c r="B33" s="1940"/>
      <c r="C33" s="847"/>
      <c r="D33" s="847"/>
      <c r="E33" s="847"/>
      <c r="F33" s="847"/>
      <c r="G33" s="847"/>
      <c r="H33" s="847"/>
      <c r="I33" s="847"/>
      <c r="J33" s="847"/>
      <c r="K33" s="847"/>
      <c r="L33" s="847"/>
      <c r="M33" s="847"/>
      <c r="N33" s="1881"/>
    </row>
    <row r="34" spans="1:14" x14ac:dyDescent="0.2">
      <c r="A34" s="1879"/>
      <c r="B34" s="1941"/>
      <c r="C34" s="2430" t="s">
        <v>2058</v>
      </c>
      <c r="D34" s="2430"/>
      <c r="E34" s="2430"/>
      <c r="F34" s="2430"/>
      <c r="G34" s="2430"/>
      <c r="H34" s="2430"/>
      <c r="I34" s="2430"/>
      <c r="J34" s="2430"/>
      <c r="K34" s="1942"/>
      <c r="L34" s="847"/>
      <c r="M34" s="847"/>
      <c r="N34" s="1881"/>
    </row>
    <row r="35" spans="1:14" x14ac:dyDescent="0.2">
      <c r="A35" s="1879"/>
      <c r="B35" s="847"/>
      <c r="C35" s="2430"/>
      <c r="D35" s="2430"/>
      <c r="E35" s="2430"/>
      <c r="F35" s="2430"/>
      <c r="G35" s="2430"/>
      <c r="H35" s="2430"/>
      <c r="I35" s="2430"/>
      <c r="J35" s="2430"/>
      <c r="K35" s="1942"/>
      <c r="L35" s="847"/>
      <c r="M35" s="847"/>
      <c r="N35" s="1881"/>
    </row>
    <row r="36" spans="1:14" x14ac:dyDescent="0.2">
      <c r="A36" s="1879"/>
      <c r="B36" s="847"/>
      <c r="C36" s="1943"/>
      <c r="D36" s="847"/>
      <c r="E36" s="847"/>
      <c r="F36" s="847"/>
      <c r="G36" s="847"/>
      <c r="H36" s="847"/>
      <c r="I36" s="847"/>
      <c r="J36" s="847"/>
      <c r="K36" s="847"/>
      <c r="L36" s="847"/>
      <c r="M36" s="847"/>
      <c r="N36" s="1881"/>
    </row>
    <row r="37" spans="1:14" x14ac:dyDescent="0.2">
      <c r="A37" s="1879"/>
      <c r="B37" s="1941"/>
      <c r="C37" s="2430" t="s">
        <v>2059</v>
      </c>
      <c r="D37" s="2430"/>
      <c r="E37" s="2430"/>
      <c r="F37" s="2430"/>
      <c r="G37" s="2430"/>
      <c r="H37" s="2430"/>
      <c r="I37" s="2430"/>
      <c r="J37" s="2430"/>
      <c r="K37" s="1942"/>
      <c r="L37" s="838"/>
      <c r="M37" s="847"/>
      <c r="N37" s="1881"/>
    </row>
    <row r="38" spans="1:14" x14ac:dyDescent="0.2">
      <c r="A38" s="1879"/>
      <c r="B38" s="847"/>
      <c r="C38" s="2430"/>
      <c r="D38" s="2430"/>
      <c r="E38" s="2430"/>
      <c r="F38" s="2430"/>
      <c r="G38" s="2430"/>
      <c r="H38" s="2430"/>
      <c r="I38" s="2430"/>
      <c r="J38" s="2430"/>
      <c r="K38" s="1942"/>
      <c r="L38" s="838"/>
      <c r="M38" s="847"/>
      <c r="N38" s="1881"/>
    </row>
    <row r="39" spans="1:14" x14ac:dyDescent="0.2">
      <c r="A39" s="1879"/>
      <c r="B39" s="847"/>
      <c r="C39" s="1943"/>
      <c r="D39" s="847"/>
      <c r="E39" s="1944"/>
      <c r="F39" s="1945"/>
      <c r="G39" s="1945"/>
      <c r="H39" s="1944"/>
      <c r="I39" s="847"/>
      <c r="J39" s="847"/>
      <c r="K39" s="847"/>
      <c r="L39" s="847"/>
      <c r="M39" s="847"/>
      <c r="N39" s="1881"/>
    </row>
    <row r="40" spans="1:14" x14ac:dyDescent="0.2">
      <c r="A40" s="1879"/>
      <c r="B40" s="1941"/>
      <c r="C40" s="2431" t="s">
        <v>2060</v>
      </c>
      <c r="D40" s="2432"/>
      <c r="E40" s="2432"/>
      <c r="F40" s="2432"/>
      <c r="G40" s="2432"/>
      <c r="H40" s="2432"/>
      <c r="I40" s="2432"/>
      <c r="J40" s="2432"/>
      <c r="K40" s="1946"/>
      <c r="L40" s="847"/>
      <c r="M40" s="847"/>
      <c r="N40" s="1881"/>
    </row>
    <row r="41" spans="1:14" x14ac:dyDescent="0.2">
      <c r="A41" s="1879"/>
      <c r="B41" s="847"/>
      <c r="C41" s="839"/>
      <c r="D41" s="839"/>
      <c r="E41" s="839"/>
      <c r="F41" s="839"/>
      <c r="G41" s="839"/>
      <c r="H41" s="839"/>
      <c r="I41" s="839"/>
      <c r="J41" s="839"/>
      <c r="K41" s="839"/>
      <c r="L41" s="847"/>
      <c r="M41" s="847"/>
      <c r="N41" s="1881"/>
    </row>
    <row r="42" spans="1:14" ht="13.5" thickBot="1" x14ac:dyDescent="0.25">
      <c r="A42" s="1947"/>
      <c r="B42" s="1948"/>
      <c r="C42" s="1948"/>
      <c r="D42" s="1948"/>
      <c r="E42" s="1948"/>
      <c r="F42" s="1948"/>
      <c r="G42" s="1948"/>
      <c r="H42" s="1948"/>
      <c r="I42" s="1948"/>
      <c r="J42" s="1948"/>
      <c r="K42" s="1948"/>
      <c r="L42" s="1948"/>
      <c r="M42" s="1948"/>
      <c r="N42" s="1949"/>
    </row>
    <row r="43" spans="1:14" ht="27" thickBot="1" x14ac:dyDescent="0.45">
      <c r="A43" s="2433" t="s">
        <v>2061</v>
      </c>
      <c r="B43" s="2434"/>
      <c r="C43" s="2434"/>
      <c r="D43" s="2434"/>
      <c r="E43" s="2434"/>
      <c r="F43" s="2434"/>
      <c r="G43" s="2434"/>
      <c r="H43" s="2434"/>
      <c r="I43" s="2434"/>
      <c r="J43" s="2434"/>
      <c r="K43" s="2434"/>
      <c r="L43" s="2434"/>
      <c r="M43" s="2434"/>
      <c r="N43" s="2435"/>
    </row>
    <row r="44" spans="1:14" x14ac:dyDescent="0.2">
      <c r="A44" s="1950"/>
      <c r="B44" s="1951"/>
      <c r="C44" s="1951"/>
      <c r="D44" s="1951"/>
      <c r="E44" s="1951"/>
      <c r="F44" s="1951"/>
      <c r="G44" s="1951"/>
      <c r="H44" s="1951"/>
      <c r="I44" s="1951"/>
      <c r="J44" s="1951"/>
      <c r="K44" s="1951"/>
      <c r="L44" s="1951"/>
      <c r="M44" s="1951"/>
      <c r="N44" s="1952"/>
    </row>
    <row r="45" spans="1:14" x14ac:dyDescent="0.2">
      <c r="A45" s="1950" t="s">
        <v>2062</v>
      </c>
      <c r="B45" s="1951"/>
      <c r="C45" s="1951"/>
      <c r="D45" s="1951"/>
      <c r="E45" s="1951"/>
      <c r="F45" s="1951"/>
      <c r="G45" s="1951"/>
      <c r="H45" s="1951"/>
      <c r="I45" s="1951"/>
      <c r="J45" s="1951"/>
      <c r="K45" s="1951"/>
      <c r="L45" s="1951"/>
      <c r="M45" s="1951"/>
      <c r="N45" s="1952"/>
    </row>
    <row r="46" spans="1:14" x14ac:dyDescent="0.2">
      <c r="A46" s="2436" t="s">
        <v>2063</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53"/>
      <c r="B48" s="1951"/>
      <c r="C48" s="1951"/>
      <c r="D48" s="1954"/>
      <c r="E48" s="1954"/>
      <c r="F48" s="1954"/>
      <c r="G48" s="1954"/>
      <c r="H48" s="1954"/>
      <c r="I48" s="1954"/>
      <c r="J48" s="1954"/>
      <c r="K48" s="1954"/>
      <c r="L48" s="1954"/>
      <c r="M48" s="1954"/>
      <c r="N48" s="1955"/>
    </row>
    <row r="49" spans="1:14" s="1960" customFormat="1" ht="15.75" x14ac:dyDescent="0.25">
      <c r="A49" s="1956" t="s">
        <v>2064</v>
      </c>
      <c r="B49" s="1957"/>
      <c r="C49" s="1957"/>
      <c r="D49" s="1958"/>
      <c r="E49" s="1958"/>
      <c r="F49" s="1958"/>
      <c r="G49" s="1958"/>
      <c r="H49" s="1958"/>
      <c r="I49" s="1958"/>
      <c r="J49" s="1958"/>
      <c r="K49" s="1958"/>
      <c r="L49" s="1958"/>
      <c r="M49" s="1958"/>
      <c r="N49" s="1959"/>
    </row>
    <row r="50" spans="1:14" ht="15" x14ac:dyDescent="0.25">
      <c r="A50" s="1956" t="s">
        <v>2065</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84" t="s">
        <v>1021</v>
      </c>
      <c r="L52" s="2411" t="str">
        <f>J6</f>
        <v>Northbrook SD 28</v>
      </c>
      <c r="M52" s="2411"/>
      <c r="N52" s="2439"/>
    </row>
    <row r="53" spans="1:14" x14ac:dyDescent="0.2">
      <c r="A53" s="1950"/>
      <c r="B53" s="1951"/>
      <c r="C53" s="1951"/>
      <c r="D53" s="1951"/>
      <c r="E53" s="1951"/>
      <c r="F53" s="1951"/>
      <c r="G53" s="1951"/>
      <c r="H53" s="1951"/>
      <c r="I53" s="1951"/>
      <c r="J53" s="1951"/>
      <c r="K53" s="1884" t="s">
        <v>369</v>
      </c>
      <c r="L53" s="2416" t="str">
        <f>J7</f>
        <v>05-016-0280-02</v>
      </c>
      <c r="M53" s="2416"/>
      <c r="N53" s="2440"/>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41"/>
      <c r="B55" s="2442"/>
      <c r="C55" s="2442"/>
      <c r="D55" s="1961"/>
      <c r="E55" s="1961"/>
      <c r="F55" s="1961"/>
      <c r="G55" s="2443" t="s">
        <v>2066</v>
      </c>
      <c r="H55" s="2443"/>
      <c r="I55" s="2443"/>
      <c r="J55" s="2443"/>
      <c r="K55" s="2443"/>
      <c r="L55" s="2443"/>
      <c r="M55" s="2443"/>
      <c r="N55" s="2444"/>
    </row>
    <row r="56" spans="1:14" ht="63.75" x14ac:dyDescent="0.2">
      <c r="A56" s="2445" t="s">
        <v>2067</v>
      </c>
      <c r="B56" s="2446"/>
      <c r="C56" s="2447"/>
      <c r="D56" s="1962" t="s">
        <v>2068</v>
      </c>
      <c r="E56" s="1962" t="s">
        <v>2069</v>
      </c>
      <c r="F56" s="1963"/>
      <c r="G56" s="1962" t="s">
        <v>2070</v>
      </c>
      <c r="H56" s="1962" t="s">
        <v>2071</v>
      </c>
      <c r="I56" s="1962" t="s">
        <v>2072</v>
      </c>
      <c r="J56" s="1962" t="s">
        <v>2073</v>
      </c>
      <c r="K56" s="1962" t="s">
        <v>2074</v>
      </c>
      <c r="L56" s="1962" t="s">
        <v>2075</v>
      </c>
      <c r="M56" s="1962" t="s">
        <v>2076</v>
      </c>
      <c r="N56" s="1964" t="s">
        <v>2077</v>
      </c>
    </row>
    <row r="57" spans="1:14" ht="24.75" customHeight="1" x14ac:dyDescent="0.2">
      <c r="A57" s="2448" t="s">
        <v>296</v>
      </c>
      <c r="B57" s="2449"/>
      <c r="C57" s="2449"/>
      <c r="D57" s="1965">
        <v>2361</v>
      </c>
      <c r="E57" s="1966">
        <f>'Expenditures 15-22'!K319</f>
        <v>0</v>
      </c>
      <c r="F57" s="1967"/>
      <c r="G57" s="1968"/>
      <c r="H57" s="1969"/>
      <c r="I57" s="1969"/>
      <c r="J57" s="1969"/>
      <c r="K57" s="1969"/>
      <c r="L57" s="1969"/>
      <c r="M57" s="1969"/>
      <c r="N57" s="1970">
        <f>IF((SUM(G57:M57))=E57,SUM(G57:M57),"Column N does not agree with Column E")</f>
        <v>0</v>
      </c>
    </row>
    <row r="58" spans="1:14" ht="24" customHeight="1" x14ac:dyDescent="0.2">
      <c r="A58" s="2428" t="s">
        <v>2078</v>
      </c>
      <c r="B58" s="2429"/>
      <c r="C58" s="2429"/>
      <c r="D58" s="1971">
        <v>2362</v>
      </c>
      <c r="E58" s="1972">
        <f>'Expenditures 15-22'!K320</f>
        <v>0</v>
      </c>
      <c r="F58" s="1967"/>
      <c r="G58" s="1973"/>
      <c r="H58" s="1974"/>
      <c r="I58" s="1974"/>
      <c r="J58" s="1974"/>
      <c r="K58" s="1974"/>
      <c r="L58" s="1974"/>
      <c r="M58" s="1974"/>
      <c r="N58" s="1970">
        <f>IF((SUM(G58:M58))=E58,SUM(G58:M58),"Column N does not agree with Column E")</f>
        <v>0</v>
      </c>
    </row>
    <row r="59" spans="1:14" ht="24.75" customHeight="1" x14ac:dyDescent="0.2">
      <c r="A59" s="2450" t="s">
        <v>297</v>
      </c>
      <c r="B59" s="2451"/>
      <c r="C59" s="2451"/>
      <c r="D59" s="1971">
        <v>2363</v>
      </c>
      <c r="E59" s="1972">
        <f>'Expenditures 15-22'!K321</f>
        <v>0</v>
      </c>
      <c r="F59" s="1967"/>
      <c r="G59" s="1973"/>
      <c r="H59" s="1974"/>
      <c r="I59" s="1974"/>
      <c r="J59" s="1974"/>
      <c r="K59" s="1974"/>
      <c r="L59" s="1974"/>
      <c r="M59" s="1974"/>
      <c r="N59" s="1970">
        <f>IF((SUM(G59:M59))=E59,SUM(G59:M59),"Column N does not agree with Column E")</f>
        <v>0</v>
      </c>
    </row>
    <row r="60" spans="1:14" ht="24" customHeight="1" x14ac:dyDescent="0.2">
      <c r="A60" s="2450" t="s">
        <v>236</v>
      </c>
      <c r="B60" s="2451"/>
      <c r="C60" s="2451"/>
      <c r="D60" s="1971">
        <v>2364</v>
      </c>
      <c r="E60" s="1972">
        <f>'Expenditures 15-22'!K322</f>
        <v>0</v>
      </c>
      <c r="F60" s="1967"/>
      <c r="G60" s="1973"/>
      <c r="H60" s="1974"/>
      <c r="I60" s="1974"/>
      <c r="J60" s="1974"/>
      <c r="K60" s="1974"/>
      <c r="L60" s="1974"/>
      <c r="M60" s="1974"/>
      <c r="N60" s="1970">
        <f t="shared" ref="N60:N67" si="4">IF((SUM(G60:M60))=E60,SUM(G60:M60),"Column N does not agree with Column E")</f>
        <v>0</v>
      </c>
    </row>
    <row r="61" spans="1:14" ht="24.75" customHeight="1" x14ac:dyDescent="0.2">
      <c r="A61" s="2450" t="s">
        <v>697</v>
      </c>
      <c r="B61" s="2451"/>
      <c r="C61" s="2451"/>
      <c r="D61" s="1971">
        <v>2365</v>
      </c>
      <c r="E61" s="1972">
        <f>'Expenditures 15-22'!K323</f>
        <v>0</v>
      </c>
      <c r="F61" s="1967"/>
      <c r="G61" s="1973"/>
      <c r="H61" s="1974"/>
      <c r="I61" s="1974"/>
      <c r="J61" s="1974"/>
      <c r="K61" s="1974"/>
      <c r="L61" s="1974"/>
      <c r="M61" s="1974"/>
      <c r="N61" s="1970">
        <f t="shared" si="4"/>
        <v>0</v>
      </c>
    </row>
    <row r="62" spans="1:14" ht="24" customHeight="1" x14ac:dyDescent="0.2">
      <c r="A62" s="2450" t="s">
        <v>237</v>
      </c>
      <c r="B62" s="2451"/>
      <c r="C62" s="2451"/>
      <c r="D62" s="1971">
        <v>2366</v>
      </c>
      <c r="E62" s="1972">
        <f>'Expenditures 15-22'!K324</f>
        <v>0</v>
      </c>
      <c r="F62" s="1967"/>
      <c r="G62" s="1973"/>
      <c r="H62" s="1974"/>
      <c r="I62" s="1974"/>
      <c r="J62" s="1974"/>
      <c r="K62" s="1974"/>
      <c r="L62" s="1974"/>
      <c r="M62" s="1974"/>
      <c r="N62" s="1970">
        <f t="shared" si="4"/>
        <v>0</v>
      </c>
    </row>
    <row r="63" spans="1:14" ht="24" customHeight="1" x14ac:dyDescent="0.2">
      <c r="A63" s="2428" t="s">
        <v>1022</v>
      </c>
      <c r="B63" s="2429"/>
      <c r="C63" s="2429"/>
      <c r="D63" s="1971">
        <v>2367</v>
      </c>
      <c r="E63" s="1972">
        <f>'Expenditures 15-22'!K325</f>
        <v>0</v>
      </c>
      <c r="F63" s="1967"/>
      <c r="G63" s="1973"/>
      <c r="H63" s="1974"/>
      <c r="I63" s="1974"/>
      <c r="J63" s="1974"/>
      <c r="K63" s="1974"/>
      <c r="L63" s="1974"/>
      <c r="M63" s="1974"/>
      <c r="N63" s="1970">
        <f t="shared" si="4"/>
        <v>0</v>
      </c>
    </row>
    <row r="64" spans="1:14" ht="24" customHeight="1" x14ac:dyDescent="0.2">
      <c r="A64" s="2450" t="s">
        <v>1023</v>
      </c>
      <c r="B64" s="2451"/>
      <c r="C64" s="2451"/>
      <c r="D64" s="1971">
        <v>2368</v>
      </c>
      <c r="E64" s="1972">
        <f>'Expenditures 15-22'!K326</f>
        <v>0</v>
      </c>
      <c r="F64" s="1967"/>
      <c r="G64" s="1973"/>
      <c r="H64" s="1974"/>
      <c r="I64" s="1974"/>
      <c r="J64" s="1974"/>
      <c r="K64" s="1974"/>
      <c r="L64" s="1974"/>
      <c r="M64" s="1974"/>
      <c r="N64" s="1970">
        <f t="shared" si="4"/>
        <v>0</v>
      </c>
    </row>
    <row r="65" spans="1:14" ht="24" customHeight="1" x14ac:dyDescent="0.2">
      <c r="A65" s="2450" t="s">
        <v>965</v>
      </c>
      <c r="B65" s="2451"/>
      <c r="C65" s="2451"/>
      <c r="D65" s="1971">
        <v>2369</v>
      </c>
      <c r="E65" s="1972">
        <f>'Expenditures 15-22'!K327</f>
        <v>0</v>
      </c>
      <c r="F65" s="1967"/>
      <c r="G65" s="1973"/>
      <c r="H65" s="1974"/>
      <c r="I65" s="1974"/>
      <c r="J65" s="1974"/>
      <c r="K65" s="1974"/>
      <c r="L65" s="1974"/>
      <c r="M65" s="1974"/>
      <c r="N65" s="1970">
        <f t="shared" si="4"/>
        <v>0</v>
      </c>
    </row>
    <row r="66" spans="1:14" ht="24" customHeight="1" x14ac:dyDescent="0.2">
      <c r="A66" s="2450" t="s">
        <v>469</v>
      </c>
      <c r="B66" s="2451"/>
      <c r="C66" s="2451"/>
      <c r="D66" s="1971">
        <v>2371</v>
      </c>
      <c r="E66" s="1972">
        <f>'Expenditures 15-22'!K328</f>
        <v>0</v>
      </c>
      <c r="F66" s="1967"/>
      <c r="G66" s="1973"/>
      <c r="H66" s="1974"/>
      <c r="I66" s="1974"/>
      <c r="J66" s="1974"/>
      <c r="K66" s="1974"/>
      <c r="L66" s="1974"/>
      <c r="M66" s="1974"/>
      <c r="N66" s="1970">
        <f t="shared" si="4"/>
        <v>0</v>
      </c>
    </row>
    <row r="67" spans="1:14" ht="24.75" customHeight="1" x14ac:dyDescent="0.2">
      <c r="A67" s="2452" t="s">
        <v>2079</v>
      </c>
      <c r="B67" s="2453"/>
      <c r="C67" s="2453"/>
      <c r="D67" s="1975">
        <v>2372</v>
      </c>
      <c r="E67" s="1976">
        <f>'Expenditures 15-22'!K329</f>
        <v>0</v>
      </c>
      <c r="F67" s="1967"/>
      <c r="G67" s="1977"/>
      <c r="H67" s="1978"/>
      <c r="I67" s="1978"/>
      <c r="J67" s="1978"/>
      <c r="K67" s="1978"/>
      <c r="L67" s="1978"/>
      <c r="M67" s="1978"/>
      <c r="N67" s="1970">
        <f t="shared" si="4"/>
        <v>0</v>
      </c>
    </row>
    <row r="68" spans="1:14" x14ac:dyDescent="0.2">
      <c r="A68" s="2454" t="s">
        <v>1153</v>
      </c>
      <c r="B68" s="2455"/>
      <c r="C68" s="2455"/>
      <c r="D68" s="1961"/>
      <c r="E68" s="1979">
        <f>SUM(E57:E67)</f>
        <v>0</v>
      </c>
      <c r="F68" s="1980"/>
      <c r="G68" s="1979">
        <f t="shared" ref="G68:N68" si="5">SUM(G57:G67)</f>
        <v>0</v>
      </c>
      <c r="H68" s="1979">
        <f t="shared" si="5"/>
        <v>0</v>
      </c>
      <c r="I68" s="1979">
        <f t="shared" si="5"/>
        <v>0</v>
      </c>
      <c r="J68" s="1979">
        <f t="shared" si="5"/>
        <v>0</v>
      </c>
      <c r="K68" s="1979">
        <f t="shared" si="5"/>
        <v>0</v>
      </c>
      <c r="L68" s="1979">
        <f t="shared" si="5"/>
        <v>0</v>
      </c>
      <c r="M68" s="1979">
        <f t="shared" si="5"/>
        <v>0</v>
      </c>
      <c r="N68" s="1981">
        <f t="shared" si="5"/>
        <v>0</v>
      </c>
    </row>
    <row r="69" spans="1:14" x14ac:dyDescent="0.2">
      <c r="A69" s="1982"/>
      <c r="N69" s="1983"/>
    </row>
    <row r="70" spans="1:14" ht="15.75" x14ac:dyDescent="0.25">
      <c r="A70" s="1984" t="s">
        <v>2080</v>
      </c>
      <c r="N70" s="1983"/>
    </row>
    <row r="71" spans="1:14" x14ac:dyDescent="0.2">
      <c r="A71" s="1982"/>
      <c r="N71" s="1983"/>
    </row>
    <row r="72" spans="1:14" x14ac:dyDescent="0.2">
      <c r="A72" s="1982"/>
      <c r="N72" s="1983"/>
    </row>
    <row r="73" spans="1:14" x14ac:dyDescent="0.2">
      <c r="A73" s="1982"/>
      <c r="N73" s="1983"/>
    </row>
    <row r="74" spans="1:14" x14ac:dyDescent="0.2">
      <c r="A74" s="1982"/>
      <c r="N74" s="1983"/>
    </row>
    <row r="75" spans="1:14" x14ac:dyDescent="0.2">
      <c r="A75" s="1982"/>
      <c r="N75" s="1983"/>
    </row>
    <row r="76" spans="1:14" x14ac:dyDescent="0.2">
      <c r="A76" s="1982"/>
      <c r="N76" s="1983"/>
    </row>
    <row r="77" spans="1:14" x14ac:dyDescent="0.2">
      <c r="A77" s="1982"/>
      <c r="N77" s="1983"/>
    </row>
    <row r="78" spans="1:14" x14ac:dyDescent="0.2">
      <c r="A78" s="1982"/>
      <c r="N78" s="1983"/>
    </row>
    <row r="79" spans="1:14" x14ac:dyDescent="0.2">
      <c r="A79" s="1982"/>
      <c r="N79" s="1983"/>
    </row>
    <row r="80" spans="1:14" x14ac:dyDescent="0.2">
      <c r="A80" s="1982"/>
      <c r="N80" s="1983"/>
    </row>
    <row r="81" spans="1:14" x14ac:dyDescent="0.2">
      <c r="A81" s="1982"/>
      <c r="N81" s="1983"/>
    </row>
    <row r="82" spans="1:14" x14ac:dyDescent="0.2">
      <c r="A82" s="1982"/>
      <c r="N82" s="1983"/>
    </row>
    <row r="83" spans="1:14" ht="13.5" thickBot="1" x14ac:dyDescent="0.25">
      <c r="A83" s="1985"/>
      <c r="B83" s="1986"/>
      <c r="C83" s="1986"/>
      <c r="D83" s="1986"/>
      <c r="E83" s="1986"/>
      <c r="F83" s="1986"/>
      <c r="G83" s="1986"/>
      <c r="H83" s="1986"/>
      <c r="I83" s="1986"/>
      <c r="J83" s="1986"/>
      <c r="K83" s="1986"/>
      <c r="L83" s="1986"/>
      <c r="M83" s="1986"/>
      <c r="N83" s="1987"/>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Northbrook SD 28</v>
      </c>
    </row>
    <row r="65" spans="2:2" x14ac:dyDescent="0.2">
      <c r="B65" s="842" t="str">
        <f>COVER!A13</f>
        <v>05-016-0280-02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C115" sqref="C1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4" t="s">
        <v>1058</v>
      </c>
      <c r="B35" s="2144"/>
      <c r="C35" s="2144"/>
      <c r="D35" s="2144"/>
      <c r="E35" s="214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1" t="s">
        <v>686</v>
      </c>
      <c r="B40" s="2141"/>
      <c r="C40" s="2141"/>
      <c r="D40" s="2141"/>
      <c r="E40" s="2141"/>
    </row>
    <row r="41" spans="1:5" x14ac:dyDescent="0.2">
      <c r="A41" s="2142" t="s">
        <v>1594</v>
      </c>
      <c r="B41" s="2142"/>
      <c r="C41" s="2142"/>
      <c r="D41" s="2142"/>
      <c r="E41" s="2142"/>
    </row>
    <row r="42" spans="1:5" ht="12.75" customHeight="1" x14ac:dyDescent="0.2">
      <c r="A42" s="2143" t="s">
        <v>1015</v>
      </c>
      <c r="B42" s="2143"/>
      <c r="C42" s="2143"/>
      <c r="D42" s="2143"/>
      <c r="E42" s="214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9" sqref="H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6" t="s">
        <v>1668</v>
      </c>
      <c r="B18" s="24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7" t="s">
        <v>1672</v>
      </c>
      <c r="B1" s="2458"/>
      <c r="C1" s="2458"/>
      <c r="D1" s="2458"/>
      <c r="E1" s="2458"/>
      <c r="F1" s="2459"/>
    </row>
    <row r="2" spans="1:8" ht="45" customHeight="1" x14ac:dyDescent="0.2">
      <c r="A2" s="24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8"/>
      <c r="C2" s="2468"/>
      <c r="D2" s="2468"/>
      <c r="E2" s="2468"/>
      <c r="F2" s="2469"/>
      <c r="G2" s="846"/>
      <c r="H2" s="846"/>
    </row>
    <row r="3" spans="1:8" ht="57" customHeight="1" x14ac:dyDescent="0.2">
      <c r="A3" s="2470" t="s">
        <v>1975</v>
      </c>
      <c r="B3" s="2471"/>
      <c r="C3" s="2471"/>
      <c r="D3" s="2471"/>
      <c r="E3" s="2471"/>
      <c r="F3" s="2472"/>
      <c r="G3" s="846"/>
      <c r="H3" s="846"/>
    </row>
    <row r="4" spans="1:8" ht="14.25" customHeight="1" x14ac:dyDescent="0.2">
      <c r="A4" s="24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7"/>
      <c r="C4" s="2477"/>
      <c r="D4" s="2477"/>
      <c r="E4" s="2477"/>
      <c r="F4" s="2478"/>
      <c r="G4" s="846"/>
      <c r="H4" s="846"/>
    </row>
    <row r="5" spans="1:8" ht="14.25" customHeight="1" x14ac:dyDescent="0.2">
      <c r="A5" s="24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0"/>
      <c r="C5" s="2480"/>
      <c r="D5" s="2480"/>
      <c r="E5" s="2480"/>
      <c r="F5" s="2481"/>
      <c r="G5" s="846"/>
      <c r="H5" s="846"/>
    </row>
    <row r="6" spans="1:8" s="847" customFormat="1" ht="41.25" customHeight="1" x14ac:dyDescent="0.2">
      <c r="A6" s="2473" t="s">
        <v>1673</v>
      </c>
      <c r="B6" s="2474"/>
      <c r="C6" s="2474"/>
      <c r="D6" s="2474"/>
      <c r="E6" s="2474"/>
      <c r="F6" s="2475"/>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33775584</v>
      </c>
      <c r="C8" s="1764">
        <f>'Acct Summary 7-8'!D8</f>
        <v>3034039</v>
      </c>
      <c r="D8" s="1764">
        <f>'Acct Summary 7-8'!F8</f>
        <v>1308309</v>
      </c>
      <c r="E8" s="1764">
        <f>'Acct Summary 7-8'!I8</f>
        <v>136227</v>
      </c>
      <c r="F8" s="1764">
        <f>SUM(B8:E8)</f>
        <v>38254159</v>
      </c>
    </row>
    <row r="9" spans="1:8" s="851" customFormat="1" ht="14.25" customHeight="1" thickBot="1" x14ac:dyDescent="0.25">
      <c r="A9" s="850" t="s">
        <v>1355</v>
      </c>
      <c r="B9" s="1765">
        <f>'Acct Summary 7-8'!C17</f>
        <v>35709370</v>
      </c>
      <c r="C9" s="1765">
        <f>'Acct Summary 7-8'!D17</f>
        <v>2432990</v>
      </c>
      <c r="D9" s="1765">
        <f>'Acct Summary 7-8'!F17</f>
        <v>1260049</v>
      </c>
      <c r="E9" s="1764"/>
      <c r="F9" s="1764">
        <f>SUM(B9:E9)</f>
        <v>39402409</v>
      </c>
    </row>
    <row r="10" spans="1:8" s="851" customFormat="1" ht="14.25" thickTop="1" thickBot="1" x14ac:dyDescent="0.25">
      <c r="A10" s="852" t="s">
        <v>1356</v>
      </c>
      <c r="B10" s="1766">
        <f>(B8-B9)</f>
        <v>-1933786</v>
      </c>
      <c r="C10" s="1766">
        <f>(C8-C9)</f>
        <v>601049</v>
      </c>
      <c r="D10" s="1766">
        <f>(D8-D9)</f>
        <v>48260</v>
      </c>
      <c r="E10" s="1765">
        <f>(E8-E9)</f>
        <v>136227</v>
      </c>
      <c r="F10" s="1767">
        <f>SUM(F8-F9)</f>
        <v>-1148250</v>
      </c>
    </row>
    <row r="11" spans="1:8" s="851" customFormat="1" ht="14.25" thickTop="1" thickBot="1" x14ac:dyDescent="0.25">
      <c r="A11" s="853" t="s">
        <v>1906</v>
      </c>
      <c r="B11" s="1768">
        <f>'Acct Summary 7-8'!C81</f>
        <v>9769538</v>
      </c>
      <c r="C11" s="1768">
        <f>'Acct Summary 7-8'!D81</f>
        <v>1472011</v>
      </c>
      <c r="D11" s="1768">
        <f>'Acct Summary 7-8'!F81</f>
        <v>485054</v>
      </c>
      <c r="E11" s="1768">
        <f>'Acct Summary 7-8'!I81</f>
        <v>6625590</v>
      </c>
      <c r="F11" s="1769">
        <f>SUM(B11:E11)</f>
        <v>18352193</v>
      </c>
    </row>
    <row r="12" spans="1:8" ht="16.5" customHeight="1" thickTop="1" x14ac:dyDescent="0.2">
      <c r="A12" s="854"/>
      <c r="B12" s="855"/>
      <c r="C12" s="2461" t="str">
        <f>IF(AND(F10&lt;0,F11&gt;=0,ABS(F10*3)&gt;ABS(F11)),A16,IF(AND(F10&lt;0,F11&gt;0,ABS(F10*3)&lt;=ABS(F11)),A17,IF(AND(F10&lt;0,F11&lt;0),A16,IF(F11=0,A19,A18))))</f>
        <v>Unbalanced -  however, a deficit reduction plan is not required at this time.</v>
      </c>
      <c r="D12" s="2462"/>
      <c r="E12" s="2462"/>
      <c r="F12" s="2463"/>
    </row>
    <row r="13" spans="1:8" ht="19.5" customHeight="1" x14ac:dyDescent="0.2">
      <c r="A13" s="856"/>
      <c r="B13" s="857"/>
      <c r="C13" s="2461"/>
      <c r="D13" s="2462"/>
      <c r="E13" s="2462"/>
      <c r="F13" s="2463"/>
      <c r="H13" s="846"/>
    </row>
    <row r="14" spans="1:8" ht="19.5" customHeight="1" x14ac:dyDescent="0.2">
      <c r="A14" s="856"/>
      <c r="B14" s="857"/>
      <c r="C14" s="2461"/>
      <c r="D14" s="2462"/>
      <c r="E14" s="2462"/>
      <c r="F14" s="2463"/>
      <c r="H14" s="846"/>
    </row>
    <row r="15" spans="1:8" ht="17.25" customHeight="1" x14ac:dyDescent="0.2">
      <c r="A15" s="856"/>
      <c r="B15" s="857"/>
      <c r="C15" s="2464"/>
      <c r="D15" s="2465"/>
      <c r="E15" s="2465"/>
      <c r="F15" s="2466"/>
      <c r="H15" s="846"/>
    </row>
    <row r="16" spans="1:8" s="288" customFormat="1" ht="51.75" hidden="1" customHeight="1" x14ac:dyDescent="0.2">
      <c r="A16" s="2460" t="s">
        <v>1669</v>
      </c>
      <c r="B16" s="2460"/>
      <c r="C16" s="2460"/>
      <c r="D16" s="2460"/>
      <c r="E16" s="2460"/>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6E24-7098-49C5-A699-9867926F8DA8}">
  <sheetPr codeName="Sheet51">
    <tabColor indexed="39"/>
    <pageSetUpPr fitToPage="1"/>
  </sheetPr>
  <dimension ref="A1:L84"/>
  <sheetViews>
    <sheetView showGridLines="0" defaultGridColor="0" topLeftCell="A34" colorId="8" zoomScale="110" zoomScaleNormal="110" workbookViewId="0">
      <selection activeCell="C62" sqref="C62"/>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88"/>
      <c r="B1" s="860"/>
      <c r="C1" s="861"/>
      <c r="D1" s="1989"/>
    </row>
    <row r="2" spans="1:4" ht="7.5" customHeight="1" thickTop="1" x14ac:dyDescent="0.2">
      <c r="A2" s="1471"/>
      <c r="B2" s="1472"/>
      <c r="C2" s="1473"/>
      <c r="D2" s="1474"/>
    </row>
    <row r="3" spans="1:4" ht="36" customHeight="1" x14ac:dyDescent="0.2">
      <c r="A3" s="2486" t="s">
        <v>660</v>
      </c>
      <c r="B3" s="2487"/>
      <c r="C3" s="2487"/>
      <c r="D3" s="2488"/>
    </row>
    <row r="4" spans="1:4" x14ac:dyDescent="0.2">
      <c r="A4" s="899" t="s">
        <v>1674</v>
      </c>
      <c r="B4" s="900"/>
      <c r="C4" s="901"/>
      <c r="D4" s="902"/>
    </row>
    <row r="5" spans="1:4" ht="21" customHeight="1" x14ac:dyDescent="0.2">
      <c r="A5" s="1990"/>
      <c r="B5" s="1991">
        <v>1</v>
      </c>
      <c r="C5" s="1992" t="s">
        <v>1977</v>
      </c>
      <c r="D5" s="1993"/>
    </row>
    <row r="6" spans="1:4" ht="14.25" customHeight="1" x14ac:dyDescent="0.2">
      <c r="A6" s="892"/>
      <c r="B6" s="862">
        <f t="shared" ref="B6:B13" si="0">B5+1</f>
        <v>2</v>
      </c>
      <c r="C6" s="863" t="s">
        <v>859</v>
      </c>
      <c r="D6" s="864"/>
    </row>
    <row r="7" spans="1:4" ht="12.75" x14ac:dyDescent="0.2">
      <c r="A7" s="892"/>
      <c r="B7" s="862">
        <f t="shared" si="0"/>
        <v>3</v>
      </c>
      <c r="C7" s="2489" t="s">
        <v>1490</v>
      </c>
      <c r="D7" s="2490"/>
    </row>
    <row r="8" spans="1:4" ht="12.75" x14ac:dyDescent="0.2">
      <c r="A8" s="892"/>
      <c r="B8" s="862"/>
      <c r="C8" s="1870" t="s">
        <v>1489</v>
      </c>
      <c r="D8" s="1871"/>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4" t="s">
        <v>774</v>
      </c>
      <c r="D13" s="864"/>
    </row>
    <row r="14" spans="1:4" ht="14.25" customHeight="1" x14ac:dyDescent="0.2">
      <c r="A14" s="892"/>
      <c r="B14" s="889">
        <v>9</v>
      </c>
      <c r="C14" s="890" t="s">
        <v>1491</v>
      </c>
      <c r="D14" s="891"/>
    </row>
    <row r="15" spans="1:4" ht="21.75" customHeight="1" x14ac:dyDescent="0.2">
      <c r="A15" s="2491" t="s">
        <v>1001</v>
      </c>
      <c r="B15" s="2492"/>
      <c r="C15" s="2492"/>
      <c r="D15" s="2493"/>
    </row>
    <row r="16" spans="1:4" ht="24" customHeight="1" x14ac:dyDescent="0.2">
      <c r="A16" s="2494" t="s">
        <v>658</v>
      </c>
      <c r="B16" s="2495"/>
      <c r="C16" s="2495"/>
      <c r="D16" s="2496"/>
    </row>
    <row r="17" spans="1:10" ht="12.75" customHeight="1" x14ac:dyDescent="0.2">
      <c r="A17" s="1995" t="s">
        <v>1675</v>
      </c>
      <c r="B17" s="1996"/>
      <c r="C17" s="1997"/>
      <c r="D17" s="1998"/>
    </row>
    <row r="18" spans="1:10" ht="12.75" customHeight="1" x14ac:dyDescent="0.2">
      <c r="A18" s="1999" t="s">
        <v>1978</v>
      </c>
      <c r="B18" s="2000"/>
      <c r="C18" s="2001"/>
      <c r="D18" s="2002"/>
    </row>
    <row r="19" spans="1:10" ht="6.75" customHeight="1" thickBot="1" x14ac:dyDescent="0.25">
      <c r="A19" s="2003"/>
      <c r="B19" s="2004"/>
      <c r="C19" s="2005"/>
      <c r="D19" s="2006"/>
    </row>
    <row r="20" spans="1:10" s="2011" customFormat="1" ht="12.75" thickTop="1" x14ac:dyDescent="0.2">
      <c r="A20" s="2007"/>
      <c r="B20" s="2008" t="s">
        <v>1676</v>
      </c>
      <c r="C20" s="2009"/>
      <c r="D20" s="2010" t="s">
        <v>705</v>
      </c>
    </row>
    <row r="21" spans="1:10" x14ac:dyDescent="0.2">
      <c r="A21" s="865"/>
      <c r="B21" s="2012">
        <v>1</v>
      </c>
      <c r="C21" s="2497" t="s">
        <v>311</v>
      </c>
      <c r="D21" s="2498"/>
    </row>
    <row r="22" spans="1:10" ht="12.75" x14ac:dyDescent="0.2">
      <c r="A22" s="893"/>
      <c r="B22" s="894">
        <v>2</v>
      </c>
      <c r="C22" s="2499" t="s">
        <v>1510</v>
      </c>
      <c r="D22" s="2500"/>
    </row>
    <row r="23" spans="1:10" ht="12.2" customHeight="1" x14ac:dyDescent="0.2">
      <c r="A23" s="893"/>
      <c r="B23" s="894"/>
      <c r="C23" s="2013" t="s">
        <v>948</v>
      </c>
      <c r="D23" s="895" t="str">
        <f>IF(COVER!O11="X","CASH",IF(COVER!O12="X","ACCRUAL ","PLEASE CHECK AN ACCOUNTING BASIS."))</f>
        <v xml:space="preserve">ACCRUAL </v>
      </c>
    </row>
    <row r="24" spans="1:10" ht="12.2" customHeight="1" x14ac:dyDescent="0.2">
      <c r="A24" s="893"/>
      <c r="B24" s="894"/>
      <c r="C24" s="2013"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4"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5" t="b">
        <f>IF('[1]Aud Quest 2'!B53="X",IF('[1]Aud Quest 2'!F53&gt;"00/00/00 ","Enter Effective Date","ok"))</f>
        <v>0</v>
      </c>
    </row>
    <row r="29" spans="1:10" x14ac:dyDescent="0.2">
      <c r="A29" s="866"/>
      <c r="B29" s="896"/>
      <c r="C29" s="870" t="s">
        <v>1359</v>
      </c>
      <c r="D29" s="201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5"/>
      <c r="B30" s="894">
        <f>B22+1</f>
        <v>3</v>
      </c>
      <c r="C30" s="2016" t="s">
        <v>820</v>
      </c>
      <c r="D30" s="872"/>
    </row>
    <row r="31" spans="1:10" x14ac:dyDescent="0.2">
      <c r="A31" s="866"/>
      <c r="B31" s="2017"/>
      <c r="C31" s="2018" t="s">
        <v>251</v>
      </c>
      <c r="D31" s="2019" t="str">
        <f>IF(SUM('FP Info 3'!J10:L10)&lt;=0.0999999,"OK","CORRECT THE TAX RATES BY MOVING THE DECIMAL TWO PLACES TO THE LEFT.")</f>
        <v>OK</v>
      </c>
      <c r="E31" s="1868"/>
      <c r="F31" s="1868"/>
      <c r="G31" s="1868"/>
      <c r="H31" s="1868"/>
      <c r="I31" s="1868"/>
      <c r="J31" s="1868"/>
    </row>
    <row r="32" spans="1:10" x14ac:dyDescent="0.2">
      <c r="A32" s="866"/>
      <c r="B32" s="2020"/>
      <c r="C32" s="1869" t="s">
        <v>972</v>
      </c>
      <c r="D32" s="869" t="str">
        <f>IF(OR(COVER!B6="x",'FP Info 3'!B31="X",'FP Info 3'!B32="X"),"OK","ENTRY IS REQUIRED!")</f>
        <v>OK</v>
      </c>
    </row>
    <row r="33" spans="1:12" s="2022" customFormat="1" ht="12.75" customHeight="1" x14ac:dyDescent="0.2">
      <c r="A33" s="2021"/>
      <c r="B33" s="894">
        <f>B30+1</f>
        <v>4</v>
      </c>
      <c r="C33" s="873" t="s">
        <v>775</v>
      </c>
      <c r="D33" s="874"/>
    </row>
    <row r="34" spans="1:12" s="2022" customFormat="1" x14ac:dyDescent="0.2">
      <c r="A34" s="2023"/>
      <c r="B34" s="894"/>
      <c r="C34" s="875" t="s">
        <v>821</v>
      </c>
      <c r="D34" s="869" t="str">
        <f>IF('Assets-Liab 5-6'!C4&lt;-0.49, "ERROR!","OK")</f>
        <v>OK</v>
      </c>
    </row>
    <row r="35" spans="1:12" x14ac:dyDescent="0.2">
      <c r="A35" s="2023"/>
      <c r="B35" s="894"/>
      <c r="C35" s="875" t="s">
        <v>303</v>
      </c>
      <c r="D35" s="869" t="str">
        <f>IF('Assets-Liab 5-6'!D4&lt;-0.49, "ERROR!","OK")</f>
        <v>OK</v>
      </c>
      <c r="L35" s="903"/>
    </row>
    <row r="36" spans="1:12" x14ac:dyDescent="0.2">
      <c r="A36" s="2023"/>
      <c r="B36" s="894"/>
      <c r="C36" s="875" t="s">
        <v>776</v>
      </c>
      <c r="D36" s="869" t="str">
        <f>IF('Assets-Liab 5-6'!E4&lt;-0.49, "ERROR!","OK")</f>
        <v>OK</v>
      </c>
    </row>
    <row r="37" spans="1:12" x14ac:dyDescent="0.2">
      <c r="A37" s="2023"/>
      <c r="B37" s="894"/>
      <c r="C37" s="875" t="s">
        <v>304</v>
      </c>
      <c r="D37" s="869" t="str">
        <f>IF('Assets-Liab 5-6'!F4&lt;-0.49, "ERROR!","OK")</f>
        <v>OK</v>
      </c>
    </row>
    <row r="38" spans="1:12" x14ac:dyDescent="0.2">
      <c r="A38" s="2023"/>
      <c r="B38" s="894"/>
      <c r="C38" s="875" t="s">
        <v>305</v>
      </c>
      <c r="D38" s="869" t="str">
        <f>IF('Assets-Liab 5-6'!G4&lt;-0.49, "ERROR!","OK")</f>
        <v>OK</v>
      </c>
    </row>
    <row r="39" spans="1:12" x14ac:dyDescent="0.2">
      <c r="A39" s="2023"/>
      <c r="B39" s="894"/>
      <c r="C39" s="875" t="s">
        <v>777</v>
      </c>
      <c r="D39" s="869" t="str">
        <f>IF('Assets-Liab 5-6'!H4&lt;-0.49, "ERROR!","OK")</f>
        <v>OK</v>
      </c>
    </row>
    <row r="40" spans="1:12" x14ac:dyDescent="0.2">
      <c r="A40" s="2023"/>
      <c r="B40" s="894"/>
      <c r="C40" s="875" t="s">
        <v>306</v>
      </c>
      <c r="D40" s="869" t="str">
        <f>IF('Assets-Liab 5-6'!I4&lt;-0.49, "ERROR!","OK")</f>
        <v>OK</v>
      </c>
    </row>
    <row r="41" spans="1:12" x14ac:dyDescent="0.2">
      <c r="A41" s="2023"/>
      <c r="B41" s="894"/>
      <c r="C41" s="875" t="s">
        <v>778</v>
      </c>
      <c r="D41" s="869" t="str">
        <f>IF('Assets-Liab 5-6'!J4&lt;-0.49, "ERROR!","OK")</f>
        <v>OK</v>
      </c>
    </row>
    <row r="42" spans="1:12" x14ac:dyDescent="0.2">
      <c r="A42" s="2023"/>
      <c r="B42" s="894"/>
      <c r="C42" s="875" t="s">
        <v>307</v>
      </c>
      <c r="D42" s="869" t="str">
        <f>IF('Assets-Liab 5-6'!K4&lt;-0.49, "ERROR!","OK")</f>
        <v>OK</v>
      </c>
    </row>
    <row r="43" spans="1:12" x14ac:dyDescent="0.2">
      <c r="A43" s="876"/>
      <c r="B43" s="877">
        <f>B33+1</f>
        <v>5</v>
      </c>
      <c r="C43" s="2482" t="s">
        <v>533</v>
      </c>
      <c r="D43" s="2483"/>
    </row>
    <row r="44" spans="1:12" x14ac:dyDescent="0.2">
      <c r="A44" s="876"/>
      <c r="B44" s="878"/>
      <c r="C44" s="2024" t="s">
        <v>1326</v>
      </c>
      <c r="D44" s="887" t="str">
        <f>IF(SUM('Assets-Liab 5-6'!C13)&lt;&gt;SUM('Assets-Liab 5-6'!C41),"ERROR!","OK")</f>
        <v>OK</v>
      </c>
    </row>
    <row r="45" spans="1:12" x14ac:dyDescent="0.2">
      <c r="A45" s="876"/>
      <c r="B45" s="878"/>
      <c r="C45" s="2024" t="s">
        <v>1327</v>
      </c>
      <c r="D45" s="887" t="str">
        <f>IF(SUM('Assets-Liab 5-6'!D13)&lt;&gt;SUM('Assets-Liab 5-6'!D41),"ERROR!","OK")</f>
        <v>OK</v>
      </c>
    </row>
    <row r="46" spans="1:12" x14ac:dyDescent="0.2">
      <c r="A46" s="876"/>
      <c r="B46" s="878"/>
      <c r="C46" s="2024" t="s">
        <v>1328</v>
      </c>
      <c r="D46" s="887" t="str">
        <f>IF(SUM('Assets-Liab 5-6'!E13)&lt;&gt;SUM('Assets-Liab 5-6'!E41),"ERROR!","OK")</f>
        <v>OK</v>
      </c>
    </row>
    <row r="47" spans="1:12" x14ac:dyDescent="0.2">
      <c r="A47" s="876"/>
      <c r="B47" s="878"/>
      <c r="C47" s="2024" t="s">
        <v>1329</v>
      </c>
      <c r="D47" s="887" t="str">
        <f>IF(SUM('Assets-Liab 5-6'!F13)&lt;&gt;SUM('Assets-Liab 5-6'!F41),"ERROR!","OK")</f>
        <v>OK</v>
      </c>
    </row>
    <row r="48" spans="1:12" x14ac:dyDescent="0.2">
      <c r="A48" s="876"/>
      <c r="B48" s="878"/>
      <c r="C48" s="2024" t="s">
        <v>1330</v>
      </c>
      <c r="D48" s="887" t="str">
        <f>IF(SUM('Assets-Liab 5-6'!G13)&lt;&gt;SUM('Assets-Liab 5-6'!G41),"ERROR!","OK")</f>
        <v>OK</v>
      </c>
    </row>
    <row r="49" spans="1:4" x14ac:dyDescent="0.2">
      <c r="A49" s="876"/>
      <c r="B49" s="878"/>
      <c r="C49" s="2024" t="s">
        <v>1331</v>
      </c>
      <c r="D49" s="887" t="str">
        <f>IF(SUM('Assets-Liab 5-6'!H13)&lt;&gt;SUM('Assets-Liab 5-6'!H41),"ERROR!","OK")</f>
        <v>OK</v>
      </c>
    </row>
    <row r="50" spans="1:4" x14ac:dyDescent="0.2">
      <c r="A50" s="876"/>
      <c r="B50" s="878"/>
      <c r="C50" s="2024" t="s">
        <v>1332</v>
      </c>
      <c r="D50" s="887" t="str">
        <f>IF(SUM('Assets-Liab 5-6'!I13)&lt;&gt;SUM('Assets-Liab 5-6'!I41),"ERROR!","OK")</f>
        <v>OK</v>
      </c>
    </row>
    <row r="51" spans="1:4" x14ac:dyDescent="0.2">
      <c r="A51" s="876"/>
      <c r="B51" s="878"/>
      <c r="C51" s="2024" t="s">
        <v>1333</v>
      </c>
      <c r="D51" s="887" t="str">
        <f>IF(SUM('Assets-Liab 5-6'!J13)&lt;&gt;SUM('Assets-Liab 5-6'!J41),"ERROR!","OK")</f>
        <v>OK</v>
      </c>
    </row>
    <row r="52" spans="1:4" x14ac:dyDescent="0.2">
      <c r="A52" s="876"/>
      <c r="B52" s="878"/>
      <c r="C52" s="2024" t="s">
        <v>1334</v>
      </c>
      <c r="D52" s="887" t="str">
        <f>IF(SUM('Assets-Liab 5-6'!K13)&lt;&gt;SUM('Assets-Liab 5-6'!K41),"ERROR!","OK")</f>
        <v>OK</v>
      </c>
    </row>
    <row r="53" spans="1:4" x14ac:dyDescent="0.2">
      <c r="A53" s="876"/>
      <c r="B53" s="878"/>
      <c r="C53" s="2024" t="s">
        <v>1335</v>
      </c>
      <c r="D53" s="887" t="str">
        <f>IF(SUM('Assets-Liab 5-6'!L13)&lt;&gt;('Assets-Liab 5-6'!L41),"ERROR!","OK")</f>
        <v>OK</v>
      </c>
    </row>
    <row r="54" spans="1:4" x14ac:dyDescent="0.2">
      <c r="A54" s="876"/>
      <c r="B54" s="878"/>
      <c r="C54" s="2024" t="s">
        <v>1336</v>
      </c>
      <c r="D54" s="887" t="str">
        <f>IF(SUM('Assets-Liab 5-6'!M23)&lt;&gt;('Assets-Liab 5-6'!M41),"ERROR!","OK")</f>
        <v>OK</v>
      </c>
    </row>
    <row r="55" spans="1:4" x14ac:dyDescent="0.2">
      <c r="A55" s="876"/>
      <c r="B55" s="878"/>
      <c r="C55" s="2024" t="s">
        <v>1337</v>
      </c>
      <c r="D55" s="887" t="str">
        <f>IF(SUM('Assets-Liab 5-6'!N23)&lt;&gt;('Assets-Liab 5-6'!N41),"ERROR!","OK")</f>
        <v>OK</v>
      </c>
    </row>
    <row r="56" spans="1:4" x14ac:dyDescent="0.2">
      <c r="A56" s="866"/>
      <c r="B56" s="877">
        <f>B43+1</f>
        <v>6</v>
      </c>
      <c r="C56" s="2484" t="s">
        <v>779</v>
      </c>
      <c r="D56" s="2485"/>
    </row>
    <row r="57" spans="1:4" s="2022" customFormat="1" x14ac:dyDescent="0.2">
      <c r="A57" s="866"/>
      <c r="B57" s="2017"/>
      <c r="C57" s="875" t="s">
        <v>1338</v>
      </c>
      <c r="D57" s="879" t="str">
        <f>IF('Assets-Liab 5-6'!C38+'Assets-Liab 5-6'!C39='Acct Summary 7-8'!C81,"OK","ERROR!")</f>
        <v>OK</v>
      </c>
    </row>
    <row r="58" spans="1:4" x14ac:dyDescent="0.2">
      <c r="A58" s="866"/>
      <c r="B58" s="2017"/>
      <c r="C58" s="875" t="s">
        <v>1339</v>
      </c>
      <c r="D58" s="879" t="str">
        <f>IF(SUM('Assets-Liab 5-6'!D13)&lt;&gt;SUM('Assets-Liab 5-6'!D41),"ERROR!","OK")</f>
        <v>OK</v>
      </c>
    </row>
    <row r="59" spans="1:4" s="2022" customFormat="1" x14ac:dyDescent="0.2">
      <c r="A59" s="866"/>
      <c r="B59" s="2017"/>
      <c r="C59" s="875" t="s">
        <v>1340</v>
      </c>
      <c r="D59" s="879" t="str">
        <f>IF(SUM('Assets-Liab 5-6'!E13)&lt;&gt;SUM('Assets-Liab 5-6'!E41),"ERROR!","OK")</f>
        <v>OK</v>
      </c>
    </row>
    <row r="60" spans="1:4" x14ac:dyDescent="0.2">
      <c r="A60" s="866"/>
      <c r="B60" s="2017"/>
      <c r="C60" s="875" t="s">
        <v>1341</v>
      </c>
      <c r="D60" s="879" t="str">
        <f>IF(SUM('Assets-Liab 5-6'!F13)&lt;&gt;SUM('Assets-Liab 5-6'!F41),"ERROR!","OK")</f>
        <v>OK</v>
      </c>
    </row>
    <row r="61" spans="1:4" ht="12.75" customHeight="1" x14ac:dyDescent="0.2">
      <c r="A61" s="866"/>
      <c r="B61" s="2017"/>
      <c r="C61" s="875" t="s">
        <v>1349</v>
      </c>
      <c r="D61" s="879" t="str">
        <f>IF(SUM('Assets-Liab 5-6'!G13)&lt;&gt;SUM('Assets-Liab 5-6'!G41),"ERROR!","OK")</f>
        <v>OK</v>
      </c>
    </row>
    <row r="62" spans="1:4" x14ac:dyDescent="0.2">
      <c r="A62" s="866"/>
      <c r="B62" s="2017"/>
      <c r="C62" s="875" t="s">
        <v>1342</v>
      </c>
      <c r="D62" s="879" t="str">
        <f>IF((('Assets-Liab 5-6'!H38 + 'Assets-Liab 5-6'!H39) ='Acct Summary 7-8'!H81), "OK", "ERROR!" )</f>
        <v>OK</v>
      </c>
    </row>
    <row r="63" spans="1:4" ht="12.75" customHeight="1" x14ac:dyDescent="0.2">
      <c r="A63" s="866"/>
      <c r="B63" s="2017"/>
      <c r="C63" s="875" t="s">
        <v>1343</v>
      </c>
      <c r="D63" s="879" t="str">
        <f>IF((('Assets-Liab 5-6'!I38 + 'Assets-Liab 5-6'!I39) ='Acct Summary 7-8'!I81), "OK", "ERROR!" )</f>
        <v>OK</v>
      </c>
    </row>
    <row r="64" spans="1:4" x14ac:dyDescent="0.2">
      <c r="A64" s="866"/>
      <c r="B64" s="2017"/>
      <c r="C64" s="875" t="s">
        <v>1344</v>
      </c>
      <c r="D64" s="879" t="str">
        <f>IF((('Assets-Liab 5-6'!J38 + 'Assets-Liab 5-6'!J39) ='Acct Summary 7-8'!J81), "OK", "ERROR!" )</f>
        <v>OK</v>
      </c>
    </row>
    <row r="65" spans="1:4" x14ac:dyDescent="0.2">
      <c r="A65" s="2023"/>
      <c r="B65" s="2017"/>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7"/>
      <c r="C68" s="868" t="s">
        <v>1884</v>
      </c>
      <c r="D68" s="879" t="str">
        <f>IF('Short-Term Long-Term Debt 24'!F49=SUM(,'Acct Summary 7-8'!C33:K33),"OK","ERROR!")</f>
        <v>OK</v>
      </c>
    </row>
    <row r="69" spans="1:4" x14ac:dyDescent="0.2">
      <c r="A69" s="866"/>
      <c r="B69" s="2017"/>
      <c r="C69" s="868" t="s">
        <v>1885</v>
      </c>
      <c r="D69" s="879" t="str">
        <f>IF('Expenditures 15-22'!H170&lt;&gt;'Short-Term Long-Term Debt 24'!H49,"ERROR!","OK")</f>
        <v>OK</v>
      </c>
    </row>
    <row r="70" spans="1:4" x14ac:dyDescent="0.2">
      <c r="A70" s="865"/>
      <c r="B70" s="877">
        <f>B66+1</f>
        <v>9</v>
      </c>
      <c r="C70" s="2484" t="s">
        <v>1677</v>
      </c>
      <c r="D70" s="2485"/>
    </row>
    <row r="71" spans="1:4" x14ac:dyDescent="0.2">
      <c r="A71" s="865"/>
      <c r="B71" s="877"/>
      <c r="C71" s="868" t="s">
        <v>1345</v>
      </c>
      <c r="D71" s="881" t="str">
        <f>IF(SUM('Acct Summary 7-8'!C27:K27) =SUM( 'Acct Summary 7-8'!C49:K49),"OK", "ERROR")</f>
        <v>OK</v>
      </c>
    </row>
    <row r="72" spans="1:4" x14ac:dyDescent="0.2">
      <c r="A72" s="866"/>
      <c r="B72" s="2017"/>
      <c r="C72" s="875" t="s">
        <v>1346</v>
      </c>
      <c r="D72" s="879" t="str">
        <f>IF(SUM('Acct Summary 7-8'!C28:K28)=SUM('Acct Summary 7-8'!C50:K50),"OK","ERROR!")</f>
        <v>OK</v>
      </c>
    </row>
    <row r="73" spans="1:4" ht="24" x14ac:dyDescent="0.2">
      <c r="A73" s="882"/>
      <c r="B73" s="2017"/>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7"/>
      <c r="C75" s="875" t="s">
        <v>1363</v>
      </c>
      <c r="D75" s="879" t="str">
        <f>IF(SUM('Assets-Liab 5-6'!C38:H38)&gt;=SUM('Rest Tax Levies-Tort Im 25'!G25:K25),"OK","ERROR")</f>
        <v>OK</v>
      </c>
    </row>
    <row r="76" spans="1:4" x14ac:dyDescent="0.2">
      <c r="A76" s="866"/>
      <c r="B76" s="2017"/>
      <c r="C76" s="875" t="s">
        <v>1404</v>
      </c>
      <c r="D76" s="879" t="str">
        <f>IF(SUM('Assets-Liab 5-6'!C39:K39)&gt;0,"OK","ENTRY IS REQUIRED!")</f>
        <v>OK</v>
      </c>
    </row>
    <row r="77" spans="1:4" x14ac:dyDescent="0.2">
      <c r="A77" s="866"/>
      <c r="B77" s="884">
        <f>B74+1</f>
        <v>11</v>
      </c>
      <c r="C77" s="904" t="s">
        <v>1364</v>
      </c>
      <c r="D77" s="879"/>
    </row>
    <row r="78" spans="1:4" x14ac:dyDescent="0.2">
      <c r="A78" s="866"/>
      <c r="B78" s="2017"/>
      <c r="C78" s="875" t="s">
        <v>1991</v>
      </c>
      <c r="D78" s="879" t="str">
        <f>IF(ISNUMBER('Acct Summary 7-8'!C9),"OK","ENTRY IS REQUIRED!")</f>
        <v>OK</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x14ac:dyDescent="0.2">
      <c r="A82" s="865"/>
      <c r="B82" s="877">
        <v>15</v>
      </c>
      <c r="C82" s="885" t="s">
        <v>1887</v>
      </c>
      <c r="D82" s="1850"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9" t="s">
        <v>1981</v>
      </c>
    </row>
    <row r="2" spans="1:7" ht="15.75" x14ac:dyDescent="0.25">
      <c r="A2" t="s">
        <v>260</v>
      </c>
      <c r="B2" s="135" t="str">
        <f>COVER!A13</f>
        <v>05-016-0280-02</v>
      </c>
      <c r="E2" s="1493">
        <v>2020</v>
      </c>
      <c r="F2" s="1493">
        <v>1</v>
      </c>
      <c r="G2" s="1848">
        <v>101000300</v>
      </c>
    </row>
    <row r="3" spans="1:7" ht="15" x14ac:dyDescent="0.25">
      <c r="A3" t="s">
        <v>950</v>
      </c>
      <c r="B3" s="135" t="str">
        <f>COVER!A15</f>
        <v>Cook</v>
      </c>
      <c r="E3" s="1781" t="s">
        <v>1974</v>
      </c>
      <c r="F3" s="1781" t="s">
        <v>1973</v>
      </c>
      <c r="G3" s="1848">
        <v>101000400</v>
      </c>
    </row>
    <row r="4" spans="1:7" ht="15" x14ac:dyDescent="0.25">
      <c r="A4" t="s">
        <v>1000</v>
      </c>
      <c r="B4" s="135" t="str">
        <f>COVER!A17</f>
        <v>Northbrook SD 28</v>
      </c>
      <c r="E4" s="1779">
        <v>44119</v>
      </c>
      <c r="F4" s="1780">
        <v>44151</v>
      </c>
      <c r="G4" s="1848">
        <v>101000600</v>
      </c>
    </row>
    <row r="5" spans="1:7" ht="15" x14ac:dyDescent="0.25">
      <c r="A5" t="s">
        <v>699</v>
      </c>
      <c r="B5" s="135" t="str">
        <f>COVER!A38</f>
        <v>Larry Hewitt</v>
      </c>
      <c r="G5" s="1848">
        <v>101000800</v>
      </c>
    </row>
    <row r="6" spans="1:7" ht="15" x14ac:dyDescent="0.25">
      <c r="A6" t="s">
        <v>704</v>
      </c>
      <c r="B6" s="135">
        <f>COVER!P35</f>
        <v>0</v>
      </c>
      <c r="G6" s="1848">
        <v>102100300</v>
      </c>
    </row>
    <row r="7" spans="1:7" ht="15" x14ac:dyDescent="0.25">
      <c r="A7" t="s">
        <v>700</v>
      </c>
      <c r="B7" s="135">
        <f>COVER!I38</f>
        <v>0</v>
      </c>
      <c r="G7" s="1848">
        <v>102100400</v>
      </c>
    </row>
    <row r="8" spans="1:7" ht="15" x14ac:dyDescent="0.25">
      <c r="A8" t="s">
        <v>701</v>
      </c>
      <c r="B8" s="135">
        <f>COVER!T38</f>
        <v>0</v>
      </c>
      <c r="G8" s="1848">
        <v>102100600</v>
      </c>
    </row>
    <row r="9" spans="1:7" ht="15" x14ac:dyDescent="0.25">
      <c r="A9" s="3" t="s">
        <v>951</v>
      </c>
      <c r="B9" s="153" t="e">
        <f>#REF!</f>
        <v>#REF!</v>
      </c>
      <c r="G9" s="1848">
        <v>102100800</v>
      </c>
    </row>
    <row r="10" spans="1:7" ht="15" x14ac:dyDescent="0.25">
      <c r="A10" t="s">
        <v>970</v>
      </c>
      <c r="B10" s="135" t="str">
        <f>COVER!B5</f>
        <v>X</v>
      </c>
      <c r="G10" s="1848">
        <v>202100300</v>
      </c>
    </row>
    <row r="11" spans="1:7" ht="15" x14ac:dyDescent="0.25">
      <c r="A11" t="s">
        <v>971</v>
      </c>
      <c r="B11" s="135">
        <f>COVER!B6</f>
        <v>0</v>
      </c>
      <c r="G11" s="1848">
        <v>202100400</v>
      </c>
    </row>
    <row r="12" spans="1:7" ht="15" x14ac:dyDescent="0.25">
      <c r="A12" s="1" t="s">
        <v>1529</v>
      </c>
      <c r="B12" s="135" t="str">
        <f>IF(COVER!J29="x","Yes",IF(COVER!L29="X","No",0))</f>
        <v>No</v>
      </c>
      <c r="G12" s="1848">
        <v>202100600</v>
      </c>
    </row>
    <row r="13" spans="1:7" ht="15" x14ac:dyDescent="0.25">
      <c r="A13" s="1" t="s">
        <v>1530</v>
      </c>
      <c r="B13" s="135" t="str">
        <f>IF(COVER!J30="x","Yes",IF(COVER!L30="x","No",0))</f>
        <v>No</v>
      </c>
      <c r="G13" s="1848">
        <v>202100800</v>
      </c>
    </row>
    <row r="14" spans="1:7" ht="15" x14ac:dyDescent="0.25">
      <c r="A14" t="s">
        <v>473</v>
      </c>
      <c r="B14" s="135" t="str">
        <f>IF(COVER!J31="x","Yes",IF(COVER!L31="x","No",0))</f>
        <v>No</v>
      </c>
      <c r="G14" s="1848">
        <v>402100300</v>
      </c>
    </row>
    <row r="15" spans="1:7" ht="15" x14ac:dyDescent="0.25">
      <c r="A15" t="s">
        <v>573</v>
      </c>
      <c r="B15" s="135" t="str">
        <f>COVER!T23</f>
        <v>065-033233</v>
      </c>
      <c r="G15" s="1848">
        <v>402100400</v>
      </c>
    </row>
    <row r="16" spans="1:7" ht="15" x14ac:dyDescent="0.25">
      <c r="A16" t="s">
        <v>419</v>
      </c>
      <c r="B16" s="135" t="str">
        <f>COVER!T13</f>
        <v>Lauterbach &amp; Amen, LLP</v>
      </c>
      <c r="G16" s="1848">
        <v>402100600</v>
      </c>
    </row>
    <row r="17" spans="1:7" ht="15" x14ac:dyDescent="0.25">
      <c r="A17" t="s">
        <v>878</v>
      </c>
      <c r="B17" s="135" t="str">
        <f>COVER!T15</f>
        <v>Matt Beran</v>
      </c>
      <c r="G17" s="1848">
        <v>402100800</v>
      </c>
    </row>
    <row r="18" spans="1:7" ht="15" x14ac:dyDescent="0.25">
      <c r="A18" t="s">
        <v>1142</v>
      </c>
      <c r="B18" s="135" t="str">
        <f>COVER!T17</f>
        <v>668 N River Road</v>
      </c>
      <c r="G18" s="1848">
        <v>102200300</v>
      </c>
    </row>
    <row r="19" spans="1:7" ht="15" x14ac:dyDescent="0.25">
      <c r="A19" t="s">
        <v>880</v>
      </c>
      <c r="B19" s="135">
        <f>COVER!T25</f>
        <v>0</v>
      </c>
      <c r="G19" s="1848">
        <v>102200400</v>
      </c>
    </row>
    <row r="20" spans="1:7" ht="15" x14ac:dyDescent="0.25">
      <c r="A20" t="s">
        <v>881</v>
      </c>
      <c r="B20" s="135" t="str">
        <f>COVER!T19</f>
        <v>Naperville</v>
      </c>
      <c r="G20" s="1848">
        <v>102200600</v>
      </c>
    </row>
    <row r="21" spans="1:7" ht="15" x14ac:dyDescent="0.25">
      <c r="A21" t="s">
        <v>476</v>
      </c>
      <c r="B21" s="135" t="str">
        <f>COVER!X19</f>
        <v>IL</v>
      </c>
      <c r="G21" s="1848">
        <v>102200800</v>
      </c>
    </row>
    <row r="22" spans="1:7" ht="15" x14ac:dyDescent="0.25">
      <c r="A22" t="s">
        <v>882</v>
      </c>
      <c r="B22" s="135">
        <f>COVER!Z19</f>
        <v>60563</v>
      </c>
      <c r="G22" s="1848">
        <v>102300300</v>
      </c>
    </row>
    <row r="23" spans="1:7" ht="15" x14ac:dyDescent="0.25">
      <c r="A23" t="s">
        <v>1144</v>
      </c>
      <c r="B23" s="135">
        <f>COVER!T21</f>
        <v>6303931483</v>
      </c>
      <c r="G23" s="1848">
        <v>102300400</v>
      </c>
    </row>
    <row r="24" spans="1:7" ht="15" x14ac:dyDescent="0.25">
      <c r="A24" t="s">
        <v>1143</v>
      </c>
      <c r="B24" s="135">
        <f>COVER!Y21</f>
        <v>0</v>
      </c>
      <c r="G24" s="1848">
        <v>102300600</v>
      </c>
    </row>
    <row r="25" spans="1:7" ht="15" x14ac:dyDescent="0.25">
      <c r="A25" t="s">
        <v>756</v>
      </c>
      <c r="B25" s="135">
        <f>COVER!B34</f>
        <v>0</v>
      </c>
      <c r="G25" s="1848">
        <v>102300800</v>
      </c>
    </row>
    <row r="26" spans="1:7" ht="15" x14ac:dyDescent="0.25">
      <c r="A26" t="s">
        <v>1145</v>
      </c>
      <c r="B26" s="135">
        <f>COVER!L34</f>
        <v>0</v>
      </c>
      <c r="G26" s="1848">
        <v>802300300</v>
      </c>
    </row>
    <row r="27" spans="1:7" ht="15" x14ac:dyDescent="0.25">
      <c r="A27" t="s">
        <v>266</v>
      </c>
      <c r="B27" s="135">
        <f>COVER!U34</f>
        <v>0</v>
      </c>
      <c r="G27" s="1848">
        <v>802300400</v>
      </c>
    </row>
    <row r="28" spans="1:7" ht="15" x14ac:dyDescent="0.25">
      <c r="A28" t="s">
        <v>313</v>
      </c>
      <c r="B28" s="135" t="str">
        <f>IF('Aud Quest 2'!B9="x","Yes",IF('Aud Quest 2'!B9&lt;&gt;"x","0"))</f>
        <v>0</v>
      </c>
      <c r="G28" s="1848">
        <v>802300600</v>
      </c>
    </row>
    <row r="29" spans="1:7" ht="15" x14ac:dyDescent="0.25">
      <c r="A29" t="s">
        <v>314</v>
      </c>
      <c r="B29" s="135" t="str">
        <f>IF('Aud Quest 2'!B11="x","Yes",IF('Aud Quest 2'!B11&lt;&gt;"x","0"))</f>
        <v>0</v>
      </c>
      <c r="G29" s="1848">
        <v>802300800</v>
      </c>
    </row>
    <row r="30" spans="1:7" ht="15" x14ac:dyDescent="0.25">
      <c r="A30" t="s">
        <v>315</v>
      </c>
      <c r="B30" s="135" t="str">
        <f>IF('Aud Quest 2'!B13="x","Yes",IF('Aud Quest 2'!B13&lt;&gt;"x","0"))</f>
        <v>0</v>
      </c>
      <c r="G30" s="1848">
        <v>102400300</v>
      </c>
    </row>
    <row r="31" spans="1:7" ht="15" x14ac:dyDescent="0.25">
      <c r="A31" t="s">
        <v>654</v>
      </c>
      <c r="B31" s="135" t="str">
        <f>IF('Aud Quest 2'!B14="x","Yes",IF('Aud Quest 2'!B14&lt;&gt;"x","0"))</f>
        <v>0</v>
      </c>
      <c r="G31" s="1848">
        <v>102400400</v>
      </c>
    </row>
    <row r="32" spans="1:7" ht="15" x14ac:dyDescent="0.25">
      <c r="A32" t="s">
        <v>653</v>
      </c>
      <c r="B32" s="135" t="str">
        <f>IF('Aud Quest 2'!B15="x","Yes",IF('Aud Quest 2'!B15&lt;&gt;"x","0"))</f>
        <v>0</v>
      </c>
      <c r="G32" s="1848">
        <v>102400600</v>
      </c>
    </row>
    <row r="33" spans="1:7" ht="15" x14ac:dyDescent="0.25">
      <c r="A33" t="s">
        <v>655</v>
      </c>
      <c r="B33" s="135" t="str">
        <f>IF('Aud Quest 2'!B16="x","Yes",IF('Aud Quest 2'!B16&lt;&gt;"x","0"))</f>
        <v>0</v>
      </c>
      <c r="G33" s="1848">
        <v>102400800</v>
      </c>
    </row>
    <row r="34" spans="1:7" ht="15" x14ac:dyDescent="0.25">
      <c r="A34" t="s">
        <v>656</v>
      </c>
      <c r="B34" s="135" t="str">
        <f>IF('Aud Quest 2'!B18="x","Yes",IF('Aud Quest 2'!B18&lt;&gt;"x","0"))</f>
        <v>0</v>
      </c>
      <c r="G34" s="1848">
        <v>102510300</v>
      </c>
    </row>
    <row r="35" spans="1:7" ht="15" x14ac:dyDescent="0.25">
      <c r="A35" t="s">
        <v>657</v>
      </c>
      <c r="B35" s="135" t="str">
        <f>IF('Aud Quest 2'!B20="x","Yes",IF('Aud Quest 2'!B20&lt;&gt;"x","0"))</f>
        <v>0</v>
      </c>
      <c r="G35" s="1848">
        <v>102510400</v>
      </c>
    </row>
    <row r="36" spans="1:7" ht="15" x14ac:dyDescent="0.25">
      <c r="A36" t="s">
        <v>651</v>
      </c>
      <c r="B36" s="135" t="str">
        <f>IF('Aud Quest 2'!B22="x","Yes",IF('Aud Quest 2'!B22&lt;&gt;"x","0"))</f>
        <v>0</v>
      </c>
      <c r="G36" s="1848">
        <v>102510600</v>
      </c>
    </row>
    <row r="37" spans="1:7" ht="15" x14ac:dyDescent="0.25">
      <c r="A37" t="s">
        <v>755</v>
      </c>
      <c r="B37" s="135" t="str">
        <f>IF('Aud Quest 2'!B24="x","Yes",IF('Aud Quest 2'!B24&lt;&gt;"x","0"))</f>
        <v>0</v>
      </c>
      <c r="G37" s="1848">
        <v>102510800</v>
      </c>
    </row>
    <row r="38" spans="1:7" ht="15" x14ac:dyDescent="0.25">
      <c r="A38" t="s">
        <v>324</v>
      </c>
      <c r="B38" s="135" t="str">
        <f>IF('Aud Quest 2'!B25="x","Yes",IF('Aud Quest 2'!B25&lt;&gt;"x","0"))</f>
        <v>0</v>
      </c>
      <c r="G38" s="1848">
        <v>202510300</v>
      </c>
    </row>
    <row r="39" spans="1:7" ht="15" x14ac:dyDescent="0.25">
      <c r="A39" t="s">
        <v>325</v>
      </c>
      <c r="B39" s="135" t="str">
        <f>IF('Aud Quest 2'!B27="x","Yes",IF('Aud Quest 2'!B27&lt;&gt;"x","0"))</f>
        <v>0</v>
      </c>
      <c r="G39" s="1848">
        <v>202510400</v>
      </c>
    </row>
    <row r="40" spans="1:7" ht="15" x14ac:dyDescent="0.25">
      <c r="A40" t="s">
        <v>316</v>
      </c>
      <c r="B40" s="135" t="str">
        <f>IF('Aud Quest 2'!B29="x","Yes",IF('Aud Quest 2'!B29&lt;&gt;"x","0"))</f>
        <v>0</v>
      </c>
      <c r="G40" s="1848">
        <v>202510600</v>
      </c>
    </row>
    <row r="41" spans="1:7" ht="15" x14ac:dyDescent="0.25">
      <c r="A41" t="s">
        <v>317</v>
      </c>
      <c r="B41" s="135" t="str">
        <f>IF('Aud Quest 2'!B31="x","Yes",IF('Aud Quest 2'!B31&lt;&gt;"x","0"))</f>
        <v>0</v>
      </c>
      <c r="G41" s="1848">
        <v>202510800</v>
      </c>
    </row>
    <row r="42" spans="1:7" ht="15" x14ac:dyDescent="0.25">
      <c r="A42" t="s">
        <v>318</v>
      </c>
      <c r="B42" s="135" t="str">
        <f>IF('Aud Quest 2'!B37="x","Yes",IF('Aud Quest 2'!B37&lt;&gt;"x","0"))</f>
        <v>0</v>
      </c>
      <c r="G42" s="1848">
        <v>102520300</v>
      </c>
    </row>
    <row r="43" spans="1:7" ht="15" x14ac:dyDescent="0.25">
      <c r="A43" t="s">
        <v>319</v>
      </c>
      <c r="B43" s="135" t="str">
        <f>IF('Aud Quest 2'!B40="x","Yes",IF('Aud Quest 2'!B40&lt;&gt;"x","0"))</f>
        <v>0</v>
      </c>
      <c r="G43" s="1848">
        <v>102520400</v>
      </c>
    </row>
    <row r="44" spans="1:7" ht="15" x14ac:dyDescent="0.25">
      <c r="A44" s="1" t="s">
        <v>320</v>
      </c>
      <c r="B44" s="135" t="str">
        <f>IF('Aud Quest 2'!B42="x","Yes",IF('Aud Quest 2'!B42&lt;&gt;"x","0"))</f>
        <v>0</v>
      </c>
      <c r="G44" s="1848">
        <v>102520600</v>
      </c>
    </row>
    <row r="45" spans="1:7" ht="15" x14ac:dyDescent="0.25">
      <c r="A45" t="s">
        <v>321</v>
      </c>
      <c r="B45" s="135" t="str">
        <f>IF('Aud Quest 2'!B44="x","Yes",IF('Aud Quest 2'!B44&lt;&gt;"x","0"))</f>
        <v>0</v>
      </c>
      <c r="G45" s="1848">
        <v>102520800</v>
      </c>
    </row>
    <row r="46" spans="1:7" ht="15" x14ac:dyDescent="0.25">
      <c r="A46" t="s">
        <v>322</v>
      </c>
      <c r="B46" s="135" t="str">
        <f>IF('Aud Quest 2'!B49="x","Yes",IF('Aud Quest 2'!B49&lt;&gt;"x","0"))</f>
        <v>0</v>
      </c>
      <c r="G46" s="1848">
        <v>102540300</v>
      </c>
    </row>
    <row r="47" spans="1:7" ht="15" x14ac:dyDescent="0.25">
      <c r="A47" t="s">
        <v>323</v>
      </c>
      <c r="B47" s="135" t="str">
        <f>IF('Aud Quest 2'!B50="x","Yes",IF('Aud Quest 2'!B50&lt;&gt;"x","0"))</f>
        <v>0</v>
      </c>
      <c r="G47" s="1848">
        <v>102540400</v>
      </c>
    </row>
    <row r="48" spans="1:7" ht="15" x14ac:dyDescent="0.25">
      <c r="A48" t="s">
        <v>480</v>
      </c>
      <c r="B48" s="135" t="str">
        <f>IF('Aud Quest 2'!B51="x","Yes",IF('Aud Quest 2'!B51&lt;&gt;"x","0"))</f>
        <v>0</v>
      </c>
      <c r="G48" s="1848">
        <v>102540600</v>
      </c>
    </row>
    <row r="49" spans="1:7" ht="15" x14ac:dyDescent="0.25">
      <c r="A49" s="1" t="s">
        <v>1467</v>
      </c>
      <c r="B49" s="135" t="str">
        <f>IF('Aud Quest 2'!B53="x","Yes",IF('Aud Quest 2'!B53&lt;&gt;"x","0"))</f>
        <v>Yes</v>
      </c>
      <c r="G49" s="1848">
        <v>102540800</v>
      </c>
    </row>
    <row r="50" spans="1:7" ht="15" x14ac:dyDescent="0.25">
      <c r="A50" s="1" t="s">
        <v>1466</v>
      </c>
      <c r="B50" s="146">
        <f>'Aud Quest 2'!H53</f>
        <v>33239</v>
      </c>
      <c r="G50" s="1848">
        <v>202540300</v>
      </c>
    </row>
    <row r="51" spans="1:7" ht="15" x14ac:dyDescent="0.25">
      <c r="A51" s="1" t="s">
        <v>1468</v>
      </c>
      <c r="B51" s="135" t="str">
        <f>IF('Aud Quest 2'!B54="x","Yes",IF('Aud Quest 2'!B54&lt;&gt;"x","0"))</f>
        <v>0</v>
      </c>
      <c r="G51" s="1848">
        <v>202540400</v>
      </c>
    </row>
    <row r="52" spans="1:7" ht="15" x14ac:dyDescent="0.25">
      <c r="A52" t="s">
        <v>326</v>
      </c>
      <c r="B52" s="135">
        <f>('Aud Quest 2'!D56)</f>
        <v>0</v>
      </c>
      <c r="G52" s="1848">
        <v>202540600</v>
      </c>
    </row>
    <row r="53" spans="1:7" ht="15" x14ac:dyDescent="0.25">
      <c r="A53" s="1" t="s">
        <v>327</v>
      </c>
      <c r="B53" s="135">
        <f>IF('FP Info 3'!B44="X","Yes",0)</f>
        <v>0</v>
      </c>
      <c r="G53" s="1848">
        <v>202540800</v>
      </c>
    </row>
    <row r="54" spans="1:7" ht="15" x14ac:dyDescent="0.25">
      <c r="A54" t="s">
        <v>328</v>
      </c>
      <c r="B54" s="135">
        <f>IF('FP Info 3'!B45="X","Yes",0)</f>
        <v>0</v>
      </c>
      <c r="G54" s="1848">
        <v>902540300</v>
      </c>
    </row>
    <row r="55" spans="1:7" ht="15" x14ac:dyDescent="0.25">
      <c r="A55" t="s">
        <v>329</v>
      </c>
      <c r="B55" s="135">
        <f>IF('FP Info 3'!B46="X","Yes",0)</f>
        <v>0</v>
      </c>
      <c r="G55" s="1848">
        <v>902540400</v>
      </c>
    </row>
    <row r="56" spans="1:7" ht="15" x14ac:dyDescent="0.25">
      <c r="A56" t="s">
        <v>330</v>
      </c>
      <c r="B56" s="135">
        <f>IF('FP Info 3'!B47="X","Yes",0)</f>
        <v>0</v>
      </c>
      <c r="G56" s="1848">
        <v>902540600</v>
      </c>
    </row>
    <row r="57" spans="1:7" ht="15" x14ac:dyDescent="0.25">
      <c r="A57" t="s">
        <v>331</v>
      </c>
      <c r="B57" s="135">
        <f>IF('FP Info 3'!B48="X","Yes",0)</f>
        <v>0</v>
      </c>
      <c r="G57" s="1848">
        <v>902540800</v>
      </c>
    </row>
    <row r="58" spans="1:7" ht="15" x14ac:dyDescent="0.25">
      <c r="A58" t="s">
        <v>332</v>
      </c>
      <c r="B58" s="135">
        <f>IF('FP Info 3'!B49="X","Yes",0)</f>
        <v>0</v>
      </c>
      <c r="G58" s="1848">
        <v>102550300</v>
      </c>
    </row>
    <row r="59" spans="1:7" ht="15" x14ac:dyDescent="0.25">
      <c r="A59" t="s">
        <v>333</v>
      </c>
      <c r="B59" s="135">
        <f>IF('FP Info 3'!B50="X","Yes",0)</f>
        <v>0</v>
      </c>
      <c r="G59" s="1848">
        <v>102550400</v>
      </c>
    </row>
    <row r="60" spans="1:7" ht="15" x14ac:dyDescent="0.25">
      <c r="A60" t="s">
        <v>334</v>
      </c>
      <c r="B60" s="135">
        <f>IF('FP Info 3'!B51="X","Yes",0)</f>
        <v>0</v>
      </c>
      <c r="G60" s="1848">
        <v>102550600</v>
      </c>
    </row>
    <row r="61" spans="1:7" ht="15" x14ac:dyDescent="0.25">
      <c r="A61" t="s">
        <v>335</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16376945</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26553270</v>
      </c>
      <c r="C77" s="2" t="s">
        <v>569</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16376945</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16783732</v>
      </c>
      <c r="C91" s="2" t="s">
        <v>569</v>
      </c>
      <c r="D91" s="2" t="str">
        <f t="shared" si="0"/>
        <v>Error?</v>
      </c>
      <c r="G91" s="1848">
        <v>102640400</v>
      </c>
    </row>
    <row r="92" spans="1:7" ht="15" x14ac:dyDescent="0.25">
      <c r="A92" s="5">
        <v>31</v>
      </c>
      <c r="B92" s="1783">
        <f>'Assets-Liab 5-6'!C39</f>
        <v>9769538</v>
      </c>
      <c r="D92" s="2" t="str">
        <f t="shared" si="0"/>
        <v>Error?</v>
      </c>
      <c r="G92" s="1848">
        <v>102640600</v>
      </c>
    </row>
    <row r="93" spans="1:7" ht="15" x14ac:dyDescent="0.25">
      <c r="A93" s="5">
        <v>32</v>
      </c>
      <c r="B93" s="1783">
        <f>'Assets-Liab 5-6'!C41</f>
        <v>26553270</v>
      </c>
      <c r="C93" s="2" t="s">
        <v>569</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1457280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2974860</v>
      </c>
      <c r="C109" s="2" t="s">
        <v>569</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1457280</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1502849</v>
      </c>
      <c r="C122" s="2" t="s">
        <v>569</v>
      </c>
      <c r="D122" s="2" t="str">
        <f t="shared" si="0"/>
        <v>Error?</v>
      </c>
      <c r="G122" s="1848">
        <v>203000300</v>
      </c>
    </row>
    <row r="123" spans="1:7" ht="15" x14ac:dyDescent="0.25">
      <c r="A123" s="5">
        <v>62</v>
      </c>
      <c r="B123" s="1783">
        <f>'Assets-Liab 5-6'!D39</f>
        <v>0</v>
      </c>
      <c r="D123" s="2" t="str">
        <f t="shared" si="0"/>
        <v>Error?</v>
      </c>
      <c r="G123" s="1848">
        <v>203000400</v>
      </c>
    </row>
    <row r="124" spans="1:7" ht="15" x14ac:dyDescent="0.25">
      <c r="A124" s="5">
        <v>63</v>
      </c>
      <c r="B124" s="1783">
        <f>'Assets-Liab 5-6'!D41</f>
        <v>2974860</v>
      </c>
      <c r="C124" s="2" t="s">
        <v>569</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0</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0</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0</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0</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0</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511735</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996789</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511735</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511735</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996789</v>
      </c>
      <c r="C171" s="2" t="s">
        <v>569</v>
      </c>
      <c r="D171" s="2" t="str">
        <f t="shared" si="1"/>
        <v>Error?</v>
      </c>
    </row>
    <row r="172" spans="1:4" x14ac:dyDescent="0.2">
      <c r="A172" s="10">
        <v>111</v>
      </c>
      <c r="B172" s="1783"/>
      <c r="D172" s="2" t="str">
        <f t="shared" si="1"/>
        <v>OK</v>
      </c>
    </row>
    <row r="173" spans="1:4" x14ac:dyDescent="0.2">
      <c r="A173" s="5">
        <v>112</v>
      </c>
      <c r="B173" s="1783">
        <f>'Assets-Liab 5-6'!G6</f>
        <v>676485</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1584081</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676485</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676485</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1584081</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15888</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15888</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15888</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678040</v>
      </c>
      <c r="D273" s="2" t="str">
        <f t="shared" si="3"/>
        <v>Error?</v>
      </c>
    </row>
    <row r="274" spans="1:4" x14ac:dyDescent="0.2">
      <c r="A274" s="5">
        <v>213</v>
      </c>
      <c r="B274" s="1783">
        <f>'Assets-Liab 5-6'!M17</f>
        <v>32296763</v>
      </c>
      <c r="D274" s="2" t="str">
        <f t="shared" si="3"/>
        <v>Error?</v>
      </c>
    </row>
    <row r="275" spans="1:4" x14ac:dyDescent="0.2">
      <c r="A275" s="5">
        <v>214</v>
      </c>
      <c r="B275" s="1783">
        <f>'Assets-Liab 5-6'!M18</f>
        <v>157269</v>
      </c>
      <c r="D275" s="2" t="str">
        <f t="shared" si="3"/>
        <v>Error?</v>
      </c>
    </row>
    <row r="276" spans="1:4" x14ac:dyDescent="0.2">
      <c r="A276" s="5">
        <v>215</v>
      </c>
      <c r="B276" s="1783">
        <f>'Assets-Liab 5-6'!M19</f>
        <v>1494057</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34742509</v>
      </c>
      <c r="C279" s="2" t="s">
        <v>569</v>
      </c>
      <c r="D279" s="2" t="str">
        <f t="shared" si="3"/>
        <v>Error?</v>
      </c>
    </row>
    <row r="280" spans="1:4" x14ac:dyDescent="0.2">
      <c r="A280" s="5">
        <v>219</v>
      </c>
      <c r="B280" s="1783">
        <f>'Assets-Liab 5-6'!M40</f>
        <v>34742509</v>
      </c>
      <c r="D280" s="2" t="str">
        <f t="shared" si="3"/>
        <v>Error?</v>
      </c>
    </row>
    <row r="281" spans="1:4" x14ac:dyDescent="0.2">
      <c r="A281" s="5">
        <v>220</v>
      </c>
      <c r="B281" s="1783">
        <f>'Assets-Liab 5-6'!M41</f>
        <v>34742509</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0</v>
      </c>
      <c r="D283" s="2" t="str">
        <f t="shared" si="3"/>
        <v>Error?</v>
      </c>
    </row>
    <row r="284" spans="1:4" x14ac:dyDescent="0.2">
      <c r="A284" s="5">
        <v>223</v>
      </c>
      <c r="B284" s="1783">
        <f>'Assets-Liab 5-6'!N23</f>
        <v>0</v>
      </c>
      <c r="C284" s="2" t="s">
        <v>569</v>
      </c>
      <c r="D284" s="2" t="str">
        <f t="shared" si="3"/>
        <v>Error?</v>
      </c>
    </row>
    <row r="285" spans="1:4" x14ac:dyDescent="0.2">
      <c r="A285" s="5">
        <v>224</v>
      </c>
      <c r="B285" s="1783">
        <f>'Assets-Liab 5-6'!N36</f>
        <v>0</v>
      </c>
      <c r="D285" s="2" t="str">
        <f t="shared" si="3"/>
        <v>Error?</v>
      </c>
    </row>
    <row r="286" spans="1:4" x14ac:dyDescent="0.2">
      <c r="A286" s="10">
        <v>225</v>
      </c>
      <c r="B286" s="1783"/>
      <c r="D286" s="2" t="str">
        <f t="shared" si="3"/>
        <v>OK</v>
      </c>
    </row>
    <row r="287" spans="1:4" x14ac:dyDescent="0.2">
      <c r="A287" s="5">
        <v>226</v>
      </c>
      <c r="B287" s="1783">
        <f>'Assets-Liab 5-6'!N37</f>
        <v>0</v>
      </c>
      <c r="C287" s="2" t="s">
        <v>569</v>
      </c>
      <c r="D287" s="2" t="str">
        <f t="shared" si="3"/>
        <v>Error?</v>
      </c>
    </row>
    <row r="288" spans="1:4" x14ac:dyDescent="0.2">
      <c r="A288" s="5">
        <v>227</v>
      </c>
      <c r="B288" s="1783">
        <f>'Assets-Liab 5-6'!N41</f>
        <v>0</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14526840</v>
      </c>
      <c r="D705" s="2" t="str">
        <f t="shared" si="10"/>
        <v>Error?</v>
      </c>
    </row>
    <row r="706" spans="1:4" x14ac:dyDescent="0.2">
      <c r="A706" s="5">
        <v>645</v>
      </c>
      <c r="B706" s="1783">
        <f>'Expenditures 15-22'!C16</f>
        <v>376311</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435341</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0</v>
      </c>
      <c r="D717" s="2" t="str">
        <f t="shared" si="10"/>
        <v>Error?</v>
      </c>
    </row>
    <row r="718" spans="1:4" x14ac:dyDescent="0.2">
      <c r="A718" s="5">
        <v>657</v>
      </c>
      <c r="B718" s="1783">
        <f>'Expenditures 15-22'!C14</f>
        <v>1097315</v>
      </c>
      <c r="D718" s="2" t="str">
        <f t="shared" si="10"/>
        <v>Error?</v>
      </c>
    </row>
    <row r="719" spans="1:4" x14ac:dyDescent="0.2">
      <c r="A719" s="5">
        <v>658</v>
      </c>
      <c r="B719" s="1783">
        <f>'Expenditures 15-22'!C15</f>
        <v>70809</v>
      </c>
      <c r="D719" s="2" t="str">
        <f t="shared" si="10"/>
        <v>Error?</v>
      </c>
    </row>
    <row r="720" spans="1:4" x14ac:dyDescent="0.2">
      <c r="A720" s="5">
        <v>659</v>
      </c>
      <c r="B720" s="1783">
        <f>'Expenditures 15-22'!C33</f>
        <v>19406357</v>
      </c>
      <c r="C720" s="2" t="s">
        <v>569</v>
      </c>
      <c r="D720" s="2" t="str">
        <f t="shared" si="10"/>
        <v>Error?</v>
      </c>
    </row>
    <row r="721" spans="1:4" x14ac:dyDescent="0.2">
      <c r="A721" s="5">
        <v>660</v>
      </c>
      <c r="B721" s="1783">
        <f>'Expenditures 15-22'!C36</f>
        <v>599198</v>
      </c>
      <c r="D721" s="2" t="str">
        <f t="shared" si="10"/>
        <v>Error?</v>
      </c>
    </row>
    <row r="722" spans="1:4" x14ac:dyDescent="0.2">
      <c r="A722" s="5">
        <v>661</v>
      </c>
      <c r="B722" s="1783">
        <f>'Expenditures 15-22'!C37</f>
        <v>606879</v>
      </c>
      <c r="D722" s="2" t="str">
        <f t="shared" si="10"/>
        <v>Error?</v>
      </c>
    </row>
    <row r="723" spans="1:4" x14ac:dyDescent="0.2">
      <c r="A723" s="5">
        <v>662</v>
      </c>
      <c r="B723" s="1783">
        <f>'Expenditures 15-22'!C38</f>
        <v>317519</v>
      </c>
      <c r="D723" s="2" t="str">
        <f t="shared" si="10"/>
        <v>Error?</v>
      </c>
    </row>
    <row r="724" spans="1:4" x14ac:dyDescent="0.2">
      <c r="A724" s="5">
        <v>663</v>
      </c>
      <c r="B724" s="1783">
        <f>'Expenditures 15-22'!C39</f>
        <v>410491</v>
      </c>
      <c r="D724" s="2" t="str">
        <f t="shared" si="10"/>
        <v>Error?</v>
      </c>
    </row>
    <row r="725" spans="1:4" x14ac:dyDescent="0.2">
      <c r="A725" s="5">
        <v>664</v>
      </c>
      <c r="B725" s="1783">
        <f>'Expenditures 15-22'!C40</f>
        <v>602153</v>
      </c>
      <c r="D725" s="2" t="str">
        <f t="shared" si="10"/>
        <v>Error?</v>
      </c>
    </row>
    <row r="726" spans="1:4" x14ac:dyDescent="0.2">
      <c r="A726" s="5">
        <v>665</v>
      </c>
      <c r="B726" s="1783">
        <f>'Expenditures 15-22'!C41</f>
        <v>329105</v>
      </c>
      <c r="D726" s="2" t="str">
        <f t="shared" si="10"/>
        <v>Error?</v>
      </c>
    </row>
    <row r="727" spans="1:4" x14ac:dyDescent="0.2">
      <c r="A727" s="5">
        <v>666</v>
      </c>
      <c r="B727" s="1783">
        <f>'Expenditures 15-22'!C42</f>
        <v>2865345</v>
      </c>
      <c r="C727" s="2" t="s">
        <v>569</v>
      </c>
      <c r="D727" s="2" t="str">
        <f t="shared" si="10"/>
        <v>Error?</v>
      </c>
    </row>
    <row r="728" spans="1:4" x14ac:dyDescent="0.2">
      <c r="A728" s="5">
        <v>667</v>
      </c>
      <c r="B728" s="1783">
        <f>'Expenditures 15-22'!C44</f>
        <v>408104</v>
      </c>
      <c r="D728" s="2" t="str">
        <f t="shared" si="10"/>
        <v>Error?</v>
      </c>
    </row>
    <row r="729" spans="1:4" x14ac:dyDescent="0.2">
      <c r="A729" s="5">
        <v>668</v>
      </c>
      <c r="B729" s="1783">
        <f>'Expenditures 15-22'!C45</f>
        <v>465995</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874099</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582055</v>
      </c>
      <c r="D733" s="2" t="str">
        <f t="shared" si="10"/>
        <v>Error?</v>
      </c>
    </row>
    <row r="734" spans="1:4" x14ac:dyDescent="0.2">
      <c r="A734" s="5">
        <v>673</v>
      </c>
      <c r="B734" s="1783">
        <f>'Expenditures 15-22'!C53</f>
        <v>582055</v>
      </c>
      <c r="C734" s="2" t="s">
        <v>569</v>
      </c>
      <c r="D734" s="2" t="str">
        <f t="shared" si="10"/>
        <v>Error?</v>
      </c>
    </row>
    <row r="735" spans="1:4" x14ac:dyDescent="0.2">
      <c r="A735" s="5">
        <v>674</v>
      </c>
      <c r="B735" s="1783">
        <f>'Expenditures 15-22'!C55</f>
        <v>1613157</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1613157</v>
      </c>
      <c r="C737" s="2" t="s">
        <v>569</v>
      </c>
      <c r="D737" s="2" t="str">
        <f t="shared" si="10"/>
        <v>Error?</v>
      </c>
    </row>
    <row r="738" spans="1:4" x14ac:dyDescent="0.2">
      <c r="A738" s="5">
        <v>677</v>
      </c>
      <c r="B738" s="1783">
        <f>'Expenditures 15-22'!C59</f>
        <v>172710</v>
      </c>
      <c r="D738" s="2" t="str">
        <f t="shared" si="10"/>
        <v>Error?</v>
      </c>
    </row>
    <row r="739" spans="1:4" x14ac:dyDescent="0.2">
      <c r="A739" s="5">
        <v>678</v>
      </c>
      <c r="B739" s="1783">
        <f>'Expenditures 15-22'!C60</f>
        <v>256445</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429155</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83346</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83346</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6447157</v>
      </c>
      <c r="C755" s="2" t="s">
        <v>569</v>
      </c>
      <c r="D755" s="2" t="str">
        <f t="shared" si="10"/>
        <v>Error?</v>
      </c>
    </row>
    <row r="756" spans="1:4" x14ac:dyDescent="0.2">
      <c r="A756" s="5">
        <v>695</v>
      </c>
      <c r="B756" s="1783">
        <f>'Expenditures 15-22'!C75</f>
        <v>177464</v>
      </c>
      <c r="D756" s="2" t="str">
        <f t="shared" si="10"/>
        <v>Error?</v>
      </c>
    </row>
    <row r="757" spans="1:4" x14ac:dyDescent="0.2">
      <c r="A757" s="5">
        <v>696</v>
      </c>
      <c r="B757" s="1783">
        <f>'Expenditures 15-22'!C114</f>
        <v>26030978</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2739450</v>
      </c>
      <c r="D763" s="2" t="str">
        <f t="shared" si="10"/>
        <v>Error?</v>
      </c>
    </row>
    <row r="764" spans="1:4" x14ac:dyDescent="0.2">
      <c r="A764" s="5">
        <v>703</v>
      </c>
      <c r="B764" s="1783">
        <f>'Expenditures 15-22'!D16</f>
        <v>59217</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82306</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0</v>
      </c>
      <c r="D775" s="2" t="str">
        <f t="shared" si="11"/>
        <v>Error?</v>
      </c>
    </row>
    <row r="776" spans="1:4" x14ac:dyDescent="0.2">
      <c r="A776" s="5">
        <v>715</v>
      </c>
      <c r="B776" s="1783">
        <f>'Expenditures 15-22'!D14</f>
        <v>140660</v>
      </c>
      <c r="D776" s="2" t="str">
        <f t="shared" si="11"/>
        <v>Error?</v>
      </c>
    </row>
    <row r="777" spans="1:4" x14ac:dyDescent="0.2">
      <c r="A777" s="5">
        <v>716</v>
      </c>
      <c r="B777" s="1783">
        <f>'Expenditures 15-22'!D15</f>
        <v>1014</v>
      </c>
      <c r="D777" s="2" t="str">
        <f t="shared" si="11"/>
        <v>Error?</v>
      </c>
    </row>
    <row r="778" spans="1:4" x14ac:dyDescent="0.2">
      <c r="A778" s="5">
        <v>717</v>
      </c>
      <c r="B778" s="1783">
        <f>'Expenditures 15-22'!D33</f>
        <v>3801964</v>
      </c>
      <c r="C778" s="2" t="s">
        <v>569</v>
      </c>
      <c r="D778" s="2" t="str">
        <f t="shared" si="11"/>
        <v>Error?</v>
      </c>
    </row>
    <row r="779" spans="1:4" x14ac:dyDescent="0.2">
      <c r="A779" s="5">
        <v>718</v>
      </c>
      <c r="B779" s="1783">
        <f>'Expenditures 15-22'!D36</f>
        <v>106332</v>
      </c>
      <c r="D779" s="2" t="str">
        <f t="shared" si="11"/>
        <v>Error?</v>
      </c>
    </row>
    <row r="780" spans="1:4" x14ac:dyDescent="0.2">
      <c r="A780" s="5">
        <v>719</v>
      </c>
      <c r="B780" s="1783">
        <f>'Expenditures 15-22'!D37</f>
        <v>180851</v>
      </c>
      <c r="D780" s="2" t="str">
        <f t="shared" si="11"/>
        <v>Error?</v>
      </c>
    </row>
    <row r="781" spans="1:4" x14ac:dyDescent="0.2">
      <c r="A781" s="5">
        <v>720</v>
      </c>
      <c r="B781" s="1783">
        <f>'Expenditures 15-22'!D38</f>
        <v>40830</v>
      </c>
      <c r="D781" s="2" t="str">
        <f t="shared" si="11"/>
        <v>Error?</v>
      </c>
    </row>
    <row r="782" spans="1:4" x14ac:dyDescent="0.2">
      <c r="A782" s="5">
        <v>721</v>
      </c>
      <c r="B782" s="1783">
        <f>'Expenditures 15-22'!D39</f>
        <v>52200</v>
      </c>
      <c r="D782" s="2" t="str">
        <f t="shared" si="11"/>
        <v>Error?</v>
      </c>
    </row>
    <row r="783" spans="1:4" x14ac:dyDescent="0.2">
      <c r="A783" s="5">
        <v>722</v>
      </c>
      <c r="B783" s="1783">
        <f>'Expenditures 15-22'!D40</f>
        <v>91745</v>
      </c>
      <c r="D783" s="2" t="str">
        <f t="shared" si="11"/>
        <v>Error?</v>
      </c>
    </row>
    <row r="784" spans="1:4" x14ac:dyDescent="0.2">
      <c r="A784" s="5">
        <v>723</v>
      </c>
      <c r="B784" s="1783">
        <f>'Expenditures 15-22'!D41</f>
        <v>57239</v>
      </c>
      <c r="D784" s="2" t="str">
        <f t="shared" si="11"/>
        <v>Error?</v>
      </c>
    </row>
    <row r="785" spans="1:4" x14ac:dyDescent="0.2">
      <c r="A785" s="5">
        <v>724</v>
      </c>
      <c r="B785" s="1783">
        <f>'Expenditures 15-22'!D42</f>
        <v>529197</v>
      </c>
      <c r="C785" s="2" t="s">
        <v>569</v>
      </c>
      <c r="D785" s="2" t="str">
        <f t="shared" si="11"/>
        <v>Error?</v>
      </c>
    </row>
    <row r="786" spans="1:4" x14ac:dyDescent="0.2">
      <c r="A786" s="5">
        <v>725</v>
      </c>
      <c r="B786" s="1783">
        <f>'Expenditures 15-22'!D44</f>
        <v>114199</v>
      </c>
      <c r="D786" s="2" t="str">
        <f t="shared" si="11"/>
        <v>Error?</v>
      </c>
    </row>
    <row r="787" spans="1:4" x14ac:dyDescent="0.2">
      <c r="A787" s="5">
        <v>726</v>
      </c>
      <c r="B787" s="1783">
        <f>'Expenditures 15-22'!D45</f>
        <v>95324</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209523</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162161</v>
      </c>
      <c r="D791" s="2" t="str">
        <f t="shared" si="11"/>
        <v>Error?</v>
      </c>
    </row>
    <row r="792" spans="1:4" x14ac:dyDescent="0.2">
      <c r="A792" s="5">
        <v>731</v>
      </c>
      <c r="B792" s="1783">
        <f>'Expenditures 15-22'!D53</f>
        <v>162161</v>
      </c>
      <c r="C792" s="2" t="s">
        <v>569</v>
      </c>
      <c r="D792" s="2" t="str">
        <f t="shared" si="11"/>
        <v>Error?</v>
      </c>
    </row>
    <row r="793" spans="1:4" x14ac:dyDescent="0.2">
      <c r="A793" s="5">
        <v>732</v>
      </c>
      <c r="B793" s="1783">
        <f>'Expenditures 15-22'!D55</f>
        <v>306709</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306709</v>
      </c>
      <c r="C795" s="2" t="s">
        <v>569</v>
      </c>
      <c r="D795" s="2" t="str">
        <f t="shared" si="11"/>
        <v>Error?</v>
      </c>
    </row>
    <row r="796" spans="1:4" x14ac:dyDescent="0.2">
      <c r="A796" s="5">
        <v>735</v>
      </c>
      <c r="B796" s="1783">
        <f>'Expenditures 15-22'!D59</f>
        <v>57567</v>
      </c>
      <c r="D796" s="2" t="str">
        <f t="shared" si="11"/>
        <v>Error?</v>
      </c>
    </row>
    <row r="797" spans="1:4" x14ac:dyDescent="0.2">
      <c r="A797" s="5">
        <v>736</v>
      </c>
      <c r="B797" s="1783">
        <f>'Expenditures 15-22'!D60</f>
        <v>44669</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102236</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30908</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30908</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1340734</v>
      </c>
      <c r="C813" s="2" t="s">
        <v>569</v>
      </c>
      <c r="D813" s="2" t="str">
        <f t="shared" si="11"/>
        <v>Error?</v>
      </c>
    </row>
    <row r="814" spans="1:4" x14ac:dyDescent="0.2">
      <c r="A814" s="5">
        <v>753</v>
      </c>
      <c r="B814" s="1783">
        <f>'Expenditures 15-22'!D75</f>
        <v>11094</v>
      </c>
      <c r="D814" s="2" t="str">
        <f t="shared" si="11"/>
        <v>Error?</v>
      </c>
    </row>
    <row r="815" spans="1:4" x14ac:dyDescent="0.2">
      <c r="A815" s="5">
        <v>754</v>
      </c>
      <c r="B815" s="1783">
        <f>'Expenditures 15-22'!D114</f>
        <v>5153792</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402218</v>
      </c>
      <c r="D821" s="2" t="str">
        <f t="shared" si="11"/>
        <v>Error?</v>
      </c>
    </row>
    <row r="822" spans="1:4" x14ac:dyDescent="0.2">
      <c r="A822" s="5">
        <v>761</v>
      </c>
      <c r="B822" s="1783">
        <f>'Expenditures 15-22'!E16</f>
        <v>1820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677</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0</v>
      </c>
      <c r="D833" s="2" t="str">
        <f t="shared" si="12"/>
        <v>Error?</v>
      </c>
    </row>
    <row r="834" spans="1:4" x14ac:dyDescent="0.2">
      <c r="A834" s="5">
        <v>773</v>
      </c>
      <c r="B834" s="1783">
        <f>'Expenditures 15-22'!E14</f>
        <v>5313</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420962</v>
      </c>
      <c r="C836" s="2" t="s">
        <v>569</v>
      </c>
      <c r="D836" s="2" t="str">
        <f t="shared" si="12"/>
        <v>Error?</v>
      </c>
    </row>
    <row r="837" spans="1:4" x14ac:dyDescent="0.2">
      <c r="A837" s="5">
        <v>776</v>
      </c>
      <c r="B837" s="1783">
        <f>'Expenditures 15-22'!E36</f>
        <v>24097</v>
      </c>
      <c r="D837" s="2" t="str">
        <f t="shared" si="12"/>
        <v>Error?</v>
      </c>
    </row>
    <row r="838" spans="1:4" x14ac:dyDescent="0.2">
      <c r="A838" s="5">
        <v>777</v>
      </c>
      <c r="B838" s="1783">
        <f>'Expenditures 15-22'!E37</f>
        <v>39273</v>
      </c>
      <c r="D838" s="2" t="str">
        <f t="shared" si="12"/>
        <v>Error?</v>
      </c>
    </row>
    <row r="839" spans="1:4" x14ac:dyDescent="0.2">
      <c r="A839" s="5">
        <v>778</v>
      </c>
      <c r="B839" s="1783">
        <f>'Expenditures 15-22'!E38</f>
        <v>1213</v>
      </c>
      <c r="D839" s="2" t="str">
        <f t="shared" si="12"/>
        <v>Error?</v>
      </c>
    </row>
    <row r="840" spans="1:4" x14ac:dyDescent="0.2">
      <c r="A840" s="5">
        <v>779</v>
      </c>
      <c r="B840" s="1783">
        <f>'Expenditures 15-22'!E39</f>
        <v>2300</v>
      </c>
      <c r="D840" s="2" t="str">
        <f t="shared" si="12"/>
        <v>Error?</v>
      </c>
    </row>
    <row r="841" spans="1:4" x14ac:dyDescent="0.2">
      <c r="A841" s="5">
        <v>780</v>
      </c>
      <c r="B841" s="1783">
        <f>'Expenditures 15-22'!E40</f>
        <v>22104</v>
      </c>
      <c r="D841" s="2" t="str">
        <f t="shared" si="12"/>
        <v>Error?</v>
      </c>
    </row>
    <row r="842" spans="1:4" x14ac:dyDescent="0.2">
      <c r="A842" s="5">
        <v>781</v>
      </c>
      <c r="B842" s="1783">
        <f>'Expenditures 15-22'!E41</f>
        <v>0</v>
      </c>
      <c r="D842" s="2" t="str">
        <f t="shared" si="12"/>
        <v>Error?</v>
      </c>
    </row>
    <row r="843" spans="1:4" x14ac:dyDescent="0.2">
      <c r="A843" s="5">
        <v>782</v>
      </c>
      <c r="B843" s="1783">
        <f>'Expenditures 15-22'!E42</f>
        <v>88987</v>
      </c>
      <c r="C843" s="2" t="s">
        <v>569</v>
      </c>
      <c r="D843" s="2" t="str">
        <f t="shared" si="12"/>
        <v>Error?</v>
      </c>
    </row>
    <row r="844" spans="1:4" x14ac:dyDescent="0.2">
      <c r="A844" s="5">
        <v>783</v>
      </c>
      <c r="B844" s="1783">
        <f>'Expenditures 15-22'!E44</f>
        <v>123181</v>
      </c>
      <c r="D844" s="2" t="str">
        <f t="shared" si="12"/>
        <v>Error?</v>
      </c>
    </row>
    <row r="845" spans="1:4" x14ac:dyDescent="0.2">
      <c r="A845" s="5">
        <v>784</v>
      </c>
      <c r="B845" s="1783">
        <f>'Expenditures 15-22'!E45</f>
        <v>34032</v>
      </c>
      <c r="D845" s="2" t="str">
        <f t="shared" si="12"/>
        <v>Error?</v>
      </c>
    </row>
    <row r="846" spans="1:4" x14ac:dyDescent="0.2">
      <c r="A846" s="5">
        <v>785</v>
      </c>
      <c r="B846" s="1783">
        <f>'Expenditures 15-22'!E46</f>
        <v>35488</v>
      </c>
      <c r="D846" s="2" t="str">
        <f t="shared" si="12"/>
        <v>Error?</v>
      </c>
    </row>
    <row r="847" spans="1:4" x14ac:dyDescent="0.2">
      <c r="A847" s="5">
        <v>786</v>
      </c>
      <c r="B847" s="1783">
        <f>'Expenditures 15-22'!E47</f>
        <v>192701</v>
      </c>
      <c r="C847" s="2" t="s">
        <v>569</v>
      </c>
      <c r="D847" s="2" t="str">
        <f t="shared" si="12"/>
        <v>Error?</v>
      </c>
    </row>
    <row r="848" spans="1:4" x14ac:dyDescent="0.2">
      <c r="A848" s="5">
        <v>787</v>
      </c>
      <c r="B848" s="1783">
        <f>'Expenditures 15-22'!E49</f>
        <v>213976</v>
      </c>
      <c r="D848" s="2" t="str">
        <f t="shared" si="12"/>
        <v>Error?</v>
      </c>
    </row>
    <row r="849" spans="1:4" x14ac:dyDescent="0.2">
      <c r="A849" s="5">
        <v>788</v>
      </c>
      <c r="B849" s="1783">
        <f>'Expenditures 15-22'!E50</f>
        <v>41898</v>
      </c>
      <c r="D849" s="2" t="str">
        <f t="shared" si="12"/>
        <v>Error?</v>
      </c>
    </row>
    <row r="850" spans="1:4" x14ac:dyDescent="0.2">
      <c r="A850" s="5">
        <v>789</v>
      </c>
      <c r="B850" s="1783">
        <f>'Expenditures 15-22'!E53</f>
        <v>255874</v>
      </c>
      <c r="C850" s="2" t="s">
        <v>569</v>
      </c>
      <c r="D850" s="2" t="str">
        <f t="shared" si="12"/>
        <v>Error?</v>
      </c>
    </row>
    <row r="851" spans="1:4" x14ac:dyDescent="0.2">
      <c r="A851" s="5">
        <v>790</v>
      </c>
      <c r="B851" s="1783">
        <f>'Expenditures 15-22'!E55</f>
        <v>3262</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3262</v>
      </c>
      <c r="C853" s="2" t="s">
        <v>569</v>
      </c>
      <c r="D853" s="2" t="str">
        <f t="shared" si="12"/>
        <v>Error?</v>
      </c>
    </row>
    <row r="854" spans="1:4" x14ac:dyDescent="0.2">
      <c r="A854" s="5">
        <v>793</v>
      </c>
      <c r="B854" s="1783">
        <f>'Expenditures 15-22'!E59</f>
        <v>145673</v>
      </c>
      <c r="D854" s="2" t="str">
        <f t="shared" si="12"/>
        <v>Error?</v>
      </c>
    </row>
    <row r="855" spans="1:4" x14ac:dyDescent="0.2">
      <c r="A855" s="5">
        <v>794</v>
      </c>
      <c r="B855" s="1783">
        <f>'Expenditures 15-22'!E60</f>
        <v>0</v>
      </c>
      <c r="D855" s="2" t="str">
        <f t="shared" si="12"/>
        <v>Error?</v>
      </c>
    </row>
    <row r="856" spans="1:4" x14ac:dyDescent="0.2">
      <c r="A856" s="5">
        <v>795</v>
      </c>
      <c r="B856" s="1783">
        <f>'Expenditures 15-22'!E61</f>
        <v>0</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269062</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414735</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9430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30424</v>
      </c>
      <c r="D867" s="2" t="str">
        <f t="shared" si="12"/>
        <v>Error?</v>
      </c>
    </row>
    <row r="868" spans="1:4" x14ac:dyDescent="0.2">
      <c r="A868" s="10">
        <v>807</v>
      </c>
      <c r="B868" s="1783"/>
      <c r="D868" s="2" t="str">
        <f t="shared" si="12"/>
        <v>OK</v>
      </c>
    </row>
    <row r="869" spans="1:4" x14ac:dyDescent="0.2">
      <c r="A869" s="5">
        <v>808</v>
      </c>
      <c r="B869" s="1783">
        <f>'Expenditures 15-22'!E72</f>
        <v>39854</v>
      </c>
      <c r="C869" s="2" t="s">
        <v>569</v>
      </c>
      <c r="D869" s="2" t="str">
        <f t="shared" si="12"/>
        <v>Error?</v>
      </c>
    </row>
    <row r="870" spans="1:4" x14ac:dyDescent="0.2">
      <c r="A870" s="5">
        <v>809</v>
      </c>
      <c r="B870" s="1783">
        <f>'Expenditures 15-22'!E73</f>
        <v>0</v>
      </c>
      <c r="D870" s="2" t="str">
        <f t="shared" si="12"/>
        <v>Error?</v>
      </c>
    </row>
    <row r="871" spans="1:4" x14ac:dyDescent="0.2">
      <c r="A871" s="5">
        <v>810</v>
      </c>
      <c r="B871" s="1783">
        <f>'Expenditures 15-22'!E74</f>
        <v>995413</v>
      </c>
      <c r="C871" s="2" t="s">
        <v>569</v>
      </c>
      <c r="D871" s="2" t="str">
        <f t="shared" si="12"/>
        <v>Error?</v>
      </c>
    </row>
    <row r="872" spans="1:4" x14ac:dyDescent="0.2">
      <c r="A872" s="5">
        <v>811</v>
      </c>
      <c r="B872" s="1783">
        <f>'Expenditures 15-22'!E75</f>
        <v>15365</v>
      </c>
      <c r="D872" s="2" t="str">
        <f t="shared" si="12"/>
        <v>Error?</v>
      </c>
    </row>
    <row r="873" spans="1:4" x14ac:dyDescent="0.2">
      <c r="A873" s="5">
        <v>812</v>
      </c>
      <c r="B873" s="1783">
        <f>'Expenditures 15-22'!E114</f>
        <v>1514881</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569337</v>
      </c>
      <c r="D879" s="2" t="str">
        <f t="shared" si="12"/>
        <v>Error?</v>
      </c>
    </row>
    <row r="880" spans="1:4" x14ac:dyDescent="0.2">
      <c r="A880" s="5">
        <v>819</v>
      </c>
      <c r="B880" s="1783">
        <f>'Expenditures 15-22'!F16</f>
        <v>2496</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2307</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0</v>
      </c>
      <c r="D891" s="2" t="str">
        <f t="shared" si="12"/>
        <v>Error?</v>
      </c>
    </row>
    <row r="892" spans="1:4" x14ac:dyDescent="0.2">
      <c r="A892" s="5">
        <v>831</v>
      </c>
      <c r="B892" s="1783">
        <f>'Expenditures 15-22'!F14</f>
        <v>11172</v>
      </c>
      <c r="D892" s="2" t="str">
        <f t="shared" si="12"/>
        <v>Error?</v>
      </c>
    </row>
    <row r="893" spans="1:4" x14ac:dyDescent="0.2">
      <c r="A893" s="5">
        <v>832</v>
      </c>
      <c r="B893" s="1783">
        <f>'Expenditures 15-22'!F15</f>
        <v>10710</v>
      </c>
      <c r="D893" s="2" t="str">
        <f t="shared" si="12"/>
        <v>Error?</v>
      </c>
    </row>
    <row r="894" spans="1:4" x14ac:dyDescent="0.2">
      <c r="A894" s="5">
        <v>833</v>
      </c>
      <c r="B894" s="1783">
        <f>'Expenditures 15-22'!F33</f>
        <v>609628</v>
      </c>
      <c r="C894" s="2" t="s">
        <v>569</v>
      </c>
      <c r="D894" s="2" t="str">
        <f t="shared" si="12"/>
        <v>Error?</v>
      </c>
    </row>
    <row r="895" spans="1:4" x14ac:dyDescent="0.2">
      <c r="A895" s="5">
        <v>834</v>
      </c>
      <c r="B895" s="1783">
        <f>'Expenditures 15-22'!F36</f>
        <v>18040</v>
      </c>
      <c r="D895" s="2" t="str">
        <f t="shared" ref="D895:D958" si="13">IF(ISBLANK(B895),"OK",IF(A895-B895=0,"OK","Error?"))</f>
        <v>Error?</v>
      </c>
    </row>
    <row r="896" spans="1:4" x14ac:dyDescent="0.2">
      <c r="A896" s="5">
        <v>835</v>
      </c>
      <c r="B896" s="1783">
        <f>'Expenditures 15-22'!F37</f>
        <v>8297</v>
      </c>
      <c r="D896" s="2" t="str">
        <f t="shared" si="13"/>
        <v>Error?</v>
      </c>
    </row>
    <row r="897" spans="1:4" x14ac:dyDescent="0.2">
      <c r="A897" s="5">
        <v>836</v>
      </c>
      <c r="B897" s="1783">
        <f>'Expenditures 15-22'!F38</f>
        <v>7658</v>
      </c>
      <c r="D897" s="2" t="str">
        <f t="shared" si="13"/>
        <v>Error?</v>
      </c>
    </row>
    <row r="898" spans="1:4" x14ac:dyDescent="0.2">
      <c r="A898" s="5">
        <v>837</v>
      </c>
      <c r="B898" s="1783">
        <f>'Expenditures 15-22'!F39</f>
        <v>7540</v>
      </c>
      <c r="D898" s="2" t="str">
        <f t="shared" si="13"/>
        <v>Error?</v>
      </c>
    </row>
    <row r="899" spans="1:4" x14ac:dyDescent="0.2">
      <c r="A899" s="5">
        <v>838</v>
      </c>
      <c r="B899" s="1783">
        <f>'Expenditures 15-22'!F40</f>
        <v>0</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41535</v>
      </c>
      <c r="C901" s="2" t="s">
        <v>569</v>
      </c>
      <c r="D901" s="2" t="str">
        <f t="shared" si="13"/>
        <v>Error?</v>
      </c>
    </row>
    <row r="902" spans="1:4" x14ac:dyDescent="0.2">
      <c r="A902" s="5">
        <v>841</v>
      </c>
      <c r="B902" s="1783">
        <f>'Expenditures 15-22'!F44</f>
        <v>6063</v>
      </c>
      <c r="D902" s="2" t="str">
        <f t="shared" si="13"/>
        <v>Error?</v>
      </c>
    </row>
    <row r="903" spans="1:4" x14ac:dyDescent="0.2">
      <c r="A903" s="5">
        <v>842</v>
      </c>
      <c r="B903" s="1783">
        <f>'Expenditures 15-22'!F45</f>
        <v>57240</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63303</v>
      </c>
      <c r="C905" s="2" t="s">
        <v>569</v>
      </c>
      <c r="D905" s="2" t="str">
        <f t="shared" si="13"/>
        <v>Error?</v>
      </c>
    </row>
    <row r="906" spans="1:4" x14ac:dyDescent="0.2">
      <c r="A906" s="5">
        <v>845</v>
      </c>
      <c r="B906" s="1783">
        <f>'Expenditures 15-22'!F49</f>
        <v>653</v>
      </c>
      <c r="D906" s="2" t="str">
        <f t="shared" si="13"/>
        <v>Error?</v>
      </c>
    </row>
    <row r="907" spans="1:4" x14ac:dyDescent="0.2">
      <c r="A907" s="5">
        <v>846</v>
      </c>
      <c r="B907" s="1783">
        <f>'Expenditures 15-22'!F50</f>
        <v>1123</v>
      </c>
      <c r="D907" s="2" t="str">
        <f t="shared" si="13"/>
        <v>Error?</v>
      </c>
    </row>
    <row r="908" spans="1:4" x14ac:dyDescent="0.2">
      <c r="A908" s="5">
        <v>847</v>
      </c>
      <c r="B908" s="1783">
        <f>'Expenditures 15-22'!F53</f>
        <v>1776</v>
      </c>
      <c r="C908" s="2" t="s">
        <v>569</v>
      </c>
      <c r="D908" s="2" t="str">
        <f t="shared" si="13"/>
        <v>Error?</v>
      </c>
    </row>
    <row r="909" spans="1:4" x14ac:dyDescent="0.2">
      <c r="A909" s="5">
        <v>848</v>
      </c>
      <c r="B909" s="1783">
        <f>'Expenditures 15-22'!F55</f>
        <v>5666</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5666</v>
      </c>
      <c r="C911" s="2" t="s">
        <v>569</v>
      </c>
      <c r="D911" s="2" t="str">
        <f t="shared" si="13"/>
        <v>Error?</v>
      </c>
    </row>
    <row r="912" spans="1:4" x14ac:dyDescent="0.2">
      <c r="A912" s="5">
        <v>851</v>
      </c>
      <c r="B912" s="1783">
        <f>'Expenditures 15-22'!F59</f>
        <v>8280</v>
      </c>
      <c r="D912" s="2" t="str">
        <f t="shared" si="13"/>
        <v>Error?</v>
      </c>
    </row>
    <row r="913" spans="1:4" x14ac:dyDescent="0.2">
      <c r="A913" s="5">
        <v>852</v>
      </c>
      <c r="B913" s="1783">
        <f>'Expenditures 15-22'!F60</f>
        <v>0</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16727</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25007</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2493</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0</v>
      </c>
      <c r="D925" s="2" t="str">
        <f t="shared" si="13"/>
        <v>Error?</v>
      </c>
    </row>
    <row r="926" spans="1:4" x14ac:dyDescent="0.2">
      <c r="A926" s="10">
        <v>865</v>
      </c>
      <c r="B926" s="1783"/>
      <c r="D926" s="2" t="str">
        <f t="shared" si="13"/>
        <v>OK</v>
      </c>
    </row>
    <row r="927" spans="1:4" x14ac:dyDescent="0.2">
      <c r="A927" s="5">
        <v>866</v>
      </c>
      <c r="B927" s="1783">
        <f>'Expenditures 15-22'!F72</f>
        <v>2493</v>
      </c>
      <c r="C927" s="2" t="s">
        <v>569</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139780</v>
      </c>
      <c r="C929" s="2" t="s">
        <v>569</v>
      </c>
      <c r="D929" s="2" t="str">
        <f t="shared" si="13"/>
        <v>Error?</v>
      </c>
    </row>
    <row r="930" spans="1:4" x14ac:dyDescent="0.2">
      <c r="A930" s="5">
        <v>869</v>
      </c>
      <c r="B930" s="1783">
        <f>'Expenditures 15-22'!F75</f>
        <v>10059</v>
      </c>
      <c r="D930" s="2" t="str">
        <f t="shared" si="13"/>
        <v>Error?</v>
      </c>
    </row>
    <row r="931" spans="1:4" x14ac:dyDescent="0.2">
      <c r="A931" s="5">
        <v>870</v>
      </c>
      <c r="B931" s="1783">
        <f>'Expenditures 15-22'!F114</f>
        <v>759467</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0</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0</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0</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0</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151476</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0</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0</v>
      </c>
      <c r="C1021" s="2" t="s">
        <v>569</v>
      </c>
      <c r="D1021" s="2" t="str">
        <f t="shared" si="14"/>
        <v>Error?</v>
      </c>
    </row>
    <row r="1022" spans="1:4" x14ac:dyDescent="0.2">
      <c r="A1022" s="5">
        <v>961</v>
      </c>
      <c r="B1022" s="1783">
        <f>'Expenditures 15-22'!H49</f>
        <v>8760</v>
      </c>
      <c r="D1022" s="2" t="str">
        <f t="shared" si="14"/>
        <v>Error?</v>
      </c>
    </row>
    <row r="1023" spans="1:4" x14ac:dyDescent="0.2">
      <c r="A1023" s="5">
        <v>962</v>
      </c>
      <c r="B1023" s="1783">
        <f>'Expenditures 15-22'!H50</f>
        <v>13593</v>
      </c>
      <c r="D1023" s="2" t="str">
        <f t="shared" ref="D1023:D1086" si="15">IF(ISBLANK(B1023),"OK",IF(A1023-B1023=0,"OK","Error?"))</f>
        <v>Error?</v>
      </c>
    </row>
    <row r="1024" spans="1:4" x14ac:dyDescent="0.2">
      <c r="A1024" s="5">
        <v>963</v>
      </c>
      <c r="B1024" s="1783">
        <f>'Expenditures 15-22'!H53</f>
        <v>22353</v>
      </c>
      <c r="C1024" s="2" t="s">
        <v>569</v>
      </c>
      <c r="D1024" s="2" t="str">
        <f t="shared" si="15"/>
        <v>Error?</v>
      </c>
    </row>
    <row r="1025" spans="1:4" x14ac:dyDescent="0.2">
      <c r="A1025" s="5">
        <v>964</v>
      </c>
      <c r="B1025" s="1783">
        <f>'Expenditures 15-22'!H55</f>
        <v>200</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200</v>
      </c>
      <c r="C1027" s="2" t="s">
        <v>569</v>
      </c>
      <c r="D1027" s="2" t="str">
        <f t="shared" si="15"/>
        <v>Error?</v>
      </c>
    </row>
    <row r="1028" spans="1:4" x14ac:dyDescent="0.2">
      <c r="A1028" s="5">
        <v>967</v>
      </c>
      <c r="B1028" s="1783">
        <f>'Expenditures 15-22'!H59</f>
        <v>719</v>
      </c>
      <c r="D1028" s="2" t="str">
        <f t="shared" si="15"/>
        <v>Error?</v>
      </c>
    </row>
    <row r="1029" spans="1:4" x14ac:dyDescent="0.2">
      <c r="A1029" s="5">
        <v>968</v>
      </c>
      <c r="B1029" s="1783">
        <f>'Expenditures 15-22'!H60</f>
        <v>0</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719</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560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560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23832</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1508705</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1684013</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18781137</v>
      </c>
      <c r="C1093" s="2" t="s">
        <v>569</v>
      </c>
      <c r="D1093" s="2" t="str">
        <f t="shared" si="16"/>
        <v>Error?</v>
      </c>
    </row>
    <row r="1094" spans="1:4" x14ac:dyDescent="0.2">
      <c r="A1094" s="5">
        <v>1033</v>
      </c>
      <c r="B1094" s="1783">
        <f>'Expenditures 15-22'!K16</f>
        <v>439844</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520631</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0</v>
      </c>
      <c r="C1105" s="2" t="s">
        <v>569</v>
      </c>
      <c r="D1105" s="2" t="str">
        <f t="shared" si="16"/>
        <v>Error?</v>
      </c>
    </row>
    <row r="1106" spans="1:4" x14ac:dyDescent="0.2">
      <c r="A1106" s="5">
        <v>1045</v>
      </c>
      <c r="B1106" s="1783">
        <f>'Expenditures 15-22'!K14</f>
        <v>1256060</v>
      </c>
      <c r="C1106" s="2" t="s">
        <v>569</v>
      </c>
      <c r="D1106" s="2" t="str">
        <f t="shared" si="16"/>
        <v>Error?</v>
      </c>
    </row>
    <row r="1107" spans="1:4" x14ac:dyDescent="0.2">
      <c r="A1107" s="5">
        <v>1046</v>
      </c>
      <c r="B1107" s="1783">
        <f>'Expenditures 15-22'!K15</f>
        <v>82533</v>
      </c>
      <c r="C1107" s="2" t="s">
        <v>569</v>
      </c>
      <c r="D1107" s="2" t="str">
        <f t="shared" si="16"/>
        <v>Error?</v>
      </c>
    </row>
    <row r="1108" spans="1:4" x14ac:dyDescent="0.2">
      <c r="A1108" s="5">
        <v>1047</v>
      </c>
      <c r="B1108" s="1783">
        <f>'Expenditures 15-22'!K33</f>
        <v>24941248</v>
      </c>
      <c r="C1108" s="2" t="s">
        <v>569</v>
      </c>
      <c r="D1108" s="2" t="str">
        <f t="shared" si="16"/>
        <v>Error?</v>
      </c>
    </row>
    <row r="1109" spans="1:4" x14ac:dyDescent="0.2">
      <c r="A1109" s="5">
        <v>1048</v>
      </c>
      <c r="B1109" s="1783">
        <f>'Expenditures 15-22'!K36</f>
        <v>747667</v>
      </c>
      <c r="C1109" s="2" t="s">
        <v>569</v>
      </c>
      <c r="D1109" s="2" t="str">
        <f t="shared" si="16"/>
        <v>Error?</v>
      </c>
    </row>
    <row r="1110" spans="1:4" x14ac:dyDescent="0.2">
      <c r="A1110" s="5">
        <v>1049</v>
      </c>
      <c r="B1110" s="1783">
        <f>'Expenditures 15-22'!K37</f>
        <v>835300</v>
      </c>
      <c r="C1110" s="2" t="s">
        <v>569</v>
      </c>
      <c r="D1110" s="2" t="str">
        <f t="shared" si="16"/>
        <v>Error?</v>
      </c>
    </row>
    <row r="1111" spans="1:4" x14ac:dyDescent="0.2">
      <c r="A1111" s="5">
        <v>1050</v>
      </c>
      <c r="B1111" s="1783">
        <f>'Expenditures 15-22'!K38</f>
        <v>367220</v>
      </c>
      <c r="C1111" s="2" t="s">
        <v>569</v>
      </c>
      <c r="D1111" s="2" t="str">
        <f t="shared" si="16"/>
        <v>Error?</v>
      </c>
    </row>
    <row r="1112" spans="1:4" x14ac:dyDescent="0.2">
      <c r="A1112" s="5">
        <v>1051</v>
      </c>
      <c r="B1112" s="1783">
        <f>'Expenditures 15-22'!K39</f>
        <v>472531</v>
      </c>
      <c r="C1112" s="2" t="s">
        <v>569</v>
      </c>
      <c r="D1112" s="2" t="str">
        <f t="shared" si="16"/>
        <v>Error?</v>
      </c>
    </row>
    <row r="1113" spans="1:4" x14ac:dyDescent="0.2">
      <c r="A1113" s="5">
        <v>1052</v>
      </c>
      <c r="B1113" s="1783">
        <f>'Expenditures 15-22'!K40</f>
        <v>724756</v>
      </c>
      <c r="C1113" s="2" t="s">
        <v>569</v>
      </c>
      <c r="D1113" s="2" t="str">
        <f t="shared" si="16"/>
        <v>Error?</v>
      </c>
    </row>
    <row r="1114" spans="1:4" x14ac:dyDescent="0.2">
      <c r="A1114" s="5">
        <v>1053</v>
      </c>
      <c r="B1114" s="1783">
        <f>'Expenditures 15-22'!K41</f>
        <v>386344</v>
      </c>
      <c r="C1114" s="2" t="s">
        <v>569</v>
      </c>
      <c r="D1114" s="2" t="str">
        <f t="shared" si="16"/>
        <v>Error?</v>
      </c>
    </row>
    <row r="1115" spans="1:4" x14ac:dyDescent="0.2">
      <c r="A1115" s="5">
        <v>1054</v>
      </c>
      <c r="B1115" s="1783">
        <f>'Expenditures 15-22'!K42</f>
        <v>3533818</v>
      </c>
      <c r="C1115" s="2" t="s">
        <v>569</v>
      </c>
      <c r="D1115" s="2" t="str">
        <f t="shared" si="16"/>
        <v>Error?</v>
      </c>
    </row>
    <row r="1116" spans="1:4" x14ac:dyDescent="0.2">
      <c r="A1116" s="5">
        <v>1055</v>
      </c>
      <c r="B1116" s="1783">
        <f>'Expenditures 15-22'!K44</f>
        <v>651547</v>
      </c>
      <c r="C1116" s="2" t="s">
        <v>569</v>
      </c>
      <c r="D1116" s="2" t="str">
        <f t="shared" si="16"/>
        <v>Error?</v>
      </c>
    </row>
    <row r="1117" spans="1:4" x14ac:dyDescent="0.2">
      <c r="A1117" s="5">
        <v>1056</v>
      </c>
      <c r="B1117" s="1783">
        <f>'Expenditures 15-22'!K45</f>
        <v>652591</v>
      </c>
      <c r="C1117" s="2" t="s">
        <v>569</v>
      </c>
      <c r="D1117" s="2" t="str">
        <f t="shared" si="16"/>
        <v>Error?</v>
      </c>
    </row>
    <row r="1118" spans="1:4" x14ac:dyDescent="0.2">
      <c r="A1118" s="5">
        <v>1057</v>
      </c>
      <c r="B1118" s="1783">
        <f>'Expenditures 15-22'!K46</f>
        <v>35488</v>
      </c>
      <c r="C1118" s="2" t="s">
        <v>569</v>
      </c>
      <c r="D1118" s="2" t="str">
        <f t="shared" si="16"/>
        <v>Error?</v>
      </c>
    </row>
    <row r="1119" spans="1:4" x14ac:dyDescent="0.2">
      <c r="A1119" s="5">
        <v>1058</v>
      </c>
      <c r="B1119" s="1783">
        <f>'Expenditures 15-22'!K47</f>
        <v>1339626</v>
      </c>
      <c r="C1119" s="2" t="s">
        <v>569</v>
      </c>
      <c r="D1119" s="2" t="str">
        <f t="shared" si="16"/>
        <v>Error?</v>
      </c>
    </row>
    <row r="1120" spans="1:4" x14ac:dyDescent="0.2">
      <c r="A1120" s="5">
        <v>1059</v>
      </c>
      <c r="B1120" s="1783">
        <f>'Expenditures 15-22'!K49</f>
        <v>227024</v>
      </c>
      <c r="C1120" s="2" t="s">
        <v>569</v>
      </c>
      <c r="D1120" s="2" t="str">
        <f t="shared" si="16"/>
        <v>Error?</v>
      </c>
    </row>
    <row r="1121" spans="1:4" x14ac:dyDescent="0.2">
      <c r="A1121" s="5">
        <v>1060</v>
      </c>
      <c r="B1121" s="1783">
        <f>'Expenditures 15-22'!K50</f>
        <v>800830</v>
      </c>
      <c r="C1121" s="2" t="s">
        <v>569</v>
      </c>
      <c r="D1121" s="2" t="str">
        <f t="shared" si="16"/>
        <v>Error?</v>
      </c>
    </row>
    <row r="1122" spans="1:4" x14ac:dyDescent="0.2">
      <c r="A1122" s="5">
        <v>1061</v>
      </c>
      <c r="B1122" s="1783">
        <f>'Expenditures 15-22'!K53</f>
        <v>1027854</v>
      </c>
      <c r="C1122" s="2" t="s">
        <v>569</v>
      </c>
      <c r="D1122" s="2" t="str">
        <f t="shared" si="16"/>
        <v>Error?</v>
      </c>
    </row>
    <row r="1123" spans="1:4" x14ac:dyDescent="0.2">
      <c r="A1123" s="5">
        <v>1062</v>
      </c>
      <c r="B1123" s="1783">
        <f>'Expenditures 15-22'!K55</f>
        <v>1931983</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1931983</v>
      </c>
      <c r="C1125" s="2" t="s">
        <v>569</v>
      </c>
      <c r="D1125" s="2" t="str">
        <f t="shared" si="16"/>
        <v>Error?</v>
      </c>
    </row>
    <row r="1126" spans="1:4" x14ac:dyDescent="0.2">
      <c r="A1126" s="5">
        <v>1065</v>
      </c>
      <c r="B1126" s="1783">
        <f>'Expenditures 15-22'!K59</f>
        <v>384949</v>
      </c>
      <c r="C1126" s="2" t="s">
        <v>569</v>
      </c>
      <c r="D1126" s="2" t="str">
        <f t="shared" si="16"/>
        <v>Error?</v>
      </c>
    </row>
    <row r="1127" spans="1:4" x14ac:dyDescent="0.2">
      <c r="A1127" s="5">
        <v>1066</v>
      </c>
      <c r="B1127" s="1783">
        <f>'Expenditures 15-22'!K60</f>
        <v>301114</v>
      </c>
      <c r="C1127" s="2" t="s">
        <v>569</v>
      </c>
      <c r="D1127" s="2" t="str">
        <f t="shared" si="16"/>
        <v>Error?</v>
      </c>
    </row>
    <row r="1128" spans="1:4" x14ac:dyDescent="0.2">
      <c r="A1128" s="5">
        <v>1067</v>
      </c>
      <c r="B1128" s="1783">
        <f>'Expenditures 15-22'!K61</f>
        <v>0</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285789</v>
      </c>
      <c r="C1130" s="2" t="s">
        <v>569</v>
      </c>
      <c r="D1130" s="2" t="str">
        <f t="shared" si="16"/>
        <v>Error?</v>
      </c>
    </row>
    <row r="1131" spans="1:4" x14ac:dyDescent="0.2">
      <c r="A1131" s="5">
        <v>1070</v>
      </c>
      <c r="B1131" s="1783">
        <f>'Expenditures 15-22'!K64</f>
        <v>0</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971852</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126737</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30424</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157161</v>
      </c>
      <c r="C1141" s="2" t="s">
        <v>569</v>
      </c>
      <c r="D1141" s="2" t="str">
        <f t="shared" si="16"/>
        <v>Error?</v>
      </c>
    </row>
    <row r="1142" spans="1:4" x14ac:dyDescent="0.2">
      <c r="A1142" s="5">
        <v>1081</v>
      </c>
      <c r="B1142" s="1783">
        <f>'Expenditures 15-22'!K73</f>
        <v>0</v>
      </c>
      <c r="C1142" s="2" t="s">
        <v>569</v>
      </c>
      <c r="D1142" s="2" t="str">
        <f t="shared" si="16"/>
        <v>Error?</v>
      </c>
    </row>
    <row r="1143" spans="1:4" x14ac:dyDescent="0.2">
      <c r="A1143" s="5">
        <v>1082</v>
      </c>
      <c r="B1143" s="1783">
        <f>'Expenditures 15-22'!K74</f>
        <v>8962294</v>
      </c>
      <c r="C1143" s="2" t="s">
        <v>569</v>
      </c>
      <c r="D1143" s="2" t="str">
        <f t="shared" si="16"/>
        <v>Error?</v>
      </c>
    </row>
    <row r="1144" spans="1:4" x14ac:dyDescent="0.2">
      <c r="A1144" s="5">
        <v>1083</v>
      </c>
      <c r="B1144" s="1783">
        <f>'Expenditures 15-22'!K75</f>
        <v>213982</v>
      </c>
      <c r="C1144" s="2" t="s">
        <v>569</v>
      </c>
      <c r="D1144" s="2" t="str">
        <f t="shared" si="16"/>
        <v>Error?</v>
      </c>
    </row>
    <row r="1145" spans="1:4" x14ac:dyDescent="0.2">
      <c r="A1145" s="5">
        <v>1084</v>
      </c>
      <c r="B1145" s="1783">
        <f>'Expenditures 15-22'!K102</f>
        <v>1591846</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35709370</v>
      </c>
      <c r="C1152" s="2" t="s">
        <v>569</v>
      </c>
      <c r="D1152" s="2" t="str">
        <f t="shared" si="17"/>
        <v>Error?</v>
      </c>
    </row>
    <row r="1153" spans="1:4" x14ac:dyDescent="0.2">
      <c r="A1153" s="5">
        <v>1092</v>
      </c>
      <c r="B1153" s="1783">
        <f>'Expenditures 15-22'!K115</f>
        <v>-1933786</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1257414</v>
      </c>
      <c r="D1221" s="2" t="str">
        <f t="shared" si="18"/>
        <v>Error?</v>
      </c>
    </row>
    <row r="1222" spans="1:4" x14ac:dyDescent="0.2">
      <c r="A1222" s="10">
        <v>1161</v>
      </c>
      <c r="B1222" s="1783"/>
      <c r="D1222" s="2" t="str">
        <f t="shared" si="18"/>
        <v>OK</v>
      </c>
    </row>
    <row r="1223" spans="1:4" x14ac:dyDescent="0.2">
      <c r="A1223" s="5">
        <v>1162</v>
      </c>
      <c r="B1223" s="1783">
        <f>'Expenditures 15-22'!C127</f>
        <v>1257414</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1257414</v>
      </c>
      <c r="C1225" s="2" t="s">
        <v>569</v>
      </c>
      <c r="D1225" s="2" t="str">
        <f t="shared" si="18"/>
        <v>Error?</v>
      </c>
    </row>
    <row r="1226" spans="1:4" x14ac:dyDescent="0.2">
      <c r="A1226" s="5">
        <v>1165</v>
      </c>
      <c r="B1226" s="1783">
        <f>'Expenditures 15-22'!C151</f>
        <v>1257414</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217462</v>
      </c>
      <c r="D1229" s="2" t="str">
        <f t="shared" si="18"/>
        <v>Error?</v>
      </c>
    </row>
    <row r="1230" spans="1:4" x14ac:dyDescent="0.2">
      <c r="A1230" s="10">
        <v>1169</v>
      </c>
      <c r="B1230" s="1783"/>
      <c r="D1230" s="2" t="str">
        <f t="shared" si="18"/>
        <v>OK</v>
      </c>
    </row>
    <row r="1231" spans="1:4" x14ac:dyDescent="0.2">
      <c r="A1231" s="5">
        <v>1170</v>
      </c>
      <c r="B1231" s="1783">
        <f>'Expenditures 15-22'!D127</f>
        <v>217462</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217462</v>
      </c>
      <c r="C1233" s="2" t="s">
        <v>569</v>
      </c>
      <c r="D1233" s="2" t="str">
        <f t="shared" si="18"/>
        <v>Error?</v>
      </c>
    </row>
    <row r="1234" spans="1:4" x14ac:dyDescent="0.2">
      <c r="A1234" s="5">
        <v>1173</v>
      </c>
      <c r="B1234" s="1783">
        <f>'Expenditures 15-22'!D151</f>
        <v>217462</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505840</v>
      </c>
      <c r="D1237" s="2" t="str">
        <f t="shared" si="18"/>
        <v>Error?</v>
      </c>
    </row>
    <row r="1238" spans="1:4" x14ac:dyDescent="0.2">
      <c r="A1238" s="10">
        <v>1177</v>
      </c>
      <c r="B1238" s="1783"/>
      <c r="D1238" s="2" t="str">
        <f t="shared" si="18"/>
        <v>OK</v>
      </c>
    </row>
    <row r="1239" spans="1:4" x14ac:dyDescent="0.2">
      <c r="A1239" s="5">
        <v>1178</v>
      </c>
      <c r="B1239" s="1783">
        <f>'Expenditures 15-22'!E127</f>
        <v>505840</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505840</v>
      </c>
      <c r="C1241" s="2" t="s">
        <v>569</v>
      </c>
      <c r="D1241" s="2" t="str">
        <f t="shared" si="18"/>
        <v>Error?</v>
      </c>
    </row>
    <row r="1242" spans="1:4" x14ac:dyDescent="0.2">
      <c r="A1242" s="5">
        <v>1181</v>
      </c>
      <c r="B1242" s="1783">
        <f>'Expenditures 15-22'!E151</f>
        <v>505840</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425114</v>
      </c>
      <c r="D1245" s="2" t="str">
        <f t="shared" si="18"/>
        <v>Error?</v>
      </c>
    </row>
    <row r="1246" spans="1:4" x14ac:dyDescent="0.2">
      <c r="A1246" s="10">
        <v>1185</v>
      </c>
      <c r="B1246" s="1783"/>
      <c r="D1246" s="2" t="str">
        <f t="shared" si="18"/>
        <v>OK</v>
      </c>
    </row>
    <row r="1247" spans="1:4" x14ac:dyDescent="0.2">
      <c r="A1247" s="5">
        <v>1186</v>
      </c>
      <c r="B1247" s="1783">
        <f>'Expenditures 15-22'!F127</f>
        <v>425114</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425114</v>
      </c>
      <c r="C1249" s="2" t="s">
        <v>569</v>
      </c>
      <c r="D1249" s="2" t="str">
        <f t="shared" si="18"/>
        <v>Error?</v>
      </c>
    </row>
    <row r="1250" spans="1:4" x14ac:dyDescent="0.2">
      <c r="A1250" s="5">
        <v>1189</v>
      </c>
      <c r="B1250" s="1783">
        <f>'Expenditures 15-22'!F151</f>
        <v>425114</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730</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730</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730</v>
      </c>
      <c r="C1258" s="2" t="s">
        <v>569</v>
      </c>
      <c r="D1258" s="2" t="str">
        <f t="shared" si="18"/>
        <v>Error?</v>
      </c>
    </row>
    <row r="1259" spans="1:4" x14ac:dyDescent="0.2">
      <c r="A1259" s="5">
        <v>1198</v>
      </c>
      <c r="B1259" s="1783">
        <f>'Expenditures 15-22'!G151</f>
        <v>730</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0</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0</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0</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0</v>
      </c>
      <c r="C1275" s="2" t="s">
        <v>569</v>
      </c>
      <c r="D1275" s="2" t="str">
        <f t="shared" si="18"/>
        <v>Error?</v>
      </c>
    </row>
    <row r="1276" spans="1:4" x14ac:dyDescent="0.2">
      <c r="A1276" s="5">
        <v>1215</v>
      </c>
      <c r="B1276" s="1783">
        <f>'Expenditures 15-22'!K124</f>
        <v>2432990</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2432990</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2432990</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2432990</v>
      </c>
      <c r="C1288" s="2" t="s">
        <v>569</v>
      </c>
      <c r="D1288" s="2" t="str">
        <f t="shared" si="19"/>
        <v>Error?</v>
      </c>
    </row>
    <row r="1289" spans="1:4" x14ac:dyDescent="0.2">
      <c r="A1289" s="5">
        <v>1228</v>
      </c>
      <c r="B1289" s="1783">
        <f>'Expenditures 15-22'!K152</f>
        <v>601049</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0</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0</v>
      </c>
      <c r="C1317" s="2" t="s">
        <v>569</v>
      </c>
      <c r="D1317" s="2" t="str">
        <f t="shared" si="19"/>
        <v>Error?</v>
      </c>
    </row>
    <row r="1318" spans="1:4" x14ac:dyDescent="0.2">
      <c r="A1318" s="5">
        <v>1257</v>
      </c>
      <c r="B1318" s="1783">
        <f>'Expenditures 15-22'!H174</f>
        <v>0</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0</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0</v>
      </c>
      <c r="C1329" s="2" t="s">
        <v>569</v>
      </c>
      <c r="D1329" s="2" t="str">
        <f t="shared" si="19"/>
        <v>Error?</v>
      </c>
    </row>
    <row r="1330" spans="1:4" x14ac:dyDescent="0.2">
      <c r="A1330" s="5">
        <v>1269</v>
      </c>
      <c r="B1330" s="1783">
        <f>'Expenditures 15-22'!K171</f>
        <v>0</v>
      </c>
      <c r="C1330" s="2" t="s">
        <v>569</v>
      </c>
      <c r="D1330" s="2" t="str">
        <f t="shared" si="19"/>
        <v>Error?</v>
      </c>
    </row>
    <row r="1331" spans="1:4" x14ac:dyDescent="0.2">
      <c r="A1331" s="5">
        <v>1270</v>
      </c>
      <c r="B1331" s="1783">
        <f>'Expenditures 15-22'!K172</f>
        <v>0</v>
      </c>
      <c r="C1331" s="2" t="s">
        <v>569</v>
      </c>
      <c r="D1331" s="2" t="str">
        <f t="shared" si="19"/>
        <v>Error?</v>
      </c>
    </row>
    <row r="1332" spans="1:4" x14ac:dyDescent="0.2">
      <c r="A1332" s="5">
        <v>1271</v>
      </c>
      <c r="B1332" s="1783">
        <f>'Expenditures 15-22'!K174</f>
        <v>0</v>
      </c>
      <c r="C1332" s="2" t="s">
        <v>569</v>
      </c>
      <c r="D1332" s="2" t="str">
        <f t="shared" si="19"/>
        <v>Error?</v>
      </c>
    </row>
    <row r="1333" spans="1:4" x14ac:dyDescent="0.2">
      <c r="A1333" s="5">
        <v>1272</v>
      </c>
      <c r="B1333" s="1783">
        <f>'Expenditures 15-22'!K175</f>
        <v>0</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0</v>
      </c>
      <c r="C1339" s="2" t="s">
        <v>569</v>
      </c>
      <c r="D1339" s="2" t="str">
        <f t="shared" si="19"/>
        <v>Error?</v>
      </c>
    </row>
    <row r="1340" spans="1:4" x14ac:dyDescent="0.2">
      <c r="A1340" s="5">
        <v>1279</v>
      </c>
      <c r="B1340" s="1783">
        <f>'Expenditures 15-22'!C210</f>
        <v>0</v>
      </c>
      <c r="C1340" s="2" t="s">
        <v>569</v>
      </c>
      <c r="D1340" s="2" t="str">
        <f t="shared" si="19"/>
        <v>Error?</v>
      </c>
    </row>
    <row r="1341" spans="1:4" x14ac:dyDescent="0.2">
      <c r="A1341" s="5">
        <v>1280</v>
      </c>
      <c r="B1341" s="1783">
        <f>'Expenditures 15-22'!D182</f>
        <v>0</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0</v>
      </c>
      <c r="C1345" s="2" t="s">
        <v>569</v>
      </c>
      <c r="D1345" s="2" t="str">
        <f t="shared" si="20"/>
        <v>Error?</v>
      </c>
    </row>
    <row r="1346" spans="1:4" x14ac:dyDescent="0.2">
      <c r="A1346" s="5">
        <v>1285</v>
      </c>
      <c r="B1346" s="1783">
        <f>'Expenditures 15-22'!D210</f>
        <v>0</v>
      </c>
      <c r="C1346" s="2" t="s">
        <v>569</v>
      </c>
      <c r="D1346" s="2" t="str">
        <f t="shared" si="20"/>
        <v>Error?</v>
      </c>
    </row>
    <row r="1347" spans="1:4" x14ac:dyDescent="0.2">
      <c r="A1347" s="5">
        <v>1286</v>
      </c>
      <c r="B1347" s="1783">
        <f>'Expenditures 15-22'!E182</f>
        <v>1260049</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1260049</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1260049</v>
      </c>
      <c r="C1353" s="2" t="s">
        <v>569</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569</v>
      </c>
      <c r="D1358" s="2" t="str">
        <f t="shared" si="20"/>
        <v>Error?</v>
      </c>
    </row>
    <row r="1359" spans="1:4" x14ac:dyDescent="0.2">
      <c r="A1359" s="5">
        <v>1298</v>
      </c>
      <c r="B1359" s="1783">
        <f>'Expenditures 15-22'!F210</f>
        <v>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1260049</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1260049</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1260049</v>
      </c>
      <c r="C1388" s="2" t="s">
        <v>569</v>
      </c>
      <c r="D1388" s="2" t="str">
        <f t="shared" si="20"/>
        <v>Error?</v>
      </c>
    </row>
    <row r="1389" spans="1:4" x14ac:dyDescent="0.2">
      <c r="A1389" s="5">
        <v>1328</v>
      </c>
      <c r="B1389" s="1783">
        <f>'Expenditures 15-22'!K211</f>
        <v>48260</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5146</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5737</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21333</v>
      </c>
      <c r="D1408" s="2" t="str">
        <f t="shared" si="21"/>
        <v>Error?</v>
      </c>
    </row>
    <row r="1409" spans="1:4" x14ac:dyDescent="0.2">
      <c r="A1409" s="5">
        <v>1348</v>
      </c>
      <c r="B1409" s="1783">
        <f>'Expenditures 15-22'!D224</f>
        <v>2777</v>
      </c>
      <c r="D1409" s="2" t="str">
        <f t="shared" si="21"/>
        <v>Error?</v>
      </c>
    </row>
    <row r="1410" spans="1:4" x14ac:dyDescent="0.2">
      <c r="A1410" s="5">
        <v>1349</v>
      </c>
      <c r="B1410" s="1783">
        <f>'Expenditures 15-22'!D229</f>
        <v>631963</v>
      </c>
      <c r="C1410" s="2" t="s">
        <v>569</v>
      </c>
      <c r="D1410" s="2" t="str">
        <f t="shared" si="21"/>
        <v>Error?</v>
      </c>
    </row>
    <row r="1411" spans="1:4" x14ac:dyDescent="0.2">
      <c r="A1411" s="5">
        <v>1350</v>
      </c>
      <c r="B1411" s="1783">
        <f>'Expenditures 15-22'!D232</f>
        <v>8197</v>
      </c>
      <c r="D1411" s="2" t="str">
        <f t="shared" si="21"/>
        <v>Error?</v>
      </c>
    </row>
    <row r="1412" spans="1:4" x14ac:dyDescent="0.2">
      <c r="A1412" s="5">
        <v>1351</v>
      </c>
      <c r="B1412" s="1783">
        <f>'Expenditures 15-22'!D233</f>
        <v>19211</v>
      </c>
      <c r="D1412" s="2" t="str">
        <f t="shared" si="21"/>
        <v>Error?</v>
      </c>
    </row>
    <row r="1413" spans="1:4" x14ac:dyDescent="0.2">
      <c r="A1413" s="5">
        <v>1352</v>
      </c>
      <c r="B1413" s="1783">
        <f>'Expenditures 15-22'!D234</f>
        <v>16653</v>
      </c>
      <c r="D1413" s="2" t="str">
        <f t="shared" si="21"/>
        <v>Error?</v>
      </c>
    </row>
    <row r="1414" spans="1:4" x14ac:dyDescent="0.2">
      <c r="A1414" s="5">
        <v>1353</v>
      </c>
      <c r="B1414" s="1783">
        <f>'Expenditures 15-22'!D235</f>
        <v>5792</v>
      </c>
      <c r="D1414" s="2" t="str">
        <f t="shared" si="21"/>
        <v>Error?</v>
      </c>
    </row>
    <row r="1415" spans="1:4" x14ac:dyDescent="0.2">
      <c r="A1415" s="5">
        <v>1354</v>
      </c>
      <c r="B1415" s="1783">
        <f>'Expenditures 15-22'!D236</f>
        <v>8315</v>
      </c>
      <c r="D1415" s="2" t="str">
        <f t="shared" si="21"/>
        <v>Error?</v>
      </c>
    </row>
    <row r="1416" spans="1:4" x14ac:dyDescent="0.2">
      <c r="A1416" s="5">
        <v>1355</v>
      </c>
      <c r="B1416" s="1783">
        <f>'Expenditures 15-22'!D237</f>
        <v>62243</v>
      </c>
      <c r="D1416" s="2" t="str">
        <f t="shared" si="21"/>
        <v>Error?</v>
      </c>
    </row>
    <row r="1417" spans="1:4" x14ac:dyDescent="0.2">
      <c r="A1417" s="5">
        <v>1356</v>
      </c>
      <c r="B1417" s="1783">
        <f>'Expenditures 15-22'!D238</f>
        <v>120411</v>
      </c>
      <c r="C1417" s="2" t="s">
        <v>569</v>
      </c>
      <c r="D1417" s="2" t="str">
        <f t="shared" si="21"/>
        <v>Error?</v>
      </c>
    </row>
    <row r="1418" spans="1:4" x14ac:dyDescent="0.2">
      <c r="A1418" s="5">
        <v>1357</v>
      </c>
      <c r="B1418" s="1783">
        <f>'Expenditures 15-22'!D240</f>
        <v>10531</v>
      </c>
      <c r="D1418" s="2" t="str">
        <f t="shared" si="21"/>
        <v>Error?</v>
      </c>
    </row>
    <row r="1419" spans="1:4" x14ac:dyDescent="0.2">
      <c r="A1419" s="5">
        <v>1358</v>
      </c>
      <c r="B1419" s="1783">
        <f>'Expenditures 15-22'!D241</f>
        <v>19754</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30285</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39797</v>
      </c>
      <c r="D1423" s="2" t="str">
        <f t="shared" si="21"/>
        <v>Error?</v>
      </c>
    </row>
    <row r="1424" spans="1:4" x14ac:dyDescent="0.2">
      <c r="A1424" s="5">
        <v>1363</v>
      </c>
      <c r="B1424" s="1783">
        <f>'Expenditures 15-22'!D257</f>
        <v>39797</v>
      </c>
      <c r="C1424" s="2" t="s">
        <v>569</v>
      </c>
      <c r="D1424" s="2" t="str">
        <f t="shared" si="21"/>
        <v>Error?</v>
      </c>
    </row>
    <row r="1425" spans="1:4" x14ac:dyDescent="0.2">
      <c r="A1425" s="5">
        <v>1364</v>
      </c>
      <c r="B1425" s="1783">
        <f>'Expenditures 15-22'!D259</f>
        <v>131436</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131436</v>
      </c>
      <c r="C1427" s="2" t="s">
        <v>569</v>
      </c>
      <c r="D1427" s="2" t="str">
        <f t="shared" si="21"/>
        <v>Error?</v>
      </c>
    </row>
    <row r="1428" spans="1:4" x14ac:dyDescent="0.2">
      <c r="A1428" s="5">
        <v>1367</v>
      </c>
      <c r="B1428" s="1783">
        <f>'Expenditures 15-22'!D263</f>
        <v>2882</v>
      </c>
      <c r="D1428" s="2" t="str">
        <f t="shared" si="21"/>
        <v>Error?</v>
      </c>
    </row>
    <row r="1429" spans="1:4" x14ac:dyDescent="0.2">
      <c r="A1429" s="5">
        <v>1368</v>
      </c>
      <c r="B1429" s="1783">
        <f>'Expenditures 15-22'!D264</f>
        <v>48149</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225487</v>
      </c>
      <c r="D1431" s="2" t="str">
        <f t="shared" si="21"/>
        <v>Error?</v>
      </c>
    </row>
    <row r="1432" spans="1:4" x14ac:dyDescent="0.2">
      <c r="A1432" s="5">
        <v>1371</v>
      </c>
      <c r="B1432" s="1783">
        <f>'Expenditures 15-22'!D267</f>
        <v>0</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276518</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15886</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15886</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614333</v>
      </c>
      <c r="C1446" s="2" t="s">
        <v>569</v>
      </c>
      <c r="D1446" s="2" t="str">
        <f t="shared" si="21"/>
        <v>Error?</v>
      </c>
    </row>
    <row r="1447" spans="1:4" x14ac:dyDescent="0.2">
      <c r="A1447" s="5">
        <v>1386</v>
      </c>
      <c r="B1447" s="1783">
        <f>'Expenditures 15-22'!D280</f>
        <v>23942</v>
      </c>
      <c r="D1447" s="2" t="str">
        <f t="shared" si="21"/>
        <v>Error?</v>
      </c>
    </row>
    <row r="1448" spans="1:4" x14ac:dyDescent="0.2">
      <c r="A1448" s="5">
        <v>1387</v>
      </c>
      <c r="B1448" s="1783">
        <f>'Expenditures 15-22'!D295</f>
        <v>1270238</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5146</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5737</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21333</v>
      </c>
      <c r="C1472" s="2" t="s">
        <v>569</v>
      </c>
      <c r="D1472" s="2" t="str">
        <f t="shared" si="22"/>
        <v>Error?</v>
      </c>
    </row>
    <row r="1473" spans="1:4" x14ac:dyDescent="0.2">
      <c r="A1473" s="5">
        <v>1412</v>
      </c>
      <c r="B1473" s="1783">
        <f>'Expenditures 15-22'!K224</f>
        <v>2777</v>
      </c>
      <c r="C1473" s="2" t="s">
        <v>569</v>
      </c>
      <c r="D1473" s="2" t="str">
        <f t="shared" si="22"/>
        <v>Error?</v>
      </c>
    </row>
    <row r="1474" spans="1:4" x14ac:dyDescent="0.2">
      <c r="A1474" s="5">
        <v>1413</v>
      </c>
      <c r="B1474" s="1783">
        <f>'Expenditures 15-22'!K229</f>
        <v>631963</v>
      </c>
      <c r="C1474" s="2" t="s">
        <v>569</v>
      </c>
      <c r="D1474" s="2" t="str">
        <f t="shared" si="22"/>
        <v>Error?</v>
      </c>
    </row>
    <row r="1475" spans="1:4" x14ac:dyDescent="0.2">
      <c r="A1475" s="5">
        <v>1414</v>
      </c>
      <c r="B1475" s="1783">
        <f>'Expenditures 15-22'!K232</f>
        <v>8197</v>
      </c>
      <c r="C1475" s="2" t="s">
        <v>569</v>
      </c>
      <c r="D1475" s="2" t="str">
        <f t="shared" si="22"/>
        <v>Error?</v>
      </c>
    </row>
    <row r="1476" spans="1:4" x14ac:dyDescent="0.2">
      <c r="A1476" s="5">
        <v>1415</v>
      </c>
      <c r="B1476" s="1783">
        <f>'Expenditures 15-22'!K233</f>
        <v>19211</v>
      </c>
      <c r="C1476" s="2" t="s">
        <v>569</v>
      </c>
      <c r="D1476" s="2" t="str">
        <f t="shared" si="22"/>
        <v>Error?</v>
      </c>
    </row>
    <row r="1477" spans="1:4" x14ac:dyDescent="0.2">
      <c r="A1477" s="5">
        <v>1416</v>
      </c>
      <c r="B1477" s="1783">
        <f>'Expenditures 15-22'!K234</f>
        <v>16653</v>
      </c>
      <c r="C1477" s="2" t="s">
        <v>569</v>
      </c>
      <c r="D1477" s="2" t="str">
        <f t="shared" si="22"/>
        <v>Error?</v>
      </c>
    </row>
    <row r="1478" spans="1:4" x14ac:dyDescent="0.2">
      <c r="A1478" s="5">
        <v>1417</v>
      </c>
      <c r="B1478" s="1783">
        <f>'Expenditures 15-22'!K235</f>
        <v>5792</v>
      </c>
      <c r="C1478" s="2" t="s">
        <v>569</v>
      </c>
      <c r="D1478" s="2" t="str">
        <f t="shared" si="22"/>
        <v>Error?</v>
      </c>
    </row>
    <row r="1479" spans="1:4" x14ac:dyDescent="0.2">
      <c r="A1479" s="5">
        <v>1418</v>
      </c>
      <c r="B1479" s="1783">
        <f>'Expenditures 15-22'!K236</f>
        <v>8315</v>
      </c>
      <c r="C1479" s="2" t="s">
        <v>569</v>
      </c>
      <c r="D1479" s="2" t="str">
        <f t="shared" si="22"/>
        <v>Error?</v>
      </c>
    </row>
    <row r="1480" spans="1:4" x14ac:dyDescent="0.2">
      <c r="A1480" s="5">
        <v>1419</v>
      </c>
      <c r="B1480" s="1783">
        <f>'Expenditures 15-22'!K237</f>
        <v>62243</v>
      </c>
      <c r="C1480" s="2" t="s">
        <v>569</v>
      </c>
      <c r="D1480" s="2" t="str">
        <f t="shared" si="22"/>
        <v>Error?</v>
      </c>
    </row>
    <row r="1481" spans="1:4" x14ac:dyDescent="0.2">
      <c r="A1481" s="5">
        <v>1420</v>
      </c>
      <c r="B1481" s="1783">
        <f>'Expenditures 15-22'!K238</f>
        <v>120411</v>
      </c>
      <c r="C1481" s="2" t="s">
        <v>569</v>
      </c>
      <c r="D1481" s="2" t="str">
        <f t="shared" si="22"/>
        <v>Error?</v>
      </c>
    </row>
    <row r="1482" spans="1:4" x14ac:dyDescent="0.2">
      <c r="A1482" s="5">
        <v>1421</v>
      </c>
      <c r="B1482" s="1783">
        <f>'Expenditures 15-22'!K240</f>
        <v>10531</v>
      </c>
      <c r="C1482" s="2" t="s">
        <v>569</v>
      </c>
      <c r="D1482" s="2" t="str">
        <f t="shared" si="22"/>
        <v>Error?</v>
      </c>
    </row>
    <row r="1483" spans="1:4" x14ac:dyDescent="0.2">
      <c r="A1483" s="5">
        <v>1422</v>
      </c>
      <c r="B1483" s="1783">
        <f>'Expenditures 15-22'!K241</f>
        <v>19754</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30285</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39797</v>
      </c>
      <c r="C1487" s="2" t="s">
        <v>569</v>
      </c>
      <c r="D1487" s="2" t="str">
        <f t="shared" si="22"/>
        <v>Error?</v>
      </c>
    </row>
    <row r="1488" spans="1:4" x14ac:dyDescent="0.2">
      <c r="A1488" s="5">
        <v>1427</v>
      </c>
      <c r="B1488" s="1783">
        <f>'Expenditures 15-22'!K257</f>
        <v>39797</v>
      </c>
      <c r="C1488" s="2" t="s">
        <v>569</v>
      </c>
      <c r="D1488" s="2" t="str">
        <f t="shared" si="22"/>
        <v>Error?</v>
      </c>
    </row>
    <row r="1489" spans="1:4" x14ac:dyDescent="0.2">
      <c r="A1489" s="5">
        <v>1428</v>
      </c>
      <c r="B1489" s="1783">
        <f>'Expenditures 15-22'!K259</f>
        <v>131436</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131436</v>
      </c>
      <c r="C1491" s="2" t="s">
        <v>569</v>
      </c>
      <c r="D1491" s="2" t="str">
        <f t="shared" si="22"/>
        <v>Error?</v>
      </c>
    </row>
    <row r="1492" spans="1:4" x14ac:dyDescent="0.2">
      <c r="A1492" s="5">
        <v>1431</v>
      </c>
      <c r="B1492" s="1783">
        <f>'Expenditures 15-22'!K263</f>
        <v>2882</v>
      </c>
      <c r="C1492" s="2" t="s">
        <v>569</v>
      </c>
      <c r="D1492" s="2" t="str">
        <f t="shared" si="22"/>
        <v>Error?</v>
      </c>
    </row>
    <row r="1493" spans="1:4" x14ac:dyDescent="0.2">
      <c r="A1493" s="5">
        <v>1432</v>
      </c>
      <c r="B1493" s="1783">
        <f>'Expenditures 15-22'!K264</f>
        <v>48149</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225487</v>
      </c>
      <c r="C1495" s="2" t="s">
        <v>569</v>
      </c>
      <c r="D1495" s="2" t="str">
        <f t="shared" si="22"/>
        <v>Error?</v>
      </c>
    </row>
    <row r="1496" spans="1:4" x14ac:dyDescent="0.2">
      <c r="A1496" s="5">
        <v>1435</v>
      </c>
      <c r="B1496" s="1783">
        <f>'Expenditures 15-22'!K267</f>
        <v>0</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276518</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15886</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15886</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614333</v>
      </c>
      <c r="C1510" s="2" t="s">
        <v>569</v>
      </c>
      <c r="D1510" s="2" t="str">
        <f t="shared" si="22"/>
        <v>Error?</v>
      </c>
    </row>
    <row r="1511" spans="1:4" x14ac:dyDescent="0.2">
      <c r="A1511" s="5">
        <v>1450</v>
      </c>
      <c r="B1511" s="1783">
        <f>'Expenditures 15-22'!K280</f>
        <v>23942</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1270238</v>
      </c>
      <c r="C1517" s="2" t="s">
        <v>569</v>
      </c>
      <c r="D1517" s="2" t="str">
        <f t="shared" si="22"/>
        <v>Error?</v>
      </c>
    </row>
    <row r="1518" spans="1:4" x14ac:dyDescent="0.2">
      <c r="A1518" s="5">
        <v>1457</v>
      </c>
      <c r="B1518" s="1783">
        <f>'Expenditures 15-22'!K296</f>
        <v>-1203</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258854</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258854</v>
      </c>
      <c r="C1535" s="2" t="s">
        <v>569</v>
      </c>
      <c r="D1535" s="2" t="str">
        <f t="shared" ref="D1535:D1598" si="23">IF(ISBLANK(B1535),"OK",IF(A1535-B1535=0,"OK","Error?"))</f>
        <v>Error?</v>
      </c>
    </row>
    <row r="1536" spans="1:4" x14ac:dyDescent="0.2">
      <c r="A1536" s="5">
        <v>1475</v>
      </c>
      <c r="B1536" s="1783">
        <f>'Expenditures 15-22'!E312</f>
        <v>258854</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598307</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598307</v>
      </c>
      <c r="C1547" s="2" t="s">
        <v>569</v>
      </c>
      <c r="D1547" s="2" t="str">
        <f t="shared" si="23"/>
        <v>Error?</v>
      </c>
    </row>
    <row r="1548" spans="1:4" x14ac:dyDescent="0.2">
      <c r="A1548" s="5">
        <v>1487</v>
      </c>
      <c r="B1548" s="1783">
        <f>'Expenditures 15-22'!G312</f>
        <v>598307</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857161</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857161</v>
      </c>
      <c r="C1559" s="2" t="s">
        <v>569</v>
      </c>
      <c r="D1559" s="2" t="str">
        <f t="shared" si="23"/>
        <v>Error?</v>
      </c>
    </row>
    <row r="1560" spans="1:4" x14ac:dyDescent="0.2">
      <c r="A1560" s="5">
        <v>1499</v>
      </c>
      <c r="B1560" s="1783">
        <f>'Expenditures 15-22'!K312</f>
        <v>857161</v>
      </c>
      <c r="C1560" s="2" t="s">
        <v>569</v>
      </c>
      <c r="D1560" s="2" t="str">
        <f t="shared" si="23"/>
        <v>Error?</v>
      </c>
    </row>
    <row r="1561" spans="1:4" x14ac:dyDescent="0.2">
      <c r="A1561" s="5">
        <v>1500</v>
      </c>
      <c r="B1561" s="1783">
        <f>'Expenditures 15-22'!K313</f>
        <v>-857082</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11703324</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9769538</v>
      </c>
      <c r="C1630" s="2" t="s">
        <v>569</v>
      </c>
      <c r="D1630" s="2" t="str">
        <f t="shared" si="24"/>
        <v>Error?</v>
      </c>
    </row>
    <row r="1631" spans="1:4" x14ac:dyDescent="0.2">
      <c r="A1631" s="5">
        <v>1570</v>
      </c>
      <c r="B1631" s="1783">
        <f>'Acct Summary 7-8'!D79</f>
        <v>1728044</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1472011</v>
      </c>
      <c r="C1644" s="2" t="s">
        <v>569</v>
      </c>
      <c r="D1644" s="2" t="str">
        <f t="shared" si="24"/>
        <v>Error?</v>
      </c>
    </row>
    <row r="1645" spans="1:4" x14ac:dyDescent="0.2">
      <c r="A1645" s="5">
        <v>1584</v>
      </c>
      <c r="B1645" s="1783">
        <f>'Acct Summary 7-8'!E79</f>
        <v>0</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0</v>
      </c>
      <c r="C1658" s="2" t="s">
        <v>569</v>
      </c>
      <c r="D1658" s="2" t="str">
        <f t="shared" si="24"/>
        <v>Error?</v>
      </c>
    </row>
    <row r="1659" spans="1:4" x14ac:dyDescent="0.2">
      <c r="A1659" s="5">
        <v>1598</v>
      </c>
      <c r="B1659" s="1783">
        <f>'Acct Summary 7-8'!F79</f>
        <v>436794</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485054</v>
      </c>
      <c r="C1672" s="2" t="s">
        <v>569</v>
      </c>
      <c r="D1672" s="2" t="str">
        <f t="shared" si="25"/>
        <v>Error?</v>
      </c>
    </row>
    <row r="1673" spans="1:4" x14ac:dyDescent="0.2">
      <c r="A1673" s="5">
        <v>1612</v>
      </c>
      <c r="B1673" s="1783">
        <f>'Acct Summary 7-8'!G79</f>
        <v>908799</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907596</v>
      </c>
      <c r="C1686" s="2" t="s">
        <v>569</v>
      </c>
      <c r="D1686" s="2" t="str">
        <f t="shared" si="25"/>
        <v>Error?</v>
      </c>
    </row>
    <row r="1687" spans="1:4" x14ac:dyDescent="0.2">
      <c r="A1687" s="5">
        <v>1626</v>
      </c>
      <c r="B1687" s="1783">
        <f>'Acct Summary 7-8'!H79</f>
        <v>0</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0</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29435889</v>
      </c>
      <c r="C1744" s="2" t="s">
        <v>569</v>
      </c>
      <c r="D1744" s="2" t="str">
        <f t="shared" si="26"/>
        <v>Error?</v>
      </c>
    </row>
    <row r="1745" spans="1:5" x14ac:dyDescent="0.2">
      <c r="A1745" s="5">
        <v>1684</v>
      </c>
      <c r="B1745" s="1783">
        <f>'Tax Sched 23'!B5</f>
        <v>2622854</v>
      </c>
      <c r="C1745" s="2" t="s">
        <v>569</v>
      </c>
      <c r="D1745" s="2" t="str">
        <f t="shared" si="26"/>
        <v>Error?</v>
      </c>
    </row>
    <row r="1746" spans="1:5" x14ac:dyDescent="0.2">
      <c r="A1746" s="5">
        <v>1685</v>
      </c>
      <c r="B1746" s="1783">
        <f>'Tax Sched 23'!B6</f>
        <v>0</v>
      </c>
      <c r="C1746" s="2" t="s">
        <v>569</v>
      </c>
      <c r="D1746" s="2" t="str">
        <f t="shared" si="26"/>
        <v>Error?</v>
      </c>
    </row>
    <row r="1747" spans="1:5" x14ac:dyDescent="0.2">
      <c r="A1747" s="5">
        <v>1686</v>
      </c>
      <c r="B1747" s="1783">
        <f>'Tax Sched 23'!B7</f>
        <v>833512</v>
      </c>
      <c r="C1747" s="2" t="s">
        <v>569</v>
      </c>
      <c r="D1747" s="2" t="str">
        <f t="shared" si="26"/>
        <v>Error?</v>
      </c>
    </row>
    <row r="1748" spans="1:5" x14ac:dyDescent="0.2">
      <c r="A1748" s="5">
        <v>1687</v>
      </c>
      <c r="B1748" s="1783">
        <f>'Tax Sched 23'!B8</f>
        <v>570393</v>
      </c>
      <c r="C1748" s="2" t="s">
        <v>569</v>
      </c>
      <c r="D1748" s="2" t="str">
        <f t="shared" si="26"/>
        <v>Error?</v>
      </c>
    </row>
    <row r="1749" spans="1:5" x14ac:dyDescent="0.2">
      <c r="A1749" s="5">
        <v>1688</v>
      </c>
      <c r="B1749" s="1783">
        <f>'Tax Sched 23'!B10</f>
        <v>0</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0</v>
      </c>
      <c r="C1752" s="2" t="s">
        <v>569</v>
      </c>
      <c r="D1752" s="2" t="str">
        <f t="shared" si="26"/>
        <v>Error?</v>
      </c>
    </row>
    <row r="1753" spans="1:5" x14ac:dyDescent="0.2">
      <c r="A1753" s="5">
        <v>1692</v>
      </c>
      <c r="B1753" s="1783">
        <f>'Tax Sched 23'!B12</f>
        <v>0</v>
      </c>
      <c r="C1753" s="2" t="s">
        <v>569</v>
      </c>
      <c r="D1753" s="2" t="str">
        <f t="shared" si="26"/>
        <v>Error?</v>
      </c>
    </row>
    <row r="1754" spans="1:5" x14ac:dyDescent="0.2">
      <c r="A1754" s="5">
        <v>1693</v>
      </c>
      <c r="B1754" s="1783">
        <f>'Tax Sched 23'!B14</f>
        <v>0</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34113578</v>
      </c>
      <c r="C1759" s="2" t="s">
        <v>569</v>
      </c>
      <c r="D1759" s="2" t="str">
        <f t="shared" si="26"/>
        <v>Error?</v>
      </c>
    </row>
    <row r="1760" spans="1:5" x14ac:dyDescent="0.2">
      <c r="A1760" s="5">
        <v>1699</v>
      </c>
      <c r="B1760" s="1783">
        <f>'Tax Sched 23'!D4</f>
        <v>13782909</v>
      </c>
      <c r="C1760" s="2" t="s">
        <v>569</v>
      </c>
      <c r="D1760" s="2" t="str">
        <f t="shared" si="26"/>
        <v>Error?</v>
      </c>
    </row>
    <row r="1761" spans="1:7" x14ac:dyDescent="0.2">
      <c r="A1761" s="5">
        <v>1700</v>
      </c>
      <c r="B1761" s="1783">
        <f>'Tax Sched 23'!D5</f>
        <v>1229995</v>
      </c>
      <c r="C1761" s="2" t="s">
        <v>569</v>
      </c>
      <c r="D1761" s="2" t="str">
        <f t="shared" si="26"/>
        <v>Error?</v>
      </c>
    </row>
    <row r="1762" spans="1:7" s="8" customFormat="1" x14ac:dyDescent="0.2">
      <c r="A1762" s="5">
        <v>1701</v>
      </c>
      <c r="B1762" s="1783">
        <f>'Tax Sched 23'!D6</f>
        <v>0</v>
      </c>
      <c r="C1762" s="2" t="s">
        <v>569</v>
      </c>
      <c r="D1762" s="2" t="str">
        <f t="shared" si="26"/>
        <v>Error?</v>
      </c>
      <c r="E1762" s="9"/>
      <c r="G1762"/>
    </row>
    <row r="1763" spans="1:7" x14ac:dyDescent="0.2">
      <c r="A1763" s="5">
        <v>1702</v>
      </c>
      <c r="B1763" s="1783">
        <f>'Tax Sched 23'!D7</f>
        <v>344399</v>
      </c>
      <c r="C1763" s="2" t="s">
        <v>569</v>
      </c>
      <c r="D1763" s="2" t="str">
        <f t="shared" si="26"/>
        <v>Error?</v>
      </c>
    </row>
    <row r="1764" spans="1:7" x14ac:dyDescent="0.2">
      <c r="A1764" s="5">
        <v>1703</v>
      </c>
      <c r="B1764" s="1783">
        <f>'Tax Sched 23'!D8</f>
        <v>268363</v>
      </c>
      <c r="C1764" s="2" t="s">
        <v>569</v>
      </c>
      <c r="D1764" s="2" t="str">
        <f t="shared" si="26"/>
        <v>Error?</v>
      </c>
    </row>
    <row r="1765" spans="1:7" x14ac:dyDescent="0.2">
      <c r="A1765" s="5">
        <v>1704</v>
      </c>
      <c r="B1765" s="1783">
        <f>'Tax Sched 23'!D10</f>
        <v>0</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0</v>
      </c>
      <c r="C1768" s="2" t="s">
        <v>569</v>
      </c>
      <c r="D1768" s="2" t="str">
        <f t="shared" si="26"/>
        <v>Error?</v>
      </c>
    </row>
    <row r="1769" spans="1:7" x14ac:dyDescent="0.2">
      <c r="A1769" s="5">
        <v>1708</v>
      </c>
      <c r="B1769" s="1783">
        <f>'Tax Sched 23'!D12</f>
        <v>0</v>
      </c>
      <c r="C1769" s="2" t="s">
        <v>569</v>
      </c>
      <c r="D1769" s="2" t="str">
        <f t="shared" si="26"/>
        <v>Error?</v>
      </c>
    </row>
    <row r="1770" spans="1:7" x14ac:dyDescent="0.2">
      <c r="A1770" s="5">
        <v>1709</v>
      </c>
      <c r="B1770" s="1783">
        <f>'Tax Sched 23'!D14</f>
        <v>0</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15932047</v>
      </c>
      <c r="C1775" s="2" t="s">
        <v>569</v>
      </c>
      <c r="D1775" s="2" t="str">
        <f t="shared" si="26"/>
        <v>Error?</v>
      </c>
    </row>
    <row r="1776" spans="1:7" x14ac:dyDescent="0.2">
      <c r="A1776" s="5">
        <v>1715</v>
      </c>
      <c r="B1776" s="1783">
        <f>'Tax Sched 23'!C4</f>
        <v>15652980</v>
      </c>
      <c r="D1776" s="2" t="str">
        <f t="shared" si="26"/>
        <v>Error?</v>
      </c>
    </row>
    <row r="1777" spans="1:4" x14ac:dyDescent="0.2">
      <c r="A1777" s="5">
        <v>1716</v>
      </c>
      <c r="B1777" s="1783">
        <f>'Tax Sched 23'!C5</f>
        <v>1392859</v>
      </c>
      <c r="D1777" s="2" t="str">
        <f t="shared" si="26"/>
        <v>Error?</v>
      </c>
    </row>
    <row r="1778" spans="1:4" x14ac:dyDescent="0.2">
      <c r="A1778" s="5">
        <v>1717</v>
      </c>
      <c r="B1778" s="1783">
        <f>'Tax Sched 23'!C6</f>
        <v>0</v>
      </c>
      <c r="D1778" s="2" t="str">
        <f t="shared" si="26"/>
        <v>Error?</v>
      </c>
    </row>
    <row r="1779" spans="1:4" x14ac:dyDescent="0.2">
      <c r="A1779" s="5">
        <v>1718</v>
      </c>
      <c r="B1779" s="1783">
        <f>'Tax Sched 23'!C7</f>
        <v>489113</v>
      </c>
      <c r="D1779" s="2" t="str">
        <f t="shared" si="26"/>
        <v>Error?</v>
      </c>
    </row>
    <row r="1780" spans="1:4" x14ac:dyDescent="0.2">
      <c r="A1780" s="5">
        <v>1719</v>
      </c>
      <c r="B1780" s="1783">
        <f>'Tax Sched 23'!C8</f>
        <v>302030</v>
      </c>
      <c r="D1780" s="2" t="str">
        <f t="shared" si="26"/>
        <v>Error?</v>
      </c>
    </row>
    <row r="1781" spans="1:4" x14ac:dyDescent="0.2">
      <c r="A1781" s="5">
        <v>1720</v>
      </c>
      <c r="B1781" s="1783">
        <f>'Tax Sched 23'!C10</f>
        <v>0</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18181531</v>
      </c>
      <c r="C1791" s="2" t="s">
        <v>569</v>
      </c>
      <c r="D1791" s="2" t="str">
        <f t="shared" ref="D1791:D1854" si="27">IF(ISBLANK(B1791),"OK",IF(A1791-B1791=0,"OK","Error?"))</f>
        <v>Error?</v>
      </c>
    </row>
    <row r="1792" spans="1:4" x14ac:dyDescent="0.2">
      <c r="A1792" s="5">
        <v>1731</v>
      </c>
      <c r="B1792" s="1783">
        <f>'Tax Sched 23'!F4</f>
        <v>16375386</v>
      </c>
      <c r="C1792" s="2" t="s">
        <v>569</v>
      </c>
      <c r="D1792" s="2" t="str">
        <f t="shared" si="27"/>
        <v>Error?</v>
      </c>
    </row>
    <row r="1793" spans="1:4" x14ac:dyDescent="0.2">
      <c r="A1793" s="5">
        <v>1732</v>
      </c>
      <c r="B1793" s="1783">
        <f>'Tax Sched 23'!F5</f>
        <v>1457141</v>
      </c>
      <c r="C1793" s="2" t="s">
        <v>569</v>
      </c>
      <c r="D1793" s="2" t="str">
        <f t="shared" si="27"/>
        <v>Error?</v>
      </c>
    </row>
    <row r="1794" spans="1:4" x14ac:dyDescent="0.2">
      <c r="A1794" s="5">
        <v>1733</v>
      </c>
      <c r="B1794" s="1783">
        <f>'Tax Sched 23'!F6</f>
        <v>0</v>
      </c>
      <c r="C1794" s="2" t="s">
        <v>569</v>
      </c>
      <c r="D1794" s="2" t="str">
        <f t="shared" si="27"/>
        <v>Error?</v>
      </c>
    </row>
    <row r="1795" spans="1:4" x14ac:dyDescent="0.2">
      <c r="A1795" s="5">
        <v>1734</v>
      </c>
      <c r="B1795" s="1783">
        <f>'Tax Sched 23'!F7</f>
        <v>511687</v>
      </c>
      <c r="C1795" s="2" t="s">
        <v>569</v>
      </c>
      <c r="D1795" s="2" t="str">
        <f t="shared" si="27"/>
        <v>Error?</v>
      </c>
    </row>
    <row r="1796" spans="1:4" x14ac:dyDescent="0.2">
      <c r="A1796" s="5">
        <v>1735</v>
      </c>
      <c r="B1796" s="1783">
        <f>'Tax Sched 23'!F8</f>
        <v>315970</v>
      </c>
      <c r="C1796" s="2" t="s">
        <v>569</v>
      </c>
      <c r="D1796" s="2" t="str">
        <f t="shared" si="27"/>
        <v>Error?</v>
      </c>
    </row>
    <row r="1797" spans="1:4" x14ac:dyDescent="0.2">
      <c r="A1797" s="5">
        <v>1736</v>
      </c>
      <c r="B1797" s="1783">
        <f>'Tax Sched 23'!F10</f>
        <v>0</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0</v>
      </c>
      <c r="C1800" s="2" t="s">
        <v>569</v>
      </c>
      <c r="D1800" s="2" t="str">
        <f t="shared" si="27"/>
        <v>Error?</v>
      </c>
    </row>
    <row r="1801" spans="1:4" x14ac:dyDescent="0.2">
      <c r="A1801" s="5">
        <v>1740</v>
      </c>
      <c r="B1801" s="1783">
        <f>'Tax Sched 23'!F12</f>
        <v>0</v>
      </c>
      <c r="C1801" s="2" t="s">
        <v>569</v>
      </c>
      <c r="D1801" s="2" t="str">
        <f t="shared" si="27"/>
        <v>Error?</v>
      </c>
    </row>
    <row r="1802" spans="1:4" x14ac:dyDescent="0.2">
      <c r="A1802" s="5">
        <v>1741</v>
      </c>
      <c r="B1802" s="1783">
        <f>'Tax Sched 23'!F14</f>
        <v>0</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19020635</v>
      </c>
      <c r="C1807" s="2" t="s">
        <v>569</v>
      </c>
      <c r="D1807" s="2" t="str">
        <f t="shared" si="27"/>
        <v>Error?</v>
      </c>
    </row>
    <row r="1808" spans="1:4" x14ac:dyDescent="0.2">
      <c r="A1808" s="5">
        <v>1747</v>
      </c>
      <c r="B1808" s="1783">
        <f>'Tax Sched 23'!E4</f>
        <v>32028366</v>
      </c>
      <c r="D1808" s="2" t="str">
        <f t="shared" si="27"/>
        <v>Error?</v>
      </c>
    </row>
    <row r="1809" spans="1:4" x14ac:dyDescent="0.2">
      <c r="A1809" s="5">
        <v>1748</v>
      </c>
      <c r="B1809" s="1783">
        <f>'Tax Sched 23'!E5</f>
        <v>2850000</v>
      </c>
      <c r="D1809" s="2" t="str">
        <f t="shared" si="27"/>
        <v>Error?</v>
      </c>
    </row>
    <row r="1810" spans="1:4" x14ac:dyDescent="0.2">
      <c r="A1810" s="5">
        <v>1749</v>
      </c>
      <c r="B1810" s="1783">
        <f>'Tax Sched 23'!E6</f>
        <v>0</v>
      </c>
      <c r="D1810" s="2" t="str">
        <f t="shared" si="27"/>
        <v>Error?</v>
      </c>
    </row>
    <row r="1811" spans="1:4" x14ac:dyDescent="0.2">
      <c r="A1811" s="5">
        <v>1750</v>
      </c>
      <c r="B1811" s="1783">
        <f>'Tax Sched 23'!E7</f>
        <v>1000800</v>
      </c>
      <c r="D1811" s="2" t="str">
        <f t="shared" si="27"/>
        <v>Error?</v>
      </c>
    </row>
    <row r="1812" spans="1:4" x14ac:dyDescent="0.2">
      <c r="A1812" s="5">
        <v>1751</v>
      </c>
      <c r="B1812" s="1783">
        <f>'Tax Sched 23'!E8</f>
        <v>618000</v>
      </c>
      <c r="D1812" s="2" t="str">
        <f t="shared" si="27"/>
        <v>Error?</v>
      </c>
    </row>
    <row r="1813" spans="1:4" x14ac:dyDescent="0.2">
      <c r="A1813" s="5">
        <v>1752</v>
      </c>
      <c r="B1813" s="1783">
        <f>'Tax Sched 23'!E10</f>
        <v>0</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0</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37202166</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0</v>
      </c>
      <c r="C1939" s="2" t="s">
        <v>569</v>
      </c>
      <c r="D1939" s="2" t="str">
        <f t="shared" si="29"/>
        <v>Error?</v>
      </c>
    </row>
    <row r="1940" spans="1:5" x14ac:dyDescent="0.2">
      <c r="A1940" s="5">
        <v>1879</v>
      </c>
      <c r="B1940" s="1783">
        <f>'Short-Term Long-Term Debt 24'!F49</f>
        <v>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0</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0</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0</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678040</v>
      </c>
      <c r="D2008" s="2" t="str">
        <f t="shared" si="30"/>
        <v>Error?</v>
      </c>
    </row>
    <row r="2009" spans="1:4" x14ac:dyDescent="0.2">
      <c r="A2009" s="5">
        <v>1948</v>
      </c>
      <c r="B2009" s="1783">
        <f>'Cap Outlay Deprec 26'!C8</f>
        <v>55780500</v>
      </c>
      <c r="D2009" s="2" t="str">
        <f t="shared" si="30"/>
        <v>Error?</v>
      </c>
    </row>
    <row r="2010" spans="1:4" x14ac:dyDescent="0.2">
      <c r="A2010" s="5">
        <v>1949</v>
      </c>
      <c r="B2010" s="1783">
        <f>'Cap Outlay Deprec 26'!C10</f>
        <v>793484</v>
      </c>
      <c r="D2010" s="2" t="str">
        <f t="shared" si="30"/>
        <v>Error?</v>
      </c>
    </row>
    <row r="2011" spans="1:4" x14ac:dyDescent="0.2">
      <c r="A2011" s="5">
        <v>1950</v>
      </c>
      <c r="B2011" s="1783">
        <f>'Cap Outlay Deprec 26'!C12</f>
        <v>10278797</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67992485</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923949</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19642</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1059971</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0</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461664</v>
      </c>
      <c r="C2025" s="2" t="s">
        <v>569</v>
      </c>
      <c r="D2025" s="2" t="str">
        <f t="shared" si="30"/>
        <v>Error?</v>
      </c>
    </row>
    <row r="2026" spans="1:4" x14ac:dyDescent="0.2">
      <c r="A2026" s="5">
        <v>1965</v>
      </c>
      <c r="B2026" s="1783">
        <f>'Cap Outlay Deprec 26'!F5</f>
        <v>678040</v>
      </c>
      <c r="C2026" s="2" t="s">
        <v>569</v>
      </c>
      <c r="D2026" s="2" t="str">
        <f t="shared" si="30"/>
        <v>Error?</v>
      </c>
    </row>
    <row r="2027" spans="1:4" x14ac:dyDescent="0.2">
      <c r="A2027" s="5">
        <v>1966</v>
      </c>
      <c r="B2027" s="1783">
        <f>'Cap Outlay Deprec 26'!F8</f>
        <v>56704449</v>
      </c>
      <c r="C2027" s="2" t="s">
        <v>569</v>
      </c>
      <c r="D2027" s="2" t="str">
        <f t="shared" si="30"/>
        <v>Error?</v>
      </c>
    </row>
    <row r="2028" spans="1:4" x14ac:dyDescent="0.2">
      <c r="A2028" s="5">
        <v>1967</v>
      </c>
      <c r="B2028" s="1783">
        <f>'Cap Outlay Deprec 26'!F10</f>
        <v>793484</v>
      </c>
      <c r="C2028" s="2" t="s">
        <v>569</v>
      </c>
      <c r="D2028" s="2" t="str">
        <f t="shared" si="30"/>
        <v>Error?</v>
      </c>
    </row>
    <row r="2029" spans="1:4" x14ac:dyDescent="0.2">
      <c r="A2029" s="5">
        <v>1968</v>
      </c>
      <c r="B2029" s="1783">
        <f>'Cap Outlay Deprec 26'!F12</f>
        <v>10298439</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68590792</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23116648</v>
      </c>
      <c r="D2033" s="2" t="str">
        <f t="shared" si="30"/>
        <v>Error?</v>
      </c>
    </row>
    <row r="2034" spans="1:4" x14ac:dyDescent="0.2">
      <c r="A2034" s="5">
        <v>1973</v>
      </c>
      <c r="B2034" s="1783">
        <f>'Cap Outlay Deprec 26'!H10</f>
        <v>625971</v>
      </c>
      <c r="D2034" s="2" t="str">
        <f t="shared" si="30"/>
        <v>Error?</v>
      </c>
    </row>
    <row r="2035" spans="1:4" x14ac:dyDescent="0.2">
      <c r="A2035" s="5">
        <v>1974</v>
      </c>
      <c r="B2035" s="1783">
        <f>'Cap Outlay Deprec 26'!H12</f>
        <v>8576898</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32319517</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1291038</v>
      </c>
      <c r="D2039" s="2" t="str">
        <f t="shared" si="30"/>
        <v>Error?</v>
      </c>
    </row>
    <row r="2040" spans="1:4" x14ac:dyDescent="0.2">
      <c r="A2040" s="5">
        <v>1979</v>
      </c>
      <c r="B2040" s="1783">
        <f>'Cap Outlay Deprec 26'!I10</f>
        <v>10244</v>
      </c>
      <c r="D2040" s="2" t="str">
        <f t="shared" si="30"/>
        <v>Error?</v>
      </c>
    </row>
    <row r="2041" spans="1:4" x14ac:dyDescent="0.2">
      <c r="A2041" s="5">
        <v>1980</v>
      </c>
      <c r="B2041" s="1783">
        <f>'Cap Outlay Deprec 26'!I12</f>
        <v>227484</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1528766</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0</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0</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24407686</v>
      </c>
      <c r="C2051" s="2" t="s">
        <v>569</v>
      </c>
      <c r="D2051" s="2" t="str">
        <f t="shared" si="31"/>
        <v>Error?</v>
      </c>
    </row>
    <row r="2052" spans="1:4" x14ac:dyDescent="0.2">
      <c r="A2052" s="5">
        <v>1991</v>
      </c>
      <c r="B2052" s="1783">
        <f>'Cap Outlay Deprec 26'!K10</f>
        <v>636215</v>
      </c>
      <c r="C2052" s="2" t="s">
        <v>569</v>
      </c>
      <c r="D2052" s="2" t="str">
        <f t="shared" si="31"/>
        <v>Error?</v>
      </c>
    </row>
    <row r="2053" spans="1:4" x14ac:dyDescent="0.2">
      <c r="A2053" s="5">
        <v>1992</v>
      </c>
      <c r="B2053" s="1783">
        <f>'Cap Outlay Deprec 26'!K12</f>
        <v>8804382</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33848283</v>
      </c>
      <c r="C2055" s="2" t="s">
        <v>569</v>
      </c>
      <c r="D2055" s="2" t="str">
        <f t="shared" si="31"/>
        <v>Error?</v>
      </c>
    </row>
    <row r="2056" spans="1:4" x14ac:dyDescent="0.2">
      <c r="A2056" s="5">
        <v>1995</v>
      </c>
      <c r="B2056" s="1783">
        <f>'Cap Outlay Deprec 26'!L5</f>
        <v>678040</v>
      </c>
      <c r="C2056" s="2" t="s">
        <v>569</v>
      </c>
      <c r="D2056" s="2" t="str">
        <f t="shared" si="31"/>
        <v>Error?</v>
      </c>
    </row>
    <row r="2057" spans="1:4" x14ac:dyDescent="0.2">
      <c r="A2057" s="5">
        <v>1996</v>
      </c>
      <c r="B2057" s="1783">
        <f>'Cap Outlay Deprec 26'!L8</f>
        <v>32296763</v>
      </c>
      <c r="C2057" s="2" t="s">
        <v>569</v>
      </c>
      <c r="D2057" s="2" t="str">
        <f t="shared" si="31"/>
        <v>Error?</v>
      </c>
    </row>
    <row r="2058" spans="1:4" x14ac:dyDescent="0.2">
      <c r="A2058" s="5">
        <v>1997</v>
      </c>
      <c r="B2058" s="1783">
        <f>'Cap Outlay Deprec 26'!L10</f>
        <v>157269</v>
      </c>
      <c r="C2058" s="2" t="s">
        <v>569</v>
      </c>
      <c r="D2058" s="2" t="str">
        <f t="shared" si="31"/>
        <v>Error?</v>
      </c>
    </row>
    <row r="2059" spans="1:4" x14ac:dyDescent="0.2">
      <c r="A2059" s="5">
        <v>1998</v>
      </c>
      <c r="B2059" s="1783">
        <f>'Cap Outlay Deprec 26'!L12</f>
        <v>1494057</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34742509</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1508705</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1591846</v>
      </c>
      <c r="C2088" s="2" t="s">
        <v>569</v>
      </c>
      <c r="D2088" s="2" t="str">
        <f t="shared" si="31"/>
        <v>Error?</v>
      </c>
    </row>
    <row r="2089" spans="1:4" x14ac:dyDescent="0.2">
      <c r="A2089" s="5">
        <v>2028</v>
      </c>
      <c r="B2089" s="1783">
        <f>'Expenditures 15-22'!K92</f>
        <v>0</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0</v>
      </c>
      <c r="D2435" s="2" t="str">
        <f t="shared" si="37"/>
        <v>Error?</v>
      </c>
    </row>
    <row r="2436" spans="1:4" x14ac:dyDescent="0.2">
      <c r="A2436" s="10">
        <v>2375</v>
      </c>
      <c r="B2436" s="1783"/>
      <c r="D2436" s="2" t="str">
        <f t="shared" si="37"/>
        <v>OK</v>
      </c>
    </row>
    <row r="2437" spans="1:4" x14ac:dyDescent="0.2">
      <c r="A2437" s="5">
        <v>2376</v>
      </c>
      <c r="B2437" s="1783">
        <f>'Assets-Liab 5-6'!D38</f>
        <v>1472011</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485054</v>
      </c>
      <c r="D2475" s="2" t="str">
        <f t="shared" si="37"/>
        <v>Error?</v>
      </c>
    </row>
    <row r="2476" spans="1:4" x14ac:dyDescent="0.2">
      <c r="A2476" s="10">
        <v>2415</v>
      </c>
      <c r="B2476" s="1783"/>
      <c r="D2476" s="2" t="str">
        <f t="shared" si="37"/>
        <v>OK</v>
      </c>
    </row>
    <row r="2477" spans="1:4" x14ac:dyDescent="0.2">
      <c r="A2477" s="5">
        <v>2416</v>
      </c>
      <c r="B2477" s="1783">
        <f>'Assets-Liab 5-6'!G38</f>
        <v>907596</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0</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0</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31974782</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1079130</v>
      </c>
      <c r="C2553" s="2" t="s">
        <v>569</v>
      </c>
      <c r="D2553" s="2" t="str">
        <f t="shared" si="38"/>
        <v>Error?</v>
      </c>
    </row>
    <row r="2554" spans="1:4" x14ac:dyDescent="0.2">
      <c r="A2554" s="5">
        <v>2493</v>
      </c>
      <c r="B2554" s="1783">
        <f>'Acct Summary 7-8'!C7</f>
        <v>721672</v>
      </c>
      <c r="C2554" s="2" t="s">
        <v>569</v>
      </c>
      <c r="D2554" s="2" t="str">
        <f t="shared" si="38"/>
        <v>Error?</v>
      </c>
    </row>
    <row r="2555" spans="1:4" x14ac:dyDescent="0.2">
      <c r="A2555" s="5">
        <v>2494</v>
      </c>
      <c r="B2555" s="1783">
        <f>'Acct Summary 7-8'!C8</f>
        <v>33775584</v>
      </c>
      <c r="C2555" s="2" t="s">
        <v>569</v>
      </c>
      <c r="D2555" s="2" t="str">
        <f t="shared" si="38"/>
        <v>Error?</v>
      </c>
    </row>
    <row r="2556" spans="1:4" x14ac:dyDescent="0.2">
      <c r="A2556" s="5">
        <v>2495</v>
      </c>
      <c r="B2556" s="1783">
        <f>'Acct Summary 7-8'!C12</f>
        <v>24941248</v>
      </c>
      <c r="C2556" s="2" t="s">
        <v>569</v>
      </c>
      <c r="D2556" s="2" t="str">
        <f t="shared" si="38"/>
        <v>Error?</v>
      </c>
    </row>
    <row r="2557" spans="1:4" x14ac:dyDescent="0.2">
      <c r="A2557" s="5">
        <v>2496</v>
      </c>
      <c r="B2557" s="1783">
        <f>'Acct Summary 7-8'!C13</f>
        <v>8962294</v>
      </c>
      <c r="C2557" s="2" t="s">
        <v>569</v>
      </c>
      <c r="D2557" s="2" t="str">
        <f t="shared" si="38"/>
        <v>Error?</v>
      </c>
    </row>
    <row r="2558" spans="1:4" x14ac:dyDescent="0.2">
      <c r="A2558" s="5">
        <v>2497</v>
      </c>
      <c r="B2558" s="1783">
        <f>'Acct Summary 7-8'!C14</f>
        <v>213982</v>
      </c>
      <c r="C2558" s="2" t="s">
        <v>569</v>
      </c>
      <c r="D2558" s="2" t="str">
        <f t="shared" si="38"/>
        <v>Error?</v>
      </c>
    </row>
    <row r="2559" spans="1:4" x14ac:dyDescent="0.2">
      <c r="A2559" s="5">
        <v>2498</v>
      </c>
      <c r="B2559" s="1783">
        <f>'Acct Summary 7-8'!C15</f>
        <v>1591846</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35709370</v>
      </c>
      <c r="C2561" s="2" t="s">
        <v>569</v>
      </c>
      <c r="D2561" s="2" t="str">
        <f t="shared" si="39"/>
        <v>Error?</v>
      </c>
    </row>
    <row r="2562" spans="1:4" x14ac:dyDescent="0.2">
      <c r="A2562" s="5">
        <v>2501</v>
      </c>
      <c r="B2562" s="1783">
        <f>'Acct Summary 7-8'!C20</f>
        <v>-1933786</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2984039</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50000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3034039</v>
      </c>
      <c r="C2568" s="2" t="s">
        <v>569</v>
      </c>
      <c r="D2568" s="2" t="str">
        <f t="shared" si="39"/>
        <v>Error?</v>
      </c>
    </row>
    <row r="2569" spans="1:4" x14ac:dyDescent="0.2">
      <c r="A2569" s="5">
        <v>2508</v>
      </c>
      <c r="B2569" s="1783">
        <f>'Acct Summary 7-8'!D13</f>
        <v>2432990</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2432990</v>
      </c>
      <c r="C2573" s="2" t="s">
        <v>569</v>
      </c>
      <c r="D2573" s="2" t="str">
        <f t="shared" si="39"/>
        <v>Error?</v>
      </c>
    </row>
    <row r="2574" spans="1:4" x14ac:dyDescent="0.2">
      <c r="A2574" s="5">
        <v>2513</v>
      </c>
      <c r="B2574" s="1783">
        <f>'Acct Summary 7-8'!D20</f>
        <v>601049</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975450</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332859</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1308309</v>
      </c>
      <c r="C2595" s="2" t="s">
        <v>569</v>
      </c>
      <c r="D2595" s="2" t="str">
        <f t="shared" si="39"/>
        <v>Error?</v>
      </c>
    </row>
    <row r="2596" spans="1:4" x14ac:dyDescent="0.2">
      <c r="A2596" s="5">
        <v>2535</v>
      </c>
      <c r="B2596" s="1783">
        <f>'Acct Summary 7-8'!F13</f>
        <v>1260049</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1260049</v>
      </c>
      <c r="C2600" s="2" t="s">
        <v>569</v>
      </c>
      <c r="D2600" s="2" t="str">
        <f t="shared" si="39"/>
        <v>Error?</v>
      </c>
    </row>
    <row r="2601" spans="1:4" x14ac:dyDescent="0.2">
      <c r="A2601" s="5">
        <v>2540</v>
      </c>
      <c r="B2601" s="1783">
        <f>'Acct Summary 7-8'!F20</f>
        <v>48260</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1269035</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1269035</v>
      </c>
      <c r="C2606" s="2" t="s">
        <v>569</v>
      </c>
      <c r="D2606" s="2" t="str">
        <f t="shared" si="39"/>
        <v>Error?</v>
      </c>
    </row>
    <row r="2607" spans="1:4" x14ac:dyDescent="0.2">
      <c r="A2607" s="5">
        <v>2546</v>
      </c>
      <c r="B2607" s="1783">
        <f>'Acct Summary 7-8'!G12</f>
        <v>631963</v>
      </c>
      <c r="C2607" s="2" t="s">
        <v>569</v>
      </c>
      <c r="D2607" s="2" t="str">
        <f t="shared" si="39"/>
        <v>Error?</v>
      </c>
    </row>
    <row r="2608" spans="1:4" x14ac:dyDescent="0.2">
      <c r="A2608" s="5">
        <v>2547</v>
      </c>
      <c r="B2608" s="1783">
        <f>'Acct Summary 7-8'!G13</f>
        <v>614333</v>
      </c>
      <c r="C2608" s="2" t="s">
        <v>569</v>
      </c>
      <c r="D2608" s="2" t="str">
        <f t="shared" si="39"/>
        <v>Error?</v>
      </c>
    </row>
    <row r="2609" spans="1:4" x14ac:dyDescent="0.2">
      <c r="A2609" s="5">
        <v>2548</v>
      </c>
      <c r="B2609" s="1783">
        <f>'Acct Summary 7-8'!G14</f>
        <v>23942</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1270238</v>
      </c>
      <c r="C2612" s="2" t="s">
        <v>569</v>
      </c>
      <c r="D2612" s="2" t="str">
        <f t="shared" si="39"/>
        <v>Error?</v>
      </c>
    </row>
    <row r="2613" spans="1:4" x14ac:dyDescent="0.2">
      <c r="A2613" s="5">
        <v>2552</v>
      </c>
      <c r="B2613" s="1783">
        <f>'Acct Summary 7-8'!G20</f>
        <v>-1203</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0</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0</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0</v>
      </c>
      <c r="C2634" s="2" t="s">
        <v>569</v>
      </c>
      <c r="D2634" s="2" t="str">
        <f t="shared" si="40"/>
        <v>Error?</v>
      </c>
    </row>
    <row r="2635" spans="1:4" x14ac:dyDescent="0.2">
      <c r="A2635" s="5">
        <v>2574</v>
      </c>
      <c r="B2635" s="1783">
        <f>'Acct Summary 7-8'!E17</f>
        <v>0</v>
      </c>
      <c r="C2635" s="2" t="s">
        <v>569</v>
      </c>
      <c r="D2635" s="2" t="str">
        <f t="shared" si="40"/>
        <v>Error?</v>
      </c>
    </row>
    <row r="2636" spans="1:4" x14ac:dyDescent="0.2">
      <c r="A2636" s="5">
        <v>2575</v>
      </c>
      <c r="B2636" s="1783">
        <f>'Acct Summary 7-8'!E20</f>
        <v>0</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79</v>
      </c>
      <c r="C2655" s="2" t="s">
        <v>569</v>
      </c>
      <c r="D2655" s="2" t="str">
        <f t="shared" si="40"/>
        <v>Error?</v>
      </c>
    </row>
    <row r="2656" spans="1:4" x14ac:dyDescent="0.2">
      <c r="A2656" s="5">
        <v>2595</v>
      </c>
      <c r="B2656" s="1783">
        <f>'Acct Summary 7-8'!H6</f>
        <v>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79</v>
      </c>
      <c r="C2658" s="2" t="s">
        <v>569</v>
      </c>
      <c r="D2658" s="2" t="str">
        <f t="shared" si="40"/>
        <v>Error?</v>
      </c>
    </row>
    <row r="2659" spans="1:4" x14ac:dyDescent="0.2">
      <c r="A2659" s="5">
        <v>2598</v>
      </c>
      <c r="B2659" s="1783">
        <f>'Acct Summary 7-8'!H13</f>
        <v>857161</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857161</v>
      </c>
      <c r="C2661" s="2" t="s">
        <v>569</v>
      </c>
      <c r="D2661" s="2" t="str">
        <f t="shared" si="40"/>
        <v>Error?</v>
      </c>
    </row>
    <row r="2662" spans="1:4" x14ac:dyDescent="0.2">
      <c r="A2662" s="5">
        <v>2601</v>
      </c>
      <c r="B2662" s="1783">
        <f>'Acct Summary 7-8'!H20</f>
        <v>-857082</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0</v>
      </c>
      <c r="D2718" s="2" t="str">
        <f t="shared" si="41"/>
        <v>Error?</v>
      </c>
    </row>
    <row r="2719" spans="1:4" x14ac:dyDescent="0.2">
      <c r="A2719" s="5">
        <v>2658</v>
      </c>
      <c r="B2719" s="1783">
        <f>'Expenditures 15-22'!D51</f>
        <v>0</v>
      </c>
      <c r="D2719" s="2" t="str">
        <f t="shared" si="41"/>
        <v>Error?</v>
      </c>
    </row>
    <row r="2720" spans="1:4" x14ac:dyDescent="0.2">
      <c r="A2720" s="5">
        <v>2659</v>
      </c>
      <c r="B2720" s="1783">
        <f>'Expenditures 15-22'!E51</f>
        <v>0</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0</v>
      </c>
      <c r="C2724" s="2" t="s">
        <v>569</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0</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83141</v>
      </c>
      <c r="C2789" s="2" t="s">
        <v>569</v>
      </c>
      <c r="D2789" s="2" t="str">
        <f t="shared" si="42"/>
        <v>Error?</v>
      </c>
    </row>
    <row r="2790" spans="1:4" x14ac:dyDescent="0.2">
      <c r="A2790" s="5">
        <v>2729</v>
      </c>
      <c r="B2790" s="1783">
        <f>'Expenditures 15-22'!E102</f>
        <v>83141</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0</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116380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0</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6625590</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40750</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0</v>
      </c>
      <c r="D2908" s="2" t="str">
        <f t="shared" si="44"/>
        <v>Error?</v>
      </c>
    </row>
    <row r="2909" spans="1:4" x14ac:dyDescent="0.2">
      <c r="A2909" s="10">
        <v>2848</v>
      </c>
      <c r="B2909" s="1783"/>
      <c r="D2909" s="2" t="str">
        <f t="shared" si="44"/>
        <v>OK</v>
      </c>
    </row>
    <row r="2910" spans="1:4" x14ac:dyDescent="0.2">
      <c r="A2910" s="5">
        <v>2849</v>
      </c>
      <c r="B2910" s="1783">
        <f>'Assets-Liab 5-6'!I34</f>
        <v>0</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6625590</v>
      </c>
      <c r="D2912" s="2" t="str">
        <f t="shared" si="44"/>
        <v>Error?</v>
      </c>
    </row>
    <row r="2913" spans="1:4" x14ac:dyDescent="0.2">
      <c r="A2913" s="5">
        <v>2852</v>
      </c>
      <c r="B2913" s="1783">
        <f>'Assets-Liab 5-6'!I41</f>
        <v>6625590</v>
      </c>
      <c r="C2913" s="2" t="s">
        <v>569</v>
      </c>
      <c r="D2913" s="2" t="str">
        <f t="shared" si="44"/>
        <v>Error?</v>
      </c>
    </row>
    <row r="2914" spans="1:4" x14ac:dyDescent="0.2">
      <c r="A2914" s="5">
        <v>2853</v>
      </c>
      <c r="B2914" s="1783">
        <f>'Assets-Liab 5-6'!L33</f>
        <v>40750</v>
      </c>
      <c r="D2914" s="2" t="str">
        <f t="shared" si="44"/>
        <v>Error?</v>
      </c>
    </row>
    <row r="2915" spans="1:4" x14ac:dyDescent="0.2">
      <c r="A2915" s="10">
        <v>2854</v>
      </c>
      <c r="B2915" s="1783"/>
      <c r="D2915" s="2" t="str">
        <f t="shared" si="44"/>
        <v>OK</v>
      </c>
    </row>
    <row r="2916" spans="1:4" x14ac:dyDescent="0.2">
      <c r="A2916" s="5">
        <v>2855</v>
      </c>
      <c r="B2916" s="1783">
        <f>'Assets-Liab 5-6'!L34</f>
        <v>40750</v>
      </c>
      <c r="C2916" s="2" t="s">
        <v>569</v>
      </c>
      <c r="D2916" s="2" t="str">
        <f t="shared" si="44"/>
        <v>Error?</v>
      </c>
    </row>
    <row r="2917" spans="1:4" x14ac:dyDescent="0.2">
      <c r="A2917" s="5">
        <v>2856</v>
      </c>
      <c r="B2917" s="1783">
        <f>'Assets-Liab 5-6'!L41</f>
        <v>40750</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83141</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0</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1508705</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569</v>
      </c>
      <c r="D2973" s="2" t="str">
        <f t="shared" si="45"/>
        <v>Error?</v>
      </c>
    </row>
    <row r="2974" spans="1:4" x14ac:dyDescent="0.2">
      <c r="A2974" s="5">
        <v>2913</v>
      </c>
      <c r="B2974" s="1783">
        <f>'Expenditures 15-22'!K79</f>
        <v>1591846</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0</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0</v>
      </c>
      <c r="D3055" s="2" t="str">
        <f t="shared" si="46"/>
        <v>Error?</v>
      </c>
    </row>
    <row r="3056" spans="1:4" x14ac:dyDescent="0.2">
      <c r="A3056" s="5">
        <v>2995</v>
      </c>
      <c r="B3056" s="1783">
        <f>'Expenditures 15-22'!D10</f>
        <v>0</v>
      </c>
      <c r="D3056" s="2" t="str">
        <f t="shared" si="46"/>
        <v>Error?</v>
      </c>
    </row>
    <row r="3057" spans="1:4" x14ac:dyDescent="0.2">
      <c r="A3057" s="5">
        <v>2996</v>
      </c>
      <c r="B3057" s="1783">
        <f>'Expenditures 15-22'!E10</f>
        <v>0</v>
      </c>
      <c r="D3057" s="2" t="str">
        <f t="shared" si="46"/>
        <v>Error?</v>
      </c>
    </row>
    <row r="3058" spans="1:4" x14ac:dyDescent="0.2">
      <c r="A3058" s="5">
        <v>2997</v>
      </c>
      <c r="B3058" s="1783">
        <f>'Expenditures 15-22'!F10</f>
        <v>0</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0</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0</v>
      </c>
      <c r="D3064" s="2" t="str">
        <f t="shared" si="46"/>
        <v>Error?</v>
      </c>
    </row>
    <row r="3065" spans="1:4" x14ac:dyDescent="0.2">
      <c r="A3065" s="5">
        <v>3004</v>
      </c>
      <c r="B3065" s="1783">
        <f>'Expenditures 15-22'!K219</f>
        <v>0</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136227</v>
      </c>
      <c r="C3225" s="2" t="s">
        <v>569</v>
      </c>
      <c r="D3225" s="2" t="str">
        <f t="shared" si="49"/>
        <v>Error?</v>
      </c>
    </row>
    <row r="3226" spans="1:4" x14ac:dyDescent="0.2">
      <c r="A3226" s="5">
        <v>3165</v>
      </c>
      <c r="B3226" s="1783">
        <f>'Acct Summary 7-8'!I8</f>
        <v>136227</v>
      </c>
      <c r="C3226" s="2" t="s">
        <v>569</v>
      </c>
      <c r="D3226" s="2" t="str">
        <f t="shared" si="49"/>
        <v>Error?</v>
      </c>
    </row>
    <row r="3227" spans="1:4" x14ac:dyDescent="0.2">
      <c r="A3227" s="5">
        <v>3166</v>
      </c>
      <c r="B3227" s="1783">
        <f>'Acct Summary 7-8'!I20</f>
        <v>136227</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0</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0</v>
      </c>
      <c r="C3231" s="2" t="s">
        <v>569</v>
      </c>
      <c r="D3231" s="2" t="str">
        <f t="shared" si="49"/>
        <v>Error?</v>
      </c>
    </row>
    <row r="3232" spans="1:4" x14ac:dyDescent="0.2">
      <c r="A3232" s="5">
        <v>3171</v>
      </c>
      <c r="B3232" s="1783">
        <f>'Acct Summary 7-8'!C77</f>
        <v>0</v>
      </c>
      <c r="C3232" s="2" t="s">
        <v>569</v>
      </c>
      <c r="D3232" s="2" t="str">
        <f t="shared" si="49"/>
        <v>Error?</v>
      </c>
    </row>
    <row r="3233" spans="1:4" x14ac:dyDescent="0.2">
      <c r="A3233" s="5">
        <v>3172</v>
      </c>
      <c r="B3233" s="1783">
        <f>'Acct Summary 7-8'!C78</f>
        <v>-1933786</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857082</v>
      </c>
      <c r="C3237" s="2" t="s">
        <v>569</v>
      </c>
      <c r="D3237" s="2" t="str">
        <f t="shared" si="49"/>
        <v>Error?</v>
      </c>
    </row>
    <row r="3238" spans="1:4" x14ac:dyDescent="0.2">
      <c r="A3238" s="5">
        <v>3177</v>
      </c>
      <c r="B3238" s="1783">
        <f>'Acct Summary 7-8'!D77</f>
        <v>-857082</v>
      </c>
      <c r="C3238" s="2" t="s">
        <v>569</v>
      </c>
      <c r="D3238" s="2" t="str">
        <f t="shared" si="49"/>
        <v>Error?</v>
      </c>
    </row>
    <row r="3239" spans="1:4" x14ac:dyDescent="0.2">
      <c r="A3239" s="5">
        <v>3178</v>
      </c>
      <c r="B3239" s="1783">
        <f>'Acct Summary 7-8'!D78</f>
        <v>-256033</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48260</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-1203</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0</v>
      </c>
      <c r="C3277" s="2" t="s">
        <v>569</v>
      </c>
      <c r="D3277" s="2" t="str">
        <f t="shared" si="50"/>
        <v>Error?</v>
      </c>
    </row>
    <row r="3278" spans="1:4" x14ac:dyDescent="0.2">
      <c r="A3278" s="5">
        <v>3217</v>
      </c>
      <c r="B3278" s="1783">
        <f>'Acct Summary 7-8'!E78</f>
        <v>0</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857082</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0</v>
      </c>
      <c r="C3298" s="2" t="s">
        <v>569</v>
      </c>
      <c r="D3298" s="2" t="str">
        <f t="shared" si="50"/>
        <v>Error?</v>
      </c>
    </row>
    <row r="3299" spans="1:4" x14ac:dyDescent="0.2">
      <c r="A3299" s="5">
        <v>3238</v>
      </c>
      <c r="B3299" s="1783">
        <f>'Acct Summary 7-8'!H77</f>
        <v>857082</v>
      </c>
      <c r="C3299" s="2" t="s">
        <v>569</v>
      </c>
      <c r="D3299" s="2" t="str">
        <f t="shared" si="50"/>
        <v>Error?</v>
      </c>
    </row>
    <row r="3300" spans="1:4" x14ac:dyDescent="0.2">
      <c r="A3300" s="5">
        <v>3239</v>
      </c>
      <c r="B3300" s="1783">
        <f>'Acct Summary 7-8'!H78</f>
        <v>0</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0</v>
      </c>
      <c r="C3318" s="2" t="s">
        <v>569</v>
      </c>
      <c r="D3318" s="2" t="str">
        <f t="shared" si="50"/>
        <v>Error?</v>
      </c>
    </row>
    <row r="3319" spans="1:4" x14ac:dyDescent="0.2">
      <c r="A3319" s="5">
        <v>3258</v>
      </c>
      <c r="B3319" s="1783">
        <f>'Acct Summary 7-8'!I77</f>
        <v>0</v>
      </c>
      <c r="C3319" s="2" t="s">
        <v>569</v>
      </c>
      <c r="D3319" s="2" t="str">
        <f t="shared" si="50"/>
        <v>Error?</v>
      </c>
    </row>
    <row r="3320" spans="1:4" x14ac:dyDescent="0.2">
      <c r="A3320" s="5">
        <v>3259</v>
      </c>
      <c r="B3320" s="1783">
        <f>'Acct Summary 7-8'!I78</f>
        <v>136227</v>
      </c>
      <c r="C3320" s="2" t="s">
        <v>569</v>
      </c>
      <c r="D3320" s="2" t="str">
        <f t="shared" si="50"/>
        <v>Error?</v>
      </c>
    </row>
    <row r="3321" spans="1:4" x14ac:dyDescent="0.2">
      <c r="A3321" s="5">
        <v>3260</v>
      </c>
      <c r="B3321" s="1783">
        <f>'Acct Summary 7-8'!I79</f>
        <v>6489363</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6625590</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2478129</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654733</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8811</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0</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151476</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3293149</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394636</v>
      </c>
      <c r="D3387" s="2" t="str">
        <f t="shared" si="51"/>
        <v>Error?</v>
      </c>
    </row>
    <row r="3388" spans="1:4" x14ac:dyDescent="0.2">
      <c r="A3388" s="5">
        <v>3327</v>
      </c>
      <c r="B3388" s="1783">
        <f>'Expenditures 15-22'!D217</f>
        <v>176681</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394636</v>
      </c>
      <c r="C3390" s="2" t="s">
        <v>569</v>
      </c>
      <c r="D3390" s="2" t="str">
        <f t="shared" si="51"/>
        <v>Error?</v>
      </c>
    </row>
    <row r="3391" spans="1:4" x14ac:dyDescent="0.2">
      <c r="A3391" s="5">
        <v>3330</v>
      </c>
      <c r="B3391" s="1783">
        <f>'Expenditures 15-22'!K217</f>
        <v>176681</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10077067</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1517580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0</v>
      </c>
      <c r="D3417" s="2" t="str">
        <f t="shared" si="52"/>
        <v>Error?</v>
      </c>
    </row>
    <row r="3418" spans="1:4" x14ac:dyDescent="0.2">
      <c r="A3418" s="10">
        <v>3357</v>
      </c>
      <c r="B3418" s="1783"/>
      <c r="D3418" s="2" t="str">
        <f t="shared" si="52"/>
        <v>OK</v>
      </c>
    </row>
    <row r="3419" spans="1:4" x14ac:dyDescent="0.2">
      <c r="A3419" s="5">
        <v>3358</v>
      </c>
      <c r="B3419" s="1783">
        <f>'Assets-Liab 5-6'!F4</f>
        <v>402732</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907596</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15888</v>
      </c>
      <c r="D3425" s="2" t="str">
        <f t="shared" si="52"/>
        <v>Error?</v>
      </c>
    </row>
    <row r="3426" spans="1:4" x14ac:dyDescent="0.2">
      <c r="A3426" s="10">
        <v>3365</v>
      </c>
      <c r="B3426" s="1783"/>
      <c r="D3426" s="2" t="str">
        <f t="shared" si="52"/>
        <v>OK</v>
      </c>
    </row>
    <row r="3427" spans="1:4" x14ac:dyDescent="0.2">
      <c r="A3427" s="5">
        <v>3366</v>
      </c>
      <c r="B3427" s="1783">
        <f>'Assets-Liab 5-6'!I4</f>
        <v>6625590</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40750</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650930</v>
      </c>
      <c r="C3446" s="2" t="s">
        <v>569</v>
      </c>
      <c r="D3446" s="2" t="str">
        <f t="shared" si="52"/>
        <v>Error?</v>
      </c>
    </row>
    <row r="3447" spans="1:4" x14ac:dyDescent="0.2">
      <c r="A3447" s="5">
        <v>3386</v>
      </c>
      <c r="B3447" s="1783">
        <f>'Tax Sched 23'!D16</f>
        <v>306381</v>
      </c>
      <c r="C3447" s="2" t="s">
        <v>569</v>
      </c>
      <c r="D3447" s="2" t="str">
        <f t="shared" si="52"/>
        <v>Error?</v>
      </c>
    </row>
    <row r="3448" spans="1:4" x14ac:dyDescent="0.2">
      <c r="A3448" s="5">
        <v>3387</v>
      </c>
      <c r="B3448" s="1783">
        <f>'Tax Sched 23'!C16</f>
        <v>344549</v>
      </c>
      <c r="D3448" s="2" t="str">
        <f t="shared" si="52"/>
        <v>Error?</v>
      </c>
    </row>
    <row r="3449" spans="1:4" x14ac:dyDescent="0.2">
      <c r="A3449" s="5">
        <v>3388</v>
      </c>
      <c r="B3449" s="1783">
        <f>'Tax Sched 23'!F16</f>
        <v>360451</v>
      </c>
      <c r="C3449" s="2" t="s">
        <v>569</v>
      </c>
      <c r="D3449" s="2" t="str">
        <f t="shared" si="52"/>
        <v>Error?</v>
      </c>
    </row>
    <row r="3450" spans="1:4" x14ac:dyDescent="0.2">
      <c r="A3450" s="5">
        <v>3389</v>
      </c>
      <c r="B3450" s="1783">
        <f>'Tax Sched 23'!E16</f>
        <v>705000</v>
      </c>
      <c r="D3450" s="2" t="str">
        <f t="shared" si="52"/>
        <v>Error?</v>
      </c>
    </row>
    <row r="3451" spans="1:4" x14ac:dyDescent="0.2">
      <c r="A3451" s="5">
        <v>3390</v>
      </c>
      <c r="B3451" s="1783">
        <f>'Cap Outlay Deprec 26'!C15</f>
        <v>461664</v>
      </c>
      <c r="D3451" s="2" t="str">
        <f t="shared" si="52"/>
        <v>Error?</v>
      </c>
    </row>
    <row r="3452" spans="1:4" x14ac:dyDescent="0.2">
      <c r="A3452" s="5">
        <v>3391</v>
      </c>
      <c r="B3452" s="1783">
        <f>'Cap Outlay Deprec 26'!D15</f>
        <v>116380</v>
      </c>
      <c r="D3452" s="2" t="str">
        <f t="shared" si="52"/>
        <v>Error?</v>
      </c>
    </row>
    <row r="3453" spans="1:4" x14ac:dyDescent="0.2">
      <c r="A3453" s="5">
        <v>3392</v>
      </c>
      <c r="B3453" s="1783">
        <f>'Cap Outlay Deprec 26'!E15</f>
        <v>461664</v>
      </c>
      <c r="D3453" s="2" t="str">
        <f t="shared" si="52"/>
        <v>Error?</v>
      </c>
    </row>
    <row r="3454" spans="1:4" x14ac:dyDescent="0.2">
      <c r="A3454" s="5">
        <v>3393</v>
      </c>
      <c r="B3454" s="1783">
        <f>'Cap Outlay Deprec 26'!F15</f>
        <v>116380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116380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0</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569</v>
      </c>
      <c r="D3565" s="2" t="str">
        <f t="shared" si="54"/>
        <v>Error?</v>
      </c>
    </row>
    <row r="3566" spans="1:4" x14ac:dyDescent="0.2">
      <c r="A3566" s="5">
        <v>3505</v>
      </c>
      <c r="B3566" s="1783">
        <f>'Assets-Liab 5-6'!K38</f>
        <v>0</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0</v>
      </c>
      <c r="C3568" s="2" t="s">
        <v>569</v>
      </c>
      <c r="D3568" s="2" t="str">
        <f t="shared" si="54"/>
        <v>Error?</v>
      </c>
    </row>
    <row r="3569" spans="1:4" x14ac:dyDescent="0.2">
      <c r="A3569" s="5">
        <v>3508</v>
      </c>
      <c r="B3569" s="1783">
        <f>'Acct Summary 7-8'!K4</f>
        <v>0</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0</v>
      </c>
      <c r="C3571" s="2" t="s">
        <v>569</v>
      </c>
      <c r="D3571" s="2" t="str">
        <f t="shared" si="54"/>
        <v>Error?</v>
      </c>
    </row>
    <row r="3572" spans="1:4" x14ac:dyDescent="0.2">
      <c r="A3572" s="5">
        <v>3511</v>
      </c>
      <c r="B3572" s="1783">
        <f>'Acct Summary 7-8'!K13</f>
        <v>0</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0</v>
      </c>
      <c r="C3575" s="2" t="s">
        <v>569</v>
      </c>
      <c r="D3575" s="2" t="str">
        <f t="shared" si="54"/>
        <v>Error?</v>
      </c>
    </row>
    <row r="3576" spans="1:4" x14ac:dyDescent="0.2">
      <c r="A3576" s="5">
        <v>3515</v>
      </c>
      <c r="B3576" s="1783">
        <f>'Acct Summary 7-8'!K20</f>
        <v>0</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0</v>
      </c>
      <c r="C3588" s="2" t="s">
        <v>569</v>
      </c>
      <c r="D3588" s="2" t="str">
        <f t="shared" si="55"/>
        <v>Error?</v>
      </c>
    </row>
    <row r="3589" spans="1:4" x14ac:dyDescent="0.2">
      <c r="A3589" s="5">
        <v>3528</v>
      </c>
      <c r="B3589" s="1783">
        <f>'Acct Summary 7-8'!K79</f>
        <v>0</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0</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569</v>
      </c>
      <c r="D3649" s="2" t="str">
        <f t="shared" si="56"/>
        <v>Error?</v>
      </c>
    </row>
    <row r="3650" spans="1:4" x14ac:dyDescent="0.2">
      <c r="A3650" s="5">
        <v>3589</v>
      </c>
      <c r="B3650" s="1783">
        <f>'Expenditures 15-22'!G367</f>
        <v>0</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0</v>
      </c>
      <c r="C3669" s="2" t="s">
        <v>569</v>
      </c>
      <c r="D3669" s="2" t="str">
        <f t="shared" si="56"/>
        <v>Error?</v>
      </c>
    </row>
    <row r="3670" spans="1:4" x14ac:dyDescent="0.2">
      <c r="A3670" s="5">
        <v>3609</v>
      </c>
      <c r="B3670" s="1783">
        <f>'Expenditures 15-22'!K350</f>
        <v>0</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0</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0</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0</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17048340</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50823924</v>
      </c>
      <c r="C4122" s="2" t="s">
        <v>569</v>
      </c>
      <c r="D4122" s="2" t="str">
        <f t="shared" si="63"/>
        <v>Error?</v>
      </c>
    </row>
    <row r="4123" spans="1:4" x14ac:dyDescent="0.2">
      <c r="A4123" s="5">
        <v>4062</v>
      </c>
      <c r="B4123" s="1783">
        <f>'Acct Summary 7-8'!D10</f>
        <v>3034039</v>
      </c>
      <c r="C4123" s="2" t="s">
        <v>569</v>
      </c>
      <c r="D4123" s="2" t="str">
        <f t="shared" si="63"/>
        <v>Error?</v>
      </c>
    </row>
    <row r="4124" spans="1:4" x14ac:dyDescent="0.2">
      <c r="A4124" s="5">
        <v>4063</v>
      </c>
      <c r="B4124" s="1783">
        <f>'Acct Summary 7-8'!E10</f>
        <v>0</v>
      </c>
      <c r="C4124" s="2" t="s">
        <v>569</v>
      </c>
      <c r="D4124" s="2" t="str">
        <f t="shared" si="63"/>
        <v>Error?</v>
      </c>
    </row>
    <row r="4125" spans="1:4" x14ac:dyDescent="0.2">
      <c r="A4125" s="5">
        <v>4064</v>
      </c>
      <c r="B4125" s="1783">
        <f>'Acct Summary 7-8'!F10</f>
        <v>1308309</v>
      </c>
      <c r="C4125" s="2" t="s">
        <v>569</v>
      </c>
      <c r="D4125" s="2" t="str">
        <f t="shared" si="63"/>
        <v>Error?</v>
      </c>
    </row>
    <row r="4126" spans="1:4" x14ac:dyDescent="0.2">
      <c r="A4126" s="5">
        <v>4065</v>
      </c>
      <c r="B4126" s="1783">
        <f>'Acct Summary 7-8'!G10</f>
        <v>1269035</v>
      </c>
      <c r="C4126" s="2" t="s">
        <v>569</v>
      </c>
      <c r="D4126" s="2" t="str">
        <f t="shared" si="63"/>
        <v>Error?</v>
      </c>
    </row>
    <row r="4127" spans="1:4" x14ac:dyDescent="0.2">
      <c r="A4127" s="5">
        <v>4066</v>
      </c>
      <c r="B4127" s="1783">
        <f>'Acct Summary 7-8'!H10</f>
        <v>79</v>
      </c>
      <c r="C4127" s="2" t="s">
        <v>569</v>
      </c>
      <c r="D4127" s="2" t="str">
        <f t="shared" si="63"/>
        <v>Error?</v>
      </c>
    </row>
    <row r="4128" spans="1:4" x14ac:dyDescent="0.2">
      <c r="A4128" s="5">
        <v>4067</v>
      </c>
      <c r="B4128" s="1783">
        <f>'Acct Summary 7-8'!I10</f>
        <v>136227</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0</v>
      </c>
      <c r="C4130" s="2" t="s">
        <v>569</v>
      </c>
      <c r="D4130" s="2" t="str">
        <f t="shared" si="63"/>
        <v>Error?</v>
      </c>
    </row>
    <row r="4131" spans="1:4" x14ac:dyDescent="0.2">
      <c r="A4131" s="5">
        <v>4070</v>
      </c>
      <c r="B4131" s="1783">
        <f>'Acct Summary 7-8'!C18</f>
        <v>17048340</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52757710</v>
      </c>
      <c r="C4136" s="2" t="s">
        <v>569</v>
      </c>
      <c r="D4136" s="2" t="str">
        <f t="shared" si="63"/>
        <v>Error?</v>
      </c>
    </row>
    <row r="4137" spans="1:4" x14ac:dyDescent="0.2">
      <c r="A4137" s="5">
        <v>4076</v>
      </c>
      <c r="B4137" s="1783">
        <f>'Acct Summary 7-8'!D19</f>
        <v>2432990</v>
      </c>
      <c r="C4137" s="2" t="s">
        <v>569</v>
      </c>
      <c r="D4137" s="2" t="str">
        <f t="shared" si="63"/>
        <v>Error?</v>
      </c>
    </row>
    <row r="4138" spans="1:4" x14ac:dyDescent="0.2">
      <c r="A4138" s="5">
        <v>4077</v>
      </c>
      <c r="B4138" s="1783">
        <f>'Acct Summary 7-8'!E19</f>
        <v>0</v>
      </c>
      <c r="C4138" s="2" t="s">
        <v>569</v>
      </c>
      <c r="D4138" s="2" t="str">
        <f t="shared" si="63"/>
        <v>Error?</v>
      </c>
    </row>
    <row r="4139" spans="1:4" x14ac:dyDescent="0.2">
      <c r="A4139" s="5">
        <v>4078</v>
      </c>
      <c r="B4139" s="1783">
        <f>'Acct Summary 7-8'!F19</f>
        <v>1260049</v>
      </c>
      <c r="C4139" s="2" t="s">
        <v>569</v>
      </c>
      <c r="D4139" s="2" t="str">
        <f t="shared" si="63"/>
        <v>Error?</v>
      </c>
    </row>
    <row r="4140" spans="1:4" x14ac:dyDescent="0.2">
      <c r="A4140" s="5">
        <v>4079</v>
      </c>
      <c r="B4140" s="1783">
        <f>'Acct Summary 7-8'!G19</f>
        <v>1270238</v>
      </c>
      <c r="C4140" s="2" t="s">
        <v>569</v>
      </c>
      <c r="D4140" s="2" t="str">
        <f t="shared" si="63"/>
        <v>Error?</v>
      </c>
    </row>
    <row r="4141" spans="1:4" x14ac:dyDescent="0.2">
      <c r="A4141" s="5">
        <v>4080</v>
      </c>
      <c r="B4141" s="1783">
        <f>'Acct Summary 7-8'!H19</f>
        <v>857161</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0</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0</v>
      </c>
      <c r="C4171" s="2" t="s">
        <v>569</v>
      </c>
      <c r="D4171" s="2" t="str">
        <f t="shared" si="64"/>
        <v>Error?</v>
      </c>
    </row>
    <row r="4172" spans="1:4" x14ac:dyDescent="0.2">
      <c r="A4172" s="5">
        <v>4111</v>
      </c>
      <c r="B4172" s="1783">
        <f>'Short-Term Long-Term Debt 24'!J49</f>
        <v>0</v>
      </c>
      <c r="C4172" s="2" t="s">
        <v>569</v>
      </c>
      <c r="D4172" s="2" t="str">
        <f t="shared" si="64"/>
        <v>Error?</v>
      </c>
    </row>
    <row r="4173" spans="1:4" x14ac:dyDescent="0.2">
      <c r="A4173" s="5">
        <v>4112</v>
      </c>
      <c r="B4173" s="1783">
        <f>'Short-Term Long-Term Debt 24'!H49</f>
        <v>0</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2307.5</v>
      </c>
      <c r="C4265" s="2" t="s">
        <v>569</v>
      </c>
      <c r="D4265" s="2" t="str">
        <f t="shared" si="65"/>
        <v>Error?</v>
      </c>
      <c r="E4265" s="125"/>
    </row>
    <row r="4266" spans="1:5" x14ac:dyDescent="0.2">
      <c r="A4266" s="12">
        <v>4205</v>
      </c>
      <c r="B4266" s="1783">
        <f>('FP Info 3'!F10)*100000</f>
        <v>205.3</v>
      </c>
      <c r="C4266" s="2" t="s">
        <v>569</v>
      </c>
      <c r="D4266" s="2" t="str">
        <f t="shared" si="65"/>
        <v>Error?</v>
      </c>
      <c r="E4266" s="125"/>
    </row>
    <row r="4267" spans="1:5" x14ac:dyDescent="0.2">
      <c r="A4267" s="12">
        <v>4206</v>
      </c>
      <c r="B4267" s="1783">
        <f>('FP Info 3'!H10)*100000</f>
        <v>72.099999999999994</v>
      </c>
      <c r="C4267" s="2" t="s">
        <v>569</v>
      </c>
      <c r="D4267" s="2" t="str">
        <f t="shared" si="65"/>
        <v>Error?</v>
      </c>
      <c r="E4267" s="125"/>
    </row>
    <row r="4268" spans="1:5" x14ac:dyDescent="0.2">
      <c r="A4268" s="12">
        <v>4207</v>
      </c>
      <c r="B4268" s="1783">
        <f>('FP Info 3'!J10)*100000</f>
        <v>2585</v>
      </c>
      <c r="C4268" s="2" t="s">
        <v>569</v>
      </c>
      <c r="D4268" s="2" t="str">
        <f t="shared" si="65"/>
        <v>Error?</v>
      </c>
    </row>
    <row r="4269" spans="1:5" x14ac:dyDescent="0.2">
      <c r="A4269" s="12">
        <v>4208</v>
      </c>
      <c r="B4269" s="1783">
        <f>'FP Info 3'!J16</f>
        <v>18352193</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50000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0</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0</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0</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0</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0</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1387997668</v>
      </c>
      <c r="D4995" s="2" t="str">
        <f t="shared" si="77"/>
        <v>Error?</v>
      </c>
    </row>
    <row r="4996" spans="1:4" x14ac:dyDescent="0.2">
      <c r="A4996" s="12">
        <v>4935</v>
      </c>
      <c r="B4996" s="1783">
        <f>'FP Info 3'!H31</f>
        <v>95771839.092000008</v>
      </c>
      <c r="D4996" s="2" t="str">
        <f t="shared" si="77"/>
        <v>Error?</v>
      </c>
    </row>
    <row r="4997" spans="1:4" x14ac:dyDescent="0.2">
      <c r="A4997" s="12">
        <v>4936</v>
      </c>
      <c r="B4997" s="1783">
        <f>'FP Info 3'!H37</f>
        <v>0</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29435889</v>
      </c>
      <c r="D5061" s="2" t="str">
        <f t="shared" si="78"/>
        <v>Error?</v>
      </c>
    </row>
    <row r="5062" spans="1:4" x14ac:dyDescent="0.2">
      <c r="A5062" s="10">
        <v>5001</v>
      </c>
      <c r="B5062" s="1783"/>
      <c r="D5062" s="2" t="str">
        <f t="shared" si="78"/>
        <v>OK</v>
      </c>
    </row>
    <row r="5063" spans="1:4" x14ac:dyDescent="0.2">
      <c r="A5063" s="5">
        <v>5002</v>
      </c>
      <c r="B5063" s="1783">
        <f>'Revenues 9-14'!C7</f>
        <v>0</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29435889</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1314187</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1314187</v>
      </c>
      <c r="C5071" s="2" t="s">
        <v>569</v>
      </c>
      <c r="D5071" s="2" t="str">
        <f t="shared" si="78"/>
        <v>Error?</v>
      </c>
    </row>
    <row r="5072" spans="1:4" x14ac:dyDescent="0.2">
      <c r="A5072" s="5">
        <v>5011</v>
      </c>
      <c r="B5072" s="1783">
        <f>'Revenues 9-14'!C20</f>
        <v>6880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-11672</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0</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-4792</v>
      </c>
      <c r="C5087" s="2" t="s">
        <v>569</v>
      </c>
      <c r="D5087" s="2" t="str">
        <f t="shared" si="78"/>
        <v>Error?</v>
      </c>
    </row>
    <row r="5088" spans="1:4" x14ac:dyDescent="0.2">
      <c r="A5088" s="5">
        <v>5027</v>
      </c>
      <c r="B5088" s="1783">
        <f>'Revenues 9-14'!C65</f>
        <v>342976</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342976</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8045</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246456</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37235</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0</v>
      </c>
      <c r="D5101" s="2" t="str">
        <f t="shared" si="78"/>
        <v>Error?</v>
      </c>
    </row>
    <row r="5102" spans="1:4" x14ac:dyDescent="0.2">
      <c r="A5102" s="5">
        <v>5041</v>
      </c>
      <c r="B5102" s="1783">
        <f>'Revenues 9-14'!C82</f>
        <v>37235</v>
      </c>
      <c r="C5102" s="2" t="s">
        <v>569</v>
      </c>
      <c r="D5102" s="2" t="str">
        <f t="shared" si="78"/>
        <v>Error?</v>
      </c>
    </row>
    <row r="5103" spans="1:4" x14ac:dyDescent="0.2">
      <c r="A5103" s="5">
        <v>5042</v>
      </c>
      <c r="B5103" s="1783">
        <f>'Revenues 9-14'!C84</f>
        <v>211127</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211127</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0</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0</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0</v>
      </c>
      <c r="D5119" s="2" t="str">
        <f t="shared" ref="D5119:D5182" si="79">IF(ISBLANK(B5119),"OK",IF(A5119-B5119=0,"OK","Error?"))</f>
        <v>Error?</v>
      </c>
    </row>
    <row r="5120" spans="1:4" x14ac:dyDescent="0.2">
      <c r="A5120" s="5">
        <v>5059</v>
      </c>
      <c r="B5120" s="1783">
        <f>'Revenues 9-14'!C108</f>
        <v>391704</v>
      </c>
      <c r="C5120" s="2" t="s">
        <v>569</v>
      </c>
      <c r="D5120" s="2" t="str">
        <f t="shared" si="79"/>
        <v>Error?</v>
      </c>
    </row>
    <row r="5121" spans="1:4" x14ac:dyDescent="0.2">
      <c r="A5121" s="5">
        <v>5060</v>
      </c>
      <c r="B5121" s="1783">
        <f>'Revenues 9-14'!C109</f>
        <v>31974782</v>
      </c>
      <c r="C5121" s="2" t="s">
        <v>569</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569</v>
      </c>
      <c r="D5125" s="2" t="str">
        <f t="shared" si="79"/>
        <v>Error?</v>
      </c>
    </row>
    <row r="5126" spans="1:4" x14ac:dyDescent="0.2">
      <c r="A5126" s="5">
        <v>5065</v>
      </c>
      <c r="B5126" s="1783">
        <f>'Revenues 9-14'!C117</f>
        <v>1052823</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1052823</v>
      </c>
      <c r="C5132" s="2" t="s">
        <v>569</v>
      </c>
      <c r="D5132" s="2" t="str">
        <f t="shared" si="79"/>
        <v>Error?</v>
      </c>
    </row>
    <row r="5133" spans="1:4" x14ac:dyDescent="0.2">
      <c r="A5133" s="5">
        <v>5072</v>
      </c>
      <c r="B5133" s="1783">
        <f>'Revenues 9-14'!C125</f>
        <v>26144</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26144</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0</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0</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163</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26307</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1079130</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11200</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2384</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13584</v>
      </c>
      <c r="C5246" s="2" t="s">
        <v>569</v>
      </c>
      <c r="D5246" s="2" t="str">
        <f t="shared" si="80"/>
        <v>Error?</v>
      </c>
    </row>
    <row r="5247" spans="1:4" x14ac:dyDescent="0.2">
      <c r="A5247" s="5">
        <v>5186</v>
      </c>
      <c r="B5247" s="1783">
        <f>'Revenues 9-14'!C200</f>
        <v>70940</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0</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70940</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15856</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440809</v>
      </c>
      <c r="D5278" s="2" t="str">
        <f t="shared" si="81"/>
        <v>Error?</v>
      </c>
    </row>
    <row r="5279" spans="1:4" x14ac:dyDescent="0.2">
      <c r="A5279" s="5">
        <v>5218</v>
      </c>
      <c r="B5279" s="1783">
        <f>'Revenues 9-14'!C214</f>
        <v>70597</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527262</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42192</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721672</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721672</v>
      </c>
      <c r="C5326" s="2" t="s">
        <v>569</v>
      </c>
      <c r="D5326" s="2" t="str">
        <f t="shared" si="82"/>
        <v>Error?</v>
      </c>
    </row>
    <row r="5327" spans="1:5" x14ac:dyDescent="0.2">
      <c r="A5327" s="5">
        <v>5266</v>
      </c>
      <c r="B5327" s="1783">
        <f>'Revenues 9-14'!C268</f>
        <v>33775584</v>
      </c>
      <c r="C5327" s="2" t="s">
        <v>569</v>
      </c>
      <c r="D5327" s="2" t="str">
        <f t="shared" si="82"/>
        <v>Error?</v>
      </c>
    </row>
    <row r="5328" spans="1:5" x14ac:dyDescent="0.2">
      <c r="A5328" s="5">
        <v>5267</v>
      </c>
      <c r="B5328" s="1783">
        <f>'Revenues 9-14'!D5</f>
        <v>2622854</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2622854</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569</v>
      </c>
      <c r="D5339" s="2" t="str">
        <f t="shared" si="82"/>
        <v>Error?</v>
      </c>
    </row>
    <row r="5340" spans="1:4" x14ac:dyDescent="0.2">
      <c r="A5340" s="5">
        <v>5279</v>
      </c>
      <c r="B5340" s="1783">
        <f>'Revenues 9-14'!D65</f>
        <v>34605</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34605</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207370</v>
      </c>
      <c r="D5349" s="2" t="str">
        <f t="shared" si="82"/>
        <v>Error?</v>
      </c>
    </row>
    <row r="5350" spans="1:4" x14ac:dyDescent="0.2">
      <c r="A5350" s="5">
        <v>5289</v>
      </c>
      <c r="B5350" s="1783">
        <f>'Revenues 9-14'!D96</f>
        <v>119210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0</v>
      </c>
      <c r="D5354" s="2" t="str">
        <f t="shared" si="82"/>
        <v>Error?</v>
      </c>
    </row>
    <row r="5355" spans="1:4" x14ac:dyDescent="0.2">
      <c r="A5355" s="5">
        <v>5294</v>
      </c>
      <c r="B5355" s="1783">
        <f>'Revenues 9-14'!D108</f>
        <v>326580</v>
      </c>
      <c r="C5355" s="2" t="s">
        <v>569</v>
      </c>
      <c r="D5355" s="2" t="str">
        <f t="shared" si="82"/>
        <v>Error?</v>
      </c>
    </row>
    <row r="5356" spans="1:4" x14ac:dyDescent="0.2">
      <c r="A5356" s="5">
        <v>5295</v>
      </c>
      <c r="B5356" s="1783">
        <f>'Revenues 9-14'!D109</f>
        <v>2984039</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50000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50000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3034039</v>
      </c>
      <c r="C5508" s="2" t="s">
        <v>569</v>
      </c>
      <c r="D5508" s="2" t="str">
        <f t="shared" si="85"/>
        <v>Error?</v>
      </c>
    </row>
    <row r="5509" spans="1:4" x14ac:dyDescent="0.2">
      <c r="A5509" s="5">
        <v>5448</v>
      </c>
      <c r="B5509" s="1783">
        <f>'Revenues 9-14'!E5</f>
        <v>0</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0</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569</v>
      </c>
      <c r="D5518" s="2" t="str">
        <f t="shared" si="85"/>
        <v>Error?</v>
      </c>
    </row>
    <row r="5519" spans="1:4" x14ac:dyDescent="0.2">
      <c r="A5519" s="5">
        <v>5458</v>
      </c>
      <c r="B5519" s="1783">
        <f>'Revenues 9-14'!E65</f>
        <v>0</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0</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0</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0</v>
      </c>
      <c r="C5552" s="2" t="s">
        <v>569</v>
      </c>
      <c r="D5552" s="2" t="str">
        <f t="shared" si="85"/>
        <v>Error?</v>
      </c>
    </row>
    <row r="5553" spans="1:4" x14ac:dyDescent="0.2">
      <c r="A5553" s="5">
        <v>5492</v>
      </c>
      <c r="B5553" s="1783">
        <f>'Revenues 9-14'!F5</f>
        <v>833512</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833512</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117552</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13407</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130959</v>
      </c>
      <c r="C5579" s="2" t="s">
        <v>569</v>
      </c>
      <c r="D5579" s="2" t="str">
        <f t="shared" si="86"/>
        <v>Error?</v>
      </c>
    </row>
    <row r="5580" spans="1:4" x14ac:dyDescent="0.2">
      <c r="A5580" s="5">
        <v>5519</v>
      </c>
      <c r="B5580" s="1783">
        <f>'Revenues 9-14'!F65</f>
        <v>10979</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10979</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975450</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8922</v>
      </c>
      <c r="D5615" s="2" t="str">
        <f t="shared" si="86"/>
        <v>Error?</v>
      </c>
    </row>
    <row r="5616" spans="1:4" x14ac:dyDescent="0.2">
      <c r="A5616" s="10">
        <v>5555</v>
      </c>
      <c r="B5616" s="1783"/>
      <c r="D5616" s="2" t="str">
        <f t="shared" si="86"/>
        <v>OK</v>
      </c>
    </row>
    <row r="5617" spans="1:5" x14ac:dyDescent="0.2">
      <c r="A5617" s="5">
        <v>5556</v>
      </c>
      <c r="B5617" s="1783">
        <f>'Revenues 9-14'!F153</f>
        <v>323937</v>
      </c>
      <c r="D5617" s="2" t="str">
        <f t="shared" si="86"/>
        <v>Error?</v>
      </c>
    </row>
    <row r="5618" spans="1:5" x14ac:dyDescent="0.2">
      <c r="A5618" s="5">
        <v>5557</v>
      </c>
      <c r="B5618" s="1783">
        <f>'Revenues 9-14'!F155</f>
        <v>332859</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332859</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332859</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1308309</v>
      </c>
      <c r="C5720" s="2" t="s">
        <v>569</v>
      </c>
      <c r="D5720" s="2" t="str">
        <f t="shared" si="88"/>
        <v>Error?</v>
      </c>
    </row>
    <row r="5721" spans="1:4" x14ac:dyDescent="0.2">
      <c r="A5721" s="5">
        <v>5660</v>
      </c>
      <c r="B5721" s="1783">
        <f>'Revenues 9-14'!G5</f>
        <v>570393</v>
      </c>
      <c r="D5721" s="2" t="str">
        <f t="shared" si="88"/>
        <v>Error?</v>
      </c>
    </row>
    <row r="5722" spans="1:4" x14ac:dyDescent="0.2">
      <c r="A5722" s="5">
        <v>5661</v>
      </c>
      <c r="B5722" s="1783">
        <f>'Revenues 9-14'!G7</f>
        <v>0</v>
      </c>
      <c r="D5722" s="2" t="str">
        <f t="shared" si="88"/>
        <v>Error?</v>
      </c>
    </row>
    <row r="5723" spans="1:4" x14ac:dyDescent="0.2">
      <c r="A5723" s="5">
        <v>5662</v>
      </c>
      <c r="B5723" s="1783">
        <f>'Revenues 9-14'!G8</f>
        <v>650930</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1221323</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25000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25000</v>
      </c>
      <c r="C5730" s="2" t="s">
        <v>569</v>
      </c>
      <c r="D5730" s="2" t="str">
        <f t="shared" si="88"/>
        <v>Error?</v>
      </c>
    </row>
    <row r="5731" spans="1:4" x14ac:dyDescent="0.2">
      <c r="A5731" s="5">
        <v>5670</v>
      </c>
      <c r="B5731" s="1783">
        <f>'Revenues 9-14'!G65</f>
        <v>22712</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22712</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1269035</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79</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79</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79</v>
      </c>
      <c r="C5915" s="2" t="s">
        <v>569</v>
      </c>
      <c r="D5915" s="2" t="str">
        <f t="shared" si="91"/>
        <v>Error?</v>
      </c>
    </row>
    <row r="5916" spans="1:4" x14ac:dyDescent="0.2">
      <c r="A5916" s="5">
        <v>5855</v>
      </c>
      <c r="B5916" s="1783">
        <f>'Revenues 9-14'!I5</f>
        <v>0</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0</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136227</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136227</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136227</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0</v>
      </c>
      <c r="C6023" s="2" t="s">
        <v>569</v>
      </c>
      <c r="D6023" s="2" t="str">
        <f t="shared" si="93"/>
        <v>Error?</v>
      </c>
    </row>
    <row r="6024" spans="1:5" x14ac:dyDescent="0.2">
      <c r="A6024" s="5">
        <v>5963</v>
      </c>
      <c r="B6024" s="1783">
        <f>'Revenues 9-14'!G109</f>
        <v>1269035</v>
      </c>
      <c r="C6024" s="2" t="s">
        <v>569</v>
      </c>
      <c r="D6024" s="2" t="str">
        <f t="shared" si="93"/>
        <v>Error?</v>
      </c>
    </row>
    <row r="6025" spans="1:5" x14ac:dyDescent="0.2">
      <c r="A6025" s="5">
        <v>5964</v>
      </c>
      <c r="B6025" s="1783">
        <f>'Revenues 9-14'!H109</f>
        <v>79</v>
      </c>
      <c r="C6025" s="2" t="s">
        <v>569</v>
      </c>
      <c r="D6025" s="2" t="str">
        <f t="shared" si="93"/>
        <v>Error?</v>
      </c>
    </row>
    <row r="6026" spans="1:5" x14ac:dyDescent="0.2">
      <c r="A6026" s="5">
        <v>5965</v>
      </c>
      <c r="B6026" s="1783">
        <f>'Revenues 9-14'!I109</f>
        <v>136227</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0</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238411</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1779.14</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99258</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82322</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0</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0</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167277</v>
      </c>
      <c r="D6142" s="2" t="str">
        <f t="shared" si="94"/>
        <v>Error?</v>
      </c>
      <c r="E6142" s="2" t="s">
        <v>189</v>
      </c>
    </row>
    <row r="6143" spans="1:5" x14ac:dyDescent="0.2">
      <c r="A6143">
        <v>6082</v>
      </c>
      <c r="B6143" s="1783">
        <f>'Assets-Liab 5-6'!D27</f>
        <v>10857</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15888</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239510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34712</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0</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0</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0</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0</v>
      </c>
      <c r="D6216" s="2" t="str">
        <f t="shared" si="96"/>
        <v>Error?</v>
      </c>
      <c r="E6216" s="2" t="s">
        <v>189</v>
      </c>
    </row>
    <row r="6217" spans="1:5" x14ac:dyDescent="0.2">
      <c r="A6217">
        <v>6156</v>
      </c>
      <c r="B6217" s="1783">
        <f>'Assets-Liab 5-6'!J4</f>
        <v>0</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0</v>
      </c>
      <c r="D6219" s="2" t="str">
        <f t="shared" si="96"/>
        <v>Error?</v>
      </c>
      <c r="E6219" s="2" t="s">
        <v>189</v>
      </c>
    </row>
    <row r="6220" spans="1:5" x14ac:dyDescent="0.2">
      <c r="A6220">
        <v>6159</v>
      </c>
      <c r="B6220" s="1783">
        <f>'Acct Summary 7-8'!J4</f>
        <v>0</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0</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0</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0</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0</v>
      </c>
      <c r="D6229" s="2" t="str">
        <f t="shared" si="96"/>
        <v>Error?</v>
      </c>
      <c r="E6229" s="2" t="s">
        <v>189</v>
      </c>
    </row>
    <row r="6230" spans="1:5" x14ac:dyDescent="0.2">
      <c r="A6230">
        <v>6169</v>
      </c>
      <c r="B6230" s="1783">
        <f>'Acct Summary 7-8'!J20</f>
        <v>0</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0</v>
      </c>
      <c r="D6263" s="2" t="str">
        <f t="shared" si="96"/>
        <v>Error?</v>
      </c>
      <c r="E6263" s="2" t="s">
        <v>189</v>
      </c>
    </row>
    <row r="6264" spans="1:5" x14ac:dyDescent="0.2">
      <c r="A6264">
        <v>6203</v>
      </c>
      <c r="B6264" s="1783">
        <f>'Acct Summary 7-8'!J79</f>
        <v>0</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0</v>
      </c>
      <c r="D6266" s="2" t="str">
        <f t="shared" si="96"/>
        <v>Error?</v>
      </c>
      <c r="E6266" s="2" t="s">
        <v>189</v>
      </c>
    </row>
    <row r="6267" spans="1:5" x14ac:dyDescent="0.2">
      <c r="A6267">
        <v>6206</v>
      </c>
      <c r="B6267" s="1783">
        <f>'Acct Summary 7-8'!C82</f>
        <v>-1933786</v>
      </c>
      <c r="D6267" s="2" t="str">
        <f t="shared" si="96"/>
        <v>Error?</v>
      </c>
      <c r="E6267" s="2" t="s">
        <v>189</v>
      </c>
    </row>
    <row r="6268" spans="1:5" x14ac:dyDescent="0.2">
      <c r="A6268">
        <v>6207</v>
      </c>
      <c r="B6268" s="1783">
        <f>'Acct Summary 7-8'!D82</f>
        <v>-256033</v>
      </c>
      <c r="D6268" s="2" t="str">
        <f t="shared" si="96"/>
        <v>Error?</v>
      </c>
      <c r="E6268" s="2" t="s">
        <v>189</v>
      </c>
    </row>
    <row r="6269" spans="1:5" x14ac:dyDescent="0.2">
      <c r="A6269">
        <v>6208</v>
      </c>
      <c r="B6269" s="1783">
        <f>'Acct Summary 7-8'!E82</f>
        <v>0</v>
      </c>
      <c r="D6269" s="2" t="str">
        <f t="shared" si="96"/>
        <v>Error?</v>
      </c>
      <c r="E6269" s="2" t="s">
        <v>189</v>
      </c>
    </row>
    <row r="6270" spans="1:5" x14ac:dyDescent="0.2">
      <c r="A6270">
        <v>6209</v>
      </c>
      <c r="B6270" s="1783">
        <f>'Acct Summary 7-8'!F82</f>
        <v>48260</v>
      </c>
      <c r="D6270" s="2" t="str">
        <f t="shared" si="96"/>
        <v>Error?</v>
      </c>
      <c r="E6270" s="2" t="s">
        <v>189</v>
      </c>
    </row>
    <row r="6271" spans="1:5" x14ac:dyDescent="0.2">
      <c r="A6271">
        <v>6210</v>
      </c>
      <c r="B6271" s="1783">
        <f>'Acct Summary 7-8'!G82</f>
        <v>-1203</v>
      </c>
      <c r="D6271" s="2" t="str">
        <f t="shared" ref="D6271:D6334" si="97">IF(ISBLANK(B6271),"OK",IF(A6271-B6271=0,"OK","Error?"))</f>
        <v>Error?</v>
      </c>
      <c r="E6271" s="2" t="s">
        <v>189</v>
      </c>
    </row>
    <row r="6272" spans="1:5" x14ac:dyDescent="0.2">
      <c r="A6272">
        <v>6211</v>
      </c>
      <c r="B6272" s="1783">
        <f>'Acct Summary 7-8'!H82</f>
        <v>0</v>
      </c>
      <c r="D6272" s="2" t="str">
        <f t="shared" si="97"/>
        <v>Error?</v>
      </c>
      <c r="E6272" s="2" t="s">
        <v>189</v>
      </c>
    </row>
    <row r="6273" spans="1:5" x14ac:dyDescent="0.2">
      <c r="A6273">
        <v>6212</v>
      </c>
      <c r="B6273" s="1783">
        <f>'Acct Summary 7-8'!I82</f>
        <v>136227</v>
      </c>
      <c r="D6273" s="2" t="str">
        <f t="shared" si="97"/>
        <v>Error?</v>
      </c>
      <c r="E6273" s="2" t="s">
        <v>189</v>
      </c>
    </row>
    <row r="6274" spans="1:5" x14ac:dyDescent="0.2">
      <c r="A6274">
        <v>6213</v>
      </c>
      <c r="B6274" s="1783">
        <f>'Acct Summary 7-8'!J82</f>
        <v>0</v>
      </c>
      <c r="D6274" s="2" t="str">
        <f t="shared" si="97"/>
        <v>Error?</v>
      </c>
      <c r="E6274" s="2" t="s">
        <v>189</v>
      </c>
    </row>
    <row r="6275" spans="1:5" x14ac:dyDescent="0.2">
      <c r="A6275">
        <v>6214</v>
      </c>
      <c r="B6275" s="1783">
        <f>'Acct Summary 7-8'!K82</f>
        <v>0</v>
      </c>
      <c r="D6275" s="2" t="str">
        <f t="shared" si="97"/>
        <v>Error?</v>
      </c>
      <c r="E6275" s="2" t="s">
        <v>189</v>
      </c>
    </row>
    <row r="6276" spans="1:5" x14ac:dyDescent="0.2">
      <c r="A6276">
        <v>6215</v>
      </c>
      <c r="B6276" s="1783">
        <f>'Acct Summary 7-8'!C83</f>
        <v>-0.19794037343424017</v>
      </c>
      <c r="D6276" s="2" t="str">
        <f t="shared" si="97"/>
        <v>Error?</v>
      </c>
      <c r="E6276" s="2" t="s">
        <v>189</v>
      </c>
    </row>
    <row r="6277" spans="1:5" x14ac:dyDescent="0.2">
      <c r="A6277">
        <v>6216</v>
      </c>
      <c r="B6277" s="1783">
        <f>'Acct Summary 7-8'!D83</f>
        <v>-0.17393416217677721</v>
      </c>
      <c r="D6277" s="2" t="str">
        <f t="shared" si="97"/>
        <v>Error?</v>
      </c>
      <c r="E6277" s="2" t="s">
        <v>189</v>
      </c>
    </row>
    <row r="6278" spans="1:5" x14ac:dyDescent="0.2">
      <c r="A6278">
        <v>6217</v>
      </c>
      <c r="B6278" s="1783" t="e">
        <f>'Acct Summary 7-8'!E83</f>
        <v>#DIV/0!</v>
      </c>
      <c r="D6278" s="2" t="e">
        <f t="shared" si="97"/>
        <v>#DIV/0!</v>
      </c>
      <c r="E6278" s="2" t="s">
        <v>189</v>
      </c>
    </row>
    <row r="6279" spans="1:5" x14ac:dyDescent="0.2">
      <c r="A6279">
        <v>6218</v>
      </c>
      <c r="B6279" s="1783">
        <f>'Acct Summary 7-8'!F83</f>
        <v>9.9494076948133614E-2</v>
      </c>
      <c r="D6279" s="2" t="str">
        <f t="shared" si="97"/>
        <v>Error?</v>
      </c>
      <c r="E6279" s="2" t="s">
        <v>189</v>
      </c>
    </row>
    <row r="6280" spans="1:5" x14ac:dyDescent="0.2">
      <c r="A6280">
        <v>6219</v>
      </c>
      <c r="B6280" s="1783">
        <f>'Acct Summary 7-8'!G83</f>
        <v>-1.3254796186849655E-3</v>
      </c>
      <c r="D6280" s="2" t="str">
        <f t="shared" si="97"/>
        <v>Error?</v>
      </c>
      <c r="E6280" s="2" t="s">
        <v>189</v>
      </c>
    </row>
    <row r="6281" spans="1:5" x14ac:dyDescent="0.2">
      <c r="A6281">
        <v>6220</v>
      </c>
      <c r="B6281" s="1783" t="e">
        <f>'Acct Summary 7-8'!H83</f>
        <v>#DIV/0!</v>
      </c>
      <c r="D6281" s="2" t="e">
        <f t="shared" si="97"/>
        <v>#DIV/0!</v>
      </c>
      <c r="E6281" s="2" t="s">
        <v>189</v>
      </c>
    </row>
    <row r="6282" spans="1:5" x14ac:dyDescent="0.2">
      <c r="A6282">
        <v>6221</v>
      </c>
      <c r="B6282" s="1783">
        <f>'Acct Summary 7-8'!I83</f>
        <v>2.0560734968508465E-2</v>
      </c>
      <c r="D6282" s="2" t="str">
        <f t="shared" si="97"/>
        <v>Error?</v>
      </c>
      <c r="E6282" s="2" t="s">
        <v>189</v>
      </c>
    </row>
    <row r="6283" spans="1:5" x14ac:dyDescent="0.2">
      <c r="A6283">
        <v>6222</v>
      </c>
      <c r="B6283" s="1783" t="e">
        <f>'Acct Summary 7-8'!J83</f>
        <v>#DIV/0!</v>
      </c>
      <c r="D6283" s="2" t="e">
        <f t="shared" si="97"/>
        <v>#DIV/0!</v>
      </c>
      <c r="E6283" s="2" t="s">
        <v>189</v>
      </c>
    </row>
    <row r="6284" spans="1:5" x14ac:dyDescent="0.2">
      <c r="A6284">
        <v>6223</v>
      </c>
      <c r="B6284" s="1783" t="e">
        <f>'Acct Summary 7-8'!K83</f>
        <v>#DIV/0!</v>
      </c>
      <c r="D6284" s="2" t="e">
        <f t="shared" si="97"/>
        <v>#DIV/0!</v>
      </c>
      <c r="E6284" s="2" t="s">
        <v>189</v>
      </c>
    </row>
    <row r="6285" spans="1:5" x14ac:dyDescent="0.2">
      <c r="A6285">
        <v>6224</v>
      </c>
      <c r="B6285" s="1783">
        <f>'Acct Summary 7-8'!E37</f>
        <v>0</v>
      </c>
      <c r="D6285" s="2" t="str">
        <f t="shared" si="97"/>
        <v>Error?</v>
      </c>
      <c r="E6285" s="2" t="s">
        <v>189</v>
      </c>
    </row>
    <row r="6286" spans="1:5" x14ac:dyDescent="0.2">
      <c r="A6286">
        <v>6225</v>
      </c>
      <c r="B6286" s="1783">
        <f>'Acct Summary 7-8'!E38</f>
        <v>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857082</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0</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0</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0</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0</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391704</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0</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543292</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0</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5969</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567894</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1600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0</v>
      </c>
      <c r="D6880" s="2" t="str">
        <f t="shared" si="106"/>
        <v>Error?</v>
      </c>
    </row>
    <row r="6881" spans="1:4" x14ac:dyDescent="0.2">
      <c r="A6881">
        <v>6820</v>
      </c>
      <c r="B6881" s="1783">
        <f>'Expenditures 15-22'!K22</f>
        <v>0</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550861</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8754</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8754</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3635</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3635</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2989</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2989</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0</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15378</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0</v>
      </c>
      <c r="D6983" s="2" t="str">
        <f t="shared" si="108"/>
        <v>Error?</v>
      </c>
    </row>
    <row r="6984" spans="1:4" x14ac:dyDescent="0.2">
      <c r="A6984">
        <v>6923</v>
      </c>
      <c r="B6984" s="1783">
        <f>'Expenditures 15-22'!K86</f>
        <v>0</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0</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566239</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26430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26430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26430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26430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0</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0</v>
      </c>
      <c r="D7073" s="2" t="str">
        <f t="shared" si="109"/>
        <v>Error?</v>
      </c>
    </row>
    <row r="7074" spans="1:4" x14ac:dyDescent="0.2">
      <c r="A7074">
        <v>7013</v>
      </c>
      <c r="B7074" s="1783">
        <f>'Expenditures 15-22'!K216</f>
        <v>0</v>
      </c>
      <c r="D7074" s="2" t="str">
        <f t="shared" si="109"/>
        <v>Error?</v>
      </c>
    </row>
    <row r="7075" spans="1:4" x14ac:dyDescent="0.2">
      <c r="A7075">
        <v>7014</v>
      </c>
      <c r="B7075" s="1783">
        <f>'Expenditures 15-22'!D218</f>
        <v>25653</v>
      </c>
      <c r="D7075" s="2" t="str">
        <f t="shared" si="109"/>
        <v>Error?</v>
      </c>
    </row>
    <row r="7076" spans="1:4" x14ac:dyDescent="0.2">
      <c r="A7076">
        <v>7015</v>
      </c>
      <c r="B7076" s="1783">
        <f>'Expenditures 15-22'!K218</f>
        <v>25653</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0</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0</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421612</v>
      </c>
      <c r="D7251" s="2" t="str">
        <f t="shared" si="112"/>
        <v>Error?</v>
      </c>
    </row>
    <row r="7252" spans="1:4" x14ac:dyDescent="0.2">
      <c r="A7252">
        <f t="shared" si="113"/>
        <v>7191</v>
      </c>
      <c r="B7252" s="1783">
        <f>'Expenditures 15-22'!D9</f>
        <v>124584</v>
      </c>
      <c r="D7252" s="2" t="str">
        <f t="shared" si="112"/>
        <v>Error?</v>
      </c>
    </row>
    <row r="7253" spans="1:4" x14ac:dyDescent="0.2">
      <c r="A7253">
        <f t="shared" si="113"/>
        <v>7192</v>
      </c>
      <c r="B7253" s="1783">
        <f>'Expenditures 15-22'!E9</f>
        <v>2123</v>
      </c>
      <c r="D7253" s="2" t="str">
        <f t="shared" si="112"/>
        <v>Error?</v>
      </c>
    </row>
    <row r="7254" spans="1:4" x14ac:dyDescent="0.2">
      <c r="A7254">
        <f t="shared" si="113"/>
        <v>7193</v>
      </c>
      <c r="B7254" s="1783">
        <f>'Expenditures 15-22'!F9</f>
        <v>13606</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592669</v>
      </c>
      <c r="D7624" s="2" t="str">
        <f t="shared" si="124"/>
        <v>Error?</v>
      </c>
      <c r="E7624" s="2" t="s">
        <v>19</v>
      </c>
    </row>
    <row r="7625" spans="1:5" x14ac:dyDescent="0.2">
      <c r="A7625">
        <f t="shared" si="123"/>
        <v>7564</v>
      </c>
      <c r="B7625" s="1783">
        <f>'Cap Outlay Deprec 26'!I17</f>
        <v>59266.9</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1588032.9</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0</v>
      </c>
      <c r="D7685" s="2" t="str">
        <f t="shared" si="126"/>
        <v>Error?</v>
      </c>
      <c r="E7685" s="2" t="s">
        <v>822</v>
      </c>
    </row>
    <row r="7686" spans="1:5" x14ac:dyDescent="0.2">
      <c r="A7686">
        <v>7625</v>
      </c>
      <c r="B7686" s="1783">
        <f>'Acct Summary 7-8'!D73</f>
        <v>857082</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0</v>
      </c>
      <c r="D7706" s="2" t="str">
        <f t="shared" si="126"/>
        <v>Error?</v>
      </c>
      <c r="E7706" s="2" t="s">
        <v>822</v>
      </c>
    </row>
    <row r="7707" spans="1:5" x14ac:dyDescent="0.2">
      <c r="A7707">
        <v>7646</v>
      </c>
      <c r="B7707" s="1783">
        <f>'Expenditures 15-22'!I64</f>
        <v>0</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0</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359002</v>
      </c>
      <c r="D7759" s="2" t="str">
        <f t="shared" si="127"/>
        <v>Error?</v>
      </c>
      <c r="E7759" s="4" t="s">
        <v>1324</v>
      </c>
    </row>
    <row r="7760" spans="1:6" x14ac:dyDescent="0.2">
      <c r="A7760">
        <v>7699</v>
      </c>
      <c r="B7760" s="1783">
        <f>'Aud Quest 2'!J90</f>
        <v>359002</v>
      </c>
      <c r="D7760" s="2" t="str">
        <f t="shared" si="127"/>
        <v>Error?</v>
      </c>
      <c r="E7760" s="4" t="s">
        <v>1324</v>
      </c>
    </row>
    <row r="7761" spans="1:5" x14ac:dyDescent="0.2">
      <c r="A7761">
        <v>7700</v>
      </c>
      <c r="B7761" s="1783">
        <f>'Revenues 9-14'!C253</f>
        <v>25243</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42451</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0</v>
      </c>
      <c r="D7817" s="2" t="str">
        <f t="shared" si="128"/>
        <v>Error?</v>
      </c>
      <c r="E7817" s="4" t="s">
        <v>1969</v>
      </c>
    </row>
    <row r="7818" spans="1:5" x14ac:dyDescent="0.2">
      <c r="A7818">
        <v>7757</v>
      </c>
      <c r="B7818" s="1783">
        <f>'PCTC-OEPP 27-28'!F172</f>
        <v>609494.16</v>
      </c>
      <c r="D7818" s="2" t="str">
        <f t="shared" si="128"/>
        <v>Error?</v>
      </c>
      <c r="E7818" s="4" t="s">
        <v>1983</v>
      </c>
    </row>
    <row r="7819" spans="1:5" x14ac:dyDescent="0.2">
      <c r="A7819">
        <v>7758</v>
      </c>
      <c r="B7819" s="1783">
        <f>'PCTC-OEPP 27-28'!F173</f>
        <v>24783.16</v>
      </c>
      <c r="D7819" s="2" t="str">
        <f t="shared" si="128"/>
        <v>Error?</v>
      </c>
      <c r="E7819" s="4" t="s">
        <v>1983</v>
      </c>
    </row>
    <row r="7820" spans="1:5" x14ac:dyDescent="0.2">
      <c r="A7820">
        <v>7759</v>
      </c>
      <c r="B7820" s="1783">
        <f>'ICR Computation 30'!E40</f>
        <v>-1813635</v>
      </c>
      <c r="D7820" s="2" t="str">
        <f t="shared" si="128"/>
        <v>Error?</v>
      </c>
    </row>
    <row r="7821" spans="1:5" x14ac:dyDescent="0.2">
      <c r="A7821">
        <v>7760</v>
      </c>
      <c r="B7821" s="1783">
        <f>'ICR Computation 30'!G40</f>
        <v>-1813635</v>
      </c>
      <c r="D7821" s="2" t="str">
        <f t="shared" si="128"/>
        <v>Error?</v>
      </c>
    </row>
    <row r="7822" spans="1:5" x14ac:dyDescent="0.2">
      <c r="A7822" s="1">
        <v>7761</v>
      </c>
      <c r="B7822" s="1783">
        <f>'PCTC-OEPP 27-28'!F14</f>
        <v>40672647</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0</v>
      </c>
      <c r="D7826" s="2" t="str">
        <f t="shared" si="129"/>
        <v>Error?</v>
      </c>
      <c r="E7826" s="4" t="s">
        <v>2001</v>
      </c>
    </row>
    <row r="7827" spans="1:5" x14ac:dyDescent="0.2">
      <c r="A7827">
        <v>7766</v>
      </c>
      <c r="B7827" s="1783">
        <f>'PCTC-OEPP 27-28'!F35</f>
        <v>561925</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82533</v>
      </c>
      <c r="D7830" s="2" t="str">
        <f t="shared" si="129"/>
        <v>Error?</v>
      </c>
      <c r="E7830" s="4" t="s">
        <v>2001</v>
      </c>
    </row>
    <row r="7831" spans="1:5" x14ac:dyDescent="0.2">
      <c r="A7831">
        <v>7770</v>
      </c>
      <c r="B7831" s="1783">
        <f>'PCTC-OEPP 27-28'!F52</f>
        <v>213982</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3096057</v>
      </c>
      <c r="D7834" s="2" t="str">
        <f t="shared" si="129"/>
        <v>Error?</v>
      </c>
      <c r="E7834" s="4" t="s">
        <v>2001</v>
      </c>
    </row>
    <row r="7835" spans="1:5" x14ac:dyDescent="0.2">
      <c r="A7835">
        <v>7774</v>
      </c>
      <c r="B7835" s="1783">
        <f>'PCTC-OEPP 27-28'!F78</f>
        <v>37576590</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f>'PCTC-OEPP 27-28'!F80</f>
        <v>21120.648178333351</v>
      </c>
      <c r="D7837" s="2" t="str">
        <f t="shared" si="129"/>
        <v>Error?</v>
      </c>
      <c r="E7837" s="4" t="s">
        <v>2001</v>
      </c>
    </row>
    <row r="7838" spans="1:5" x14ac:dyDescent="0.2">
      <c r="A7838">
        <v>7777</v>
      </c>
      <c r="B7838" s="1783">
        <f>'PCTC-OEPP 27-28'!F96</f>
        <v>37235</v>
      </c>
      <c r="D7838" s="2" t="str">
        <f t="shared" si="129"/>
        <v>Error?</v>
      </c>
      <c r="E7838" s="4" t="s">
        <v>2001</v>
      </c>
    </row>
    <row r="7839" spans="1:5" x14ac:dyDescent="0.2">
      <c r="A7839">
        <v>7778</v>
      </c>
      <c r="B7839" s="1783">
        <f>'PCTC-OEPP 27-28'!F102</f>
        <v>207370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26144</v>
      </c>
      <c r="D7842" s="2" t="str">
        <f t="shared" si="129"/>
        <v>Error?</v>
      </c>
      <c r="E7842" s="4" t="s">
        <v>2001</v>
      </c>
    </row>
    <row r="7843" spans="1:5" x14ac:dyDescent="0.2">
      <c r="A7843">
        <v>7782</v>
      </c>
      <c r="B7843" s="1783">
        <f>'PCTC-OEPP 27-28'!F107</f>
        <v>0</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332859</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0</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13584</v>
      </c>
      <c r="D7858" s="2" t="str">
        <f t="shared" si="129"/>
        <v>Error?</v>
      </c>
      <c r="E7858" s="4" t="s">
        <v>2001</v>
      </c>
    </row>
    <row r="7859" spans="1:5" x14ac:dyDescent="0.2">
      <c r="A7859">
        <v>7798</v>
      </c>
      <c r="B7859" s="1783">
        <f>'PCTC-OEPP 27-28'!F127</f>
        <v>70940</v>
      </c>
      <c r="D7859" s="2" t="str">
        <f t="shared" si="129"/>
        <v>Error?</v>
      </c>
      <c r="E7859" s="4" t="s">
        <v>2001</v>
      </c>
    </row>
    <row r="7860" spans="1:5" x14ac:dyDescent="0.2">
      <c r="A7860">
        <v>7799</v>
      </c>
      <c r="B7860" s="1783">
        <f>'PCTC-OEPP 27-28'!F128</f>
        <v>0</v>
      </c>
      <c r="D7860" s="2" t="str">
        <f t="shared" si="129"/>
        <v>Error?</v>
      </c>
      <c r="E7860" s="4" t="s">
        <v>2001</v>
      </c>
    </row>
    <row r="7861" spans="1:5" x14ac:dyDescent="0.2">
      <c r="A7861">
        <v>7800</v>
      </c>
      <c r="B7861" s="1783">
        <f>'PCTC-OEPP 27-28'!F129</f>
        <v>440809</v>
      </c>
      <c r="D7861" s="2" t="str">
        <f t="shared" si="129"/>
        <v>Error?</v>
      </c>
      <c r="E7861" s="4" t="s">
        <v>2001</v>
      </c>
    </row>
    <row r="7862" spans="1:5" x14ac:dyDescent="0.2">
      <c r="A7862">
        <v>7801</v>
      </c>
      <c r="B7862" s="1783">
        <f>'PCTC-OEPP 27-28'!F130</f>
        <v>70597</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0</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42451</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42192</v>
      </c>
      <c r="D7871" s="2" t="str">
        <f t="shared" si="129"/>
        <v>Error?</v>
      </c>
      <c r="E7871" s="4" t="s">
        <v>2001</v>
      </c>
    </row>
    <row r="7872" spans="1:5" x14ac:dyDescent="0.2">
      <c r="A7872">
        <v>7811</v>
      </c>
      <c r="B7872" s="1783">
        <f>'PCTC-OEPP 27-28'!F165</f>
        <v>0</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0</v>
      </c>
      <c r="D7874" s="2" t="str">
        <f t="shared" si="129"/>
        <v>Error?</v>
      </c>
      <c r="E7874" s="4" t="s">
        <v>2001</v>
      </c>
    </row>
    <row r="7875" spans="1:5" x14ac:dyDescent="0.2">
      <c r="A7875">
        <v>7814</v>
      </c>
      <c r="B7875" s="1783">
        <f>'PCTC-OEPP 27-28'!F170</f>
        <v>0</v>
      </c>
      <c r="D7875" s="2" t="str">
        <f t="shared" si="129"/>
        <v>Error?</v>
      </c>
      <c r="E7875" s="4" t="s">
        <v>2001</v>
      </c>
    </row>
    <row r="7876" spans="1:5" x14ac:dyDescent="0.2">
      <c r="A7876">
        <v>7815</v>
      </c>
      <c r="B7876" s="1783">
        <f>'PCTC-OEPP 27-28'!F171</f>
        <v>0</v>
      </c>
      <c r="D7876" s="2" t="str">
        <f t="shared" si="129"/>
        <v>Error?</v>
      </c>
      <c r="E7876" s="4" t="s">
        <v>2001</v>
      </c>
    </row>
    <row r="7877" spans="1:5" x14ac:dyDescent="0.2">
      <c r="A7877">
        <v>7816</v>
      </c>
      <c r="B7877" s="1783">
        <f>'PCTC-OEPP 27-28'!F175</f>
        <v>2582406.3200000003</v>
      </c>
      <c r="D7877" s="2" t="str">
        <f t="shared" si="129"/>
        <v>Error?</v>
      </c>
      <c r="E7877" s="4" t="s">
        <v>2001</v>
      </c>
    </row>
    <row r="7878" spans="1:5" x14ac:dyDescent="0.2">
      <c r="A7878">
        <v>7817</v>
      </c>
      <c r="B7878" s="1783">
        <f>'PCTC-OEPP 27-28'!F176</f>
        <v>34994183.68</v>
      </c>
      <c r="D7878" s="2" t="str">
        <f t="shared" si="129"/>
        <v>Error?</v>
      </c>
      <c r="E7878" s="4" t="s">
        <v>2001</v>
      </c>
    </row>
    <row r="7879" spans="1:5" x14ac:dyDescent="0.2">
      <c r="A7879">
        <v>7818</v>
      </c>
      <c r="B7879" s="1783">
        <f>'PCTC-OEPP 27-28'!F178</f>
        <v>36582216.579999998</v>
      </c>
      <c r="D7879" s="2" t="str">
        <f t="shared" si="129"/>
        <v>Error?</v>
      </c>
      <c r="E7879" s="4" t="s">
        <v>2001</v>
      </c>
    </row>
    <row r="7880" spans="1:5" x14ac:dyDescent="0.2">
      <c r="A7880">
        <v>7819</v>
      </c>
      <c r="B7880" s="1783">
        <f>'PCTC-OEPP 27-28'!F180</f>
        <v>20561.741391908447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01" t="s">
        <v>1183</v>
      </c>
      <c r="B2" s="2501"/>
      <c r="C2" s="2501"/>
      <c r="D2" s="2501"/>
      <c r="E2" s="2501"/>
      <c r="F2" s="2501"/>
      <c r="G2" s="2501"/>
      <c r="H2" s="2501"/>
      <c r="I2" s="2501"/>
      <c r="J2" s="2501"/>
      <c r="K2" s="2501"/>
      <c r="L2" s="2501"/>
    </row>
    <row r="3" spans="1:29" ht="13.5" customHeight="1" x14ac:dyDescent="0.2">
      <c r="A3" s="2533" t="s">
        <v>1182</v>
      </c>
      <c r="B3" s="2533"/>
      <c r="C3" s="2533"/>
      <c r="D3" s="2533"/>
      <c r="E3" s="2533"/>
      <c r="F3" s="2533"/>
      <c r="G3" s="2533"/>
      <c r="H3" s="2533"/>
      <c r="I3" s="2533"/>
      <c r="J3" s="2533"/>
      <c r="K3" s="2533"/>
      <c r="L3" s="2533"/>
    </row>
    <row r="4" spans="1:29" ht="13.5" customHeight="1" x14ac:dyDescent="0.2">
      <c r="A4" s="2522" t="str">
        <f>"Year Ending June 30, "&amp;'AFR20'!E2</f>
        <v>Year Ending June 30, 2020</v>
      </c>
      <c r="B4" s="2523"/>
      <c r="C4" s="2523"/>
      <c r="D4" s="2523"/>
      <c r="E4" s="2523"/>
      <c r="F4" s="2523"/>
      <c r="G4" s="2523"/>
      <c r="H4" s="2523"/>
      <c r="I4" s="2523"/>
      <c r="J4" s="2523"/>
      <c r="K4" s="2523"/>
      <c r="L4" s="2523"/>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24" t="str">
        <f>COVER!A17</f>
        <v>Northbrook SD 28</v>
      </c>
      <c r="B7" s="2525"/>
      <c r="C7" s="2525"/>
      <c r="D7" s="2526"/>
      <c r="E7" s="2527" t="str">
        <f>COVER!A13</f>
        <v>05-016-0280-02</v>
      </c>
      <c r="F7" s="2528"/>
      <c r="G7" s="2534" t="str">
        <f>COVER!T23</f>
        <v>065-033233</v>
      </c>
      <c r="H7" s="2535"/>
      <c r="I7" s="2535"/>
      <c r="J7" s="2535"/>
      <c r="K7" s="2535"/>
      <c r="L7" s="2536"/>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37"/>
      <c r="B9" s="2538"/>
      <c r="C9" s="2538"/>
      <c r="D9" s="2538"/>
      <c r="E9" s="2538"/>
      <c r="F9" s="2539"/>
      <c r="G9" s="2507" t="str">
        <f>COVER!T13</f>
        <v>Lauterbach &amp; Amen, LLP</v>
      </c>
      <c r="H9" s="2540"/>
      <c r="I9" s="2540"/>
      <c r="J9" s="2540"/>
      <c r="K9" s="2540"/>
      <c r="L9" s="2541"/>
    </row>
    <row r="10" spans="1:29" ht="13.5" customHeight="1" x14ac:dyDescent="0.2">
      <c r="A10" s="2513" t="str">
        <f>COVER!A38</f>
        <v>Larry Hewitt</v>
      </c>
      <c r="B10" s="2514"/>
      <c r="C10" s="2514"/>
      <c r="D10" s="2514"/>
      <c r="E10" s="2514"/>
      <c r="F10" s="2515"/>
      <c r="G10" s="2507" t="str">
        <f>COVER!T17</f>
        <v>668 N River Road</v>
      </c>
      <c r="H10" s="2508"/>
      <c r="I10" s="2508"/>
      <c r="J10" s="2508"/>
      <c r="K10" s="2508"/>
      <c r="L10" s="2509"/>
    </row>
    <row r="11" spans="1:29" ht="13.5" customHeight="1" x14ac:dyDescent="0.2">
      <c r="A11" s="914" t="s">
        <v>1505</v>
      </c>
      <c r="B11" s="915"/>
      <c r="C11" s="916"/>
      <c r="D11" s="921"/>
      <c r="E11" s="916"/>
      <c r="F11" s="920"/>
      <c r="G11" s="2507" t="str">
        <f>COVER!T19</f>
        <v>Naperville</v>
      </c>
      <c r="H11" s="2508"/>
      <c r="I11" s="2508"/>
      <c r="J11" s="2508"/>
      <c r="K11" s="2508"/>
      <c r="L11" s="2509"/>
    </row>
    <row r="12" spans="1:29" ht="13.5" customHeight="1" x14ac:dyDescent="0.2">
      <c r="A12" s="2516" t="s">
        <v>1504</v>
      </c>
      <c r="B12" s="2517"/>
      <c r="C12" s="2517"/>
      <c r="D12" s="2517"/>
      <c r="E12" s="2517"/>
      <c r="F12" s="2518"/>
      <c r="G12" s="2510"/>
      <c r="H12" s="2511"/>
      <c r="I12" s="2511"/>
      <c r="J12" s="2511"/>
      <c r="K12" s="2511"/>
      <c r="L12" s="2512"/>
    </row>
    <row r="13" spans="1:29" ht="13.5" customHeight="1" x14ac:dyDescent="0.2">
      <c r="A13" s="2507"/>
      <c r="B13" s="2508"/>
      <c r="C13" s="2508"/>
      <c r="D13" s="2508"/>
      <c r="E13" s="2508"/>
      <c r="F13" s="2509"/>
      <c r="G13" s="2502" t="s">
        <v>1506</v>
      </c>
      <c r="H13" s="2503"/>
      <c r="I13" s="2519">
        <f>COVER!T25</f>
        <v>0</v>
      </c>
      <c r="J13" s="2520"/>
      <c r="K13" s="2520"/>
      <c r="L13" s="2521"/>
    </row>
    <row r="14" spans="1:29" ht="13.5" customHeight="1" x14ac:dyDescent="0.2">
      <c r="A14" s="2507" t="str">
        <f>COVER!A19</f>
        <v>1475 Maple Avenue</v>
      </c>
      <c r="B14" s="2508"/>
      <c r="C14" s="2508"/>
      <c r="D14" s="2508"/>
      <c r="E14" s="2508"/>
      <c r="F14" s="2509"/>
      <c r="G14" s="925" t="s">
        <v>1177</v>
      </c>
      <c r="H14" s="923"/>
      <c r="I14" s="923"/>
      <c r="J14" s="923"/>
      <c r="K14" s="923"/>
      <c r="L14" s="924"/>
    </row>
    <row r="15" spans="1:29" ht="13.5" customHeight="1" x14ac:dyDescent="0.2">
      <c r="A15" s="2507" t="str">
        <f>COVER!A21</f>
        <v>Northbrook</v>
      </c>
      <c r="B15" s="2508"/>
      <c r="C15" s="2508"/>
      <c r="D15" s="2508"/>
      <c r="E15" s="2508"/>
      <c r="F15" s="2509"/>
      <c r="G15" s="2504" t="str">
        <f>COVER!T15</f>
        <v>Matt Beran</v>
      </c>
      <c r="H15" s="2505"/>
      <c r="I15" s="2505"/>
      <c r="J15" s="2505"/>
      <c r="K15" s="2505"/>
      <c r="L15" s="2506"/>
    </row>
    <row r="16" spans="1:29" ht="12.2" customHeight="1" x14ac:dyDescent="0.2">
      <c r="A16" s="2530">
        <f>COVER!A25</f>
        <v>60062</v>
      </c>
      <c r="B16" s="2531"/>
      <c r="C16" s="2531"/>
      <c r="D16" s="2531"/>
      <c r="E16" s="2531"/>
      <c r="F16" s="2532"/>
      <c r="G16" s="2542"/>
      <c r="H16" s="2543"/>
      <c r="I16" s="2543"/>
      <c r="J16" s="2543"/>
      <c r="K16" s="2543"/>
      <c r="L16" s="2544"/>
    </row>
    <row r="17" spans="1:13" ht="12.2" customHeight="1" x14ac:dyDescent="0.2">
      <c r="A17" s="2545"/>
      <c r="B17" s="2531"/>
      <c r="C17" s="2531"/>
      <c r="D17" s="2531"/>
      <c r="E17" s="2531"/>
      <c r="F17" s="2532"/>
      <c r="G17" s="925" t="s">
        <v>1176</v>
      </c>
      <c r="H17" s="923"/>
      <c r="I17" s="923"/>
      <c r="J17" s="923"/>
      <c r="K17" s="927" t="s">
        <v>1175</v>
      </c>
      <c r="L17" s="920"/>
      <c r="M17" s="913"/>
    </row>
    <row r="18" spans="1:13" ht="12.2" customHeight="1" x14ac:dyDescent="0.2">
      <c r="A18" s="2513"/>
      <c r="B18" s="2514"/>
      <c r="C18" s="2514"/>
      <c r="D18" s="2514"/>
      <c r="E18" s="2514"/>
      <c r="F18" s="2515"/>
      <c r="G18" s="2524">
        <f>COVER!T21</f>
        <v>6303931483</v>
      </c>
      <c r="H18" s="2525"/>
      <c r="I18" s="2525"/>
      <c r="J18" s="2525"/>
      <c r="K18" s="2524">
        <f>COVER!X21</f>
        <v>6303932516</v>
      </c>
      <c r="L18" s="2529"/>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6" t="str">
        <f>'Single Audit Cover'!A7</f>
        <v>Northbrook SD 28</v>
      </c>
      <c r="B1" s="2547"/>
      <c r="C1" s="2547"/>
      <c r="D1" s="2547"/>
    </row>
    <row r="2" spans="1:11" s="942" customFormat="1" ht="12.75" x14ac:dyDescent="0.2">
      <c r="A2" s="2548" t="str">
        <f>'Single Audit Cover'!E7</f>
        <v>05-016-0280-02</v>
      </c>
      <c r="B2" s="2549"/>
      <c r="C2" s="2549"/>
      <c r="D2" s="2549"/>
    </row>
    <row r="3" spans="1:11" s="942" customFormat="1" ht="12.75" x14ac:dyDescent="0.2">
      <c r="A3" s="2546" t="s">
        <v>1499</v>
      </c>
      <c r="B3" s="2547"/>
      <c r="C3" s="2547"/>
      <c r="D3" s="2547"/>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1" t="str">
        <f>'Single Audit Cover'!A7</f>
        <v>Northbrook SD 28</v>
      </c>
      <c r="B1" s="2551"/>
      <c r="C1" s="2551"/>
      <c r="D1" s="2551"/>
      <c r="E1" s="2551"/>
    </row>
    <row r="2" spans="1:5" x14ac:dyDescent="0.2">
      <c r="A2" s="2552" t="str">
        <f>'Single Audit Cover'!E7</f>
        <v>05-016-0280-02</v>
      </c>
      <c r="B2" s="2552"/>
      <c r="C2" s="2552"/>
      <c r="D2" s="2552"/>
      <c r="E2" s="2552"/>
    </row>
    <row r="3" spans="1:5" ht="4.5" customHeight="1" x14ac:dyDescent="0.2"/>
    <row r="4" spans="1:5" x14ac:dyDescent="0.2">
      <c r="A4" s="2551" t="s">
        <v>1236</v>
      </c>
      <c r="B4" s="2551"/>
      <c r="C4" s="2551"/>
      <c r="D4" s="2551"/>
      <c r="E4" s="2551"/>
    </row>
    <row r="5" spans="1:5" x14ac:dyDescent="0.2">
      <c r="A5" s="2554" t="str">
        <f>'Single Audit Cover'!A4</f>
        <v>Year Ending June 30, 2020</v>
      </c>
      <c r="B5" s="2554"/>
      <c r="C5" s="2554"/>
      <c r="D5" s="2554"/>
      <c r="E5" s="2554"/>
    </row>
    <row r="6" spans="1:5" x14ac:dyDescent="0.2">
      <c r="A6" s="2551" t="s">
        <v>1235</v>
      </c>
      <c r="B6" s="2551"/>
      <c r="C6" s="2551"/>
      <c r="D6" s="2551"/>
      <c r="E6" s="2551"/>
    </row>
    <row r="8" spans="1:5" x14ac:dyDescent="0.2">
      <c r="A8" s="987" t="s">
        <v>1234</v>
      </c>
    </row>
    <row r="10" spans="1:5" x14ac:dyDescent="0.2">
      <c r="A10" s="988" t="s">
        <v>1233</v>
      </c>
      <c r="B10" s="989" t="s">
        <v>1232</v>
      </c>
      <c r="C10" s="989"/>
      <c r="D10" s="990">
        <f>SUM('Acct Summary 7-8'!C7:K7)</f>
        <v>721672</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721672</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3"/>
      <c r="B24" s="2553"/>
      <c r="D24" s="995"/>
    </row>
    <row r="25" spans="1:4" x14ac:dyDescent="0.2">
      <c r="A25" s="2550"/>
      <c r="B25" s="2550"/>
      <c r="D25" s="995"/>
    </row>
    <row r="26" spans="1:4" x14ac:dyDescent="0.2">
      <c r="A26" s="2550"/>
      <c r="B26" s="2550"/>
      <c r="D26" s="995"/>
    </row>
    <row r="27" spans="1:4" x14ac:dyDescent="0.2">
      <c r="A27" s="2550"/>
      <c r="B27" s="2550"/>
      <c r="D27" s="995"/>
    </row>
    <row r="28" spans="1:4" x14ac:dyDescent="0.2">
      <c r="A28" s="2550"/>
      <c r="B28" s="2550"/>
      <c r="D28" s="995"/>
    </row>
    <row r="29" spans="1:4" x14ac:dyDescent="0.2">
      <c r="A29" s="2550"/>
      <c r="B29" s="2550"/>
      <c r="D29" s="995"/>
    </row>
    <row r="30" spans="1:4" x14ac:dyDescent="0.2">
      <c r="A30" s="2550"/>
      <c r="B30" s="2550"/>
      <c r="D30" s="995"/>
    </row>
    <row r="32" spans="1:4" x14ac:dyDescent="0.2">
      <c r="A32" s="987" t="s">
        <v>1224</v>
      </c>
      <c r="D32" s="990">
        <f>SUM(D19:D30)</f>
        <v>721672</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50"/>
      <c r="B40" s="2550"/>
      <c r="D40" s="995"/>
    </row>
    <row r="41" spans="1:4" x14ac:dyDescent="0.2">
      <c r="A41" s="2550"/>
      <c r="B41" s="2550"/>
      <c r="D41" s="998"/>
    </row>
    <row r="42" spans="1:4" x14ac:dyDescent="0.2">
      <c r="A42" s="2550"/>
      <c r="B42" s="2550"/>
      <c r="D42" s="998"/>
    </row>
    <row r="43" spans="1:4" x14ac:dyDescent="0.2">
      <c r="A43" s="2550"/>
      <c r="B43" s="2550"/>
      <c r="D43" s="998"/>
    </row>
    <row r="44" spans="1:4" x14ac:dyDescent="0.2">
      <c r="A44" s="2550"/>
      <c r="B44" s="2550"/>
      <c r="D44" s="998"/>
    </row>
    <row r="45" spans="1:4" x14ac:dyDescent="0.2">
      <c r="A45" s="2550"/>
      <c r="B45" s="2550"/>
      <c r="D45" s="998"/>
    </row>
    <row r="47" spans="1:4" x14ac:dyDescent="0.2">
      <c r="B47" s="999" t="s">
        <v>1218</v>
      </c>
      <c r="C47" s="999"/>
      <c r="D47" s="1000">
        <f>SUM(D35:D45)</f>
        <v>0</v>
      </c>
    </row>
    <row r="49" spans="2:4" x14ac:dyDescent="0.2">
      <c r="B49" s="999" t="s">
        <v>1217</v>
      </c>
      <c r="C49" s="999"/>
      <c r="D49" s="1000">
        <f>D32-D47</f>
        <v>721672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33" t="str">
        <f>'Single Audit Cover'!A7</f>
        <v>Northbrook SD 28</v>
      </c>
      <c r="C1" s="2555"/>
      <c r="D1" s="2555"/>
      <c r="E1" s="2555"/>
      <c r="F1" s="2555"/>
      <c r="G1" s="2555"/>
      <c r="H1" s="2555"/>
      <c r="I1" s="2555"/>
      <c r="J1" s="2555"/>
      <c r="K1" s="2555"/>
      <c r="L1" s="2555"/>
      <c r="M1" s="2555"/>
    </row>
    <row r="2" spans="2:14" ht="15" x14ac:dyDescent="0.2">
      <c r="B2" s="2556" t="str">
        <f>'Single Audit Cover'!E7</f>
        <v>05-016-0280-02</v>
      </c>
      <c r="C2" s="2556"/>
      <c r="D2" s="2556"/>
      <c r="E2" s="2556"/>
      <c r="F2" s="2556"/>
      <c r="G2" s="2556"/>
      <c r="H2" s="2556"/>
      <c r="I2" s="2556"/>
      <c r="J2" s="2556"/>
      <c r="K2" s="2556"/>
      <c r="L2" s="2556"/>
      <c r="M2" s="2556"/>
      <c r="N2" s="1029"/>
    </row>
    <row r="3" spans="2:14" ht="15" x14ac:dyDescent="0.2">
      <c r="B3" s="2557" t="s">
        <v>1210</v>
      </c>
      <c r="C3" s="2557"/>
      <c r="D3" s="2557"/>
      <c r="E3" s="2557"/>
      <c r="F3" s="2557"/>
      <c r="G3" s="2557"/>
      <c r="H3" s="2557"/>
      <c r="I3" s="2557"/>
      <c r="J3" s="2557"/>
      <c r="K3" s="2557"/>
      <c r="L3" s="2557"/>
      <c r="M3" s="2557"/>
      <c r="N3" s="1029"/>
    </row>
    <row r="4" spans="2:14" ht="15" x14ac:dyDescent="0.2">
      <c r="B4" s="2558" t="str">
        <f>'Single Audit Cover'!A4</f>
        <v>Year Ending June 30, 2020</v>
      </c>
      <c r="C4" s="2558"/>
      <c r="D4" s="2558"/>
      <c r="E4" s="2558"/>
      <c r="F4" s="2558"/>
      <c r="G4" s="2558"/>
      <c r="H4" s="2558"/>
      <c r="I4" s="2558"/>
      <c r="J4" s="2558"/>
      <c r="K4" s="2558"/>
      <c r="L4" s="2558"/>
      <c r="M4" s="2558"/>
      <c r="N4" s="1029"/>
    </row>
    <row r="5" spans="2:14" x14ac:dyDescent="0.2">
      <c r="H5" s="1863"/>
      <c r="J5" s="1863"/>
    </row>
    <row r="6" spans="2:14" x14ac:dyDescent="0.2">
      <c r="B6" s="1030"/>
      <c r="C6" s="1031"/>
      <c r="D6" s="1032" t="s">
        <v>1256</v>
      </c>
      <c r="E6" s="1033" t="s">
        <v>524</v>
      </c>
      <c r="F6" s="1034"/>
      <c r="G6" s="1035" t="s">
        <v>1714</v>
      </c>
      <c r="H6" s="1033"/>
      <c r="I6" s="1033"/>
      <c r="J6" s="1864"/>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2" t="str">
        <f>"7/1/"&amp;MID('AFR20'!$E$2,3,2)-2&amp;"-6/30/"&amp;MID('AFR20'!$E$2,3,2)-1</f>
        <v>7/1/18-6/30/19</v>
      </c>
      <c r="F9" s="1862" t="str">
        <f>"7/1/"&amp;MID('AFR20'!$E$2,3,2)-1&amp;"-6/30/"&amp;MID('AFR20'!$E$2,3,2)</f>
        <v>7/1/19-6/30/20</v>
      </c>
      <c r="G9" s="1862" t="str">
        <f>"7/1/"&amp;MID('AFR20'!$E$2,3,2)-2&amp;"-6/30/"&amp;MID('AFR20'!$E$2,3,2)-1</f>
        <v>7/1/18-6/30/19</v>
      </c>
      <c r="H9" s="1044" t="s">
        <v>1568</v>
      </c>
      <c r="I9" s="1862"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8" t="str">
        <f>'Single Audit Cover'!A7</f>
        <v>Northbrook SD 28</v>
      </c>
      <c r="B1" s="2568"/>
      <c r="C1" s="2568"/>
      <c r="D1" s="2568"/>
      <c r="E1" s="2568"/>
      <c r="F1" s="2568"/>
    </row>
    <row r="2" spans="1:7" ht="13.5" customHeight="1" x14ac:dyDescent="0.2">
      <c r="A2" s="2556" t="str">
        <f>'Single Audit Cover'!E7</f>
        <v>05-016-0280-02</v>
      </c>
      <c r="B2" s="2556"/>
      <c r="C2" s="2556"/>
      <c r="D2" s="2556"/>
      <c r="E2" s="2556"/>
      <c r="F2" s="2556"/>
      <c r="G2" s="1002"/>
    </row>
    <row r="3" spans="1:7" ht="15.75" customHeight="1" x14ac:dyDescent="0.2">
      <c r="A3" s="2569" t="s">
        <v>1262</v>
      </c>
      <c r="B3" s="2569"/>
      <c r="C3" s="2569"/>
      <c r="D3" s="2569"/>
      <c r="E3" s="2569"/>
      <c r="F3" s="2569"/>
    </row>
    <row r="4" spans="1:7" ht="13.5" customHeight="1" x14ac:dyDescent="0.2">
      <c r="A4" s="2570" t="str">
        <f>'Single Audit Cover'!A4</f>
        <v>Year Ending June 30, 2020</v>
      </c>
      <c r="B4" s="2570"/>
      <c r="C4" s="2570"/>
      <c r="D4" s="2570"/>
      <c r="E4" s="2570"/>
      <c r="F4" s="2570"/>
    </row>
    <row r="5" spans="1:7" ht="8.25" customHeight="1" x14ac:dyDescent="0.2">
      <c r="C5" s="295"/>
      <c r="D5" s="295"/>
    </row>
    <row r="6" spans="1:7" ht="13.5" customHeight="1" x14ac:dyDescent="0.2">
      <c r="A6" s="1003" t="s">
        <v>1708</v>
      </c>
      <c r="C6" s="295"/>
      <c r="D6" s="295"/>
    </row>
    <row r="7" spans="1:7" ht="60.95" customHeight="1" x14ac:dyDescent="0.2">
      <c r="A7" s="2567" t="s">
        <v>1709</v>
      </c>
      <c r="B7" s="2567"/>
      <c r="C7" s="2567"/>
      <c r="D7" s="2567"/>
      <c r="E7" s="2567"/>
      <c r="F7" s="2567"/>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67" t="s">
        <v>1711</v>
      </c>
      <c r="B13" s="2567"/>
      <c r="C13" s="2567"/>
      <c r="D13" s="2567"/>
      <c r="E13" s="2567"/>
      <c r="F13" s="2567"/>
    </row>
    <row r="14" spans="1:7" ht="9.75" customHeight="1" x14ac:dyDescent="0.2">
      <c r="C14" s="987"/>
      <c r="D14" s="987"/>
    </row>
    <row r="15" spans="1:7" ht="13.5" customHeight="1" x14ac:dyDescent="0.2">
      <c r="C15" s="1427" t="s">
        <v>1261</v>
      </c>
      <c r="D15" s="2565" t="s">
        <v>1260</v>
      </c>
      <c r="E15" s="2565"/>
      <c r="F15" s="2565"/>
    </row>
    <row r="16" spans="1:7" ht="13.5" customHeight="1" x14ac:dyDescent="0.2">
      <c r="A16" s="1009"/>
      <c r="B16" s="1003" t="s">
        <v>1259</v>
      </c>
      <c r="C16" s="1427" t="s">
        <v>1258</v>
      </c>
      <c r="D16" s="2566" t="s">
        <v>1574</v>
      </c>
      <c r="E16" s="2566"/>
      <c r="F16" s="2566"/>
    </row>
    <row r="17" spans="1:6" ht="20.45" customHeight="1" x14ac:dyDescent="0.2">
      <c r="A17" s="1010"/>
      <c r="B17" s="1011"/>
      <c r="C17" s="1012"/>
      <c r="D17" s="2560"/>
      <c r="E17" s="2560"/>
      <c r="F17" s="2560"/>
    </row>
    <row r="18" spans="1:6" ht="20.65" customHeight="1" x14ac:dyDescent="0.2">
      <c r="A18" s="1010"/>
      <c r="B18" s="1011"/>
      <c r="C18" s="1012"/>
      <c r="D18" s="2560"/>
      <c r="E18" s="2560"/>
      <c r="F18" s="2560"/>
    </row>
    <row r="19" spans="1:6" ht="20.65" customHeight="1" x14ac:dyDescent="0.2">
      <c r="A19" s="1010"/>
      <c r="B19" s="1011"/>
      <c r="C19" s="1012"/>
      <c r="D19" s="2560"/>
      <c r="E19" s="2560"/>
      <c r="F19" s="2560"/>
    </row>
    <row r="20" spans="1:6" ht="20.65" customHeight="1" x14ac:dyDescent="0.2">
      <c r="A20" s="1010"/>
      <c r="B20" s="1011"/>
      <c r="C20" s="1012"/>
      <c r="D20" s="2560"/>
      <c r="E20" s="2560"/>
      <c r="F20" s="2560"/>
    </row>
    <row r="21" spans="1:6" ht="20.65" customHeight="1" x14ac:dyDescent="0.2">
      <c r="A21" s="1010"/>
      <c r="B21" s="1011"/>
      <c r="C21" s="1012"/>
      <c r="D21" s="2560"/>
      <c r="E21" s="2560"/>
      <c r="F21" s="2560"/>
    </row>
    <row r="22" spans="1:6" ht="20.65" customHeight="1" x14ac:dyDescent="0.2">
      <c r="A22" s="1010"/>
      <c r="B22" s="1011"/>
      <c r="C22" s="1012"/>
      <c r="D22" s="2560"/>
      <c r="E22" s="2560"/>
      <c r="F22" s="2560"/>
    </row>
    <row r="23" spans="1:6" ht="20.65" customHeight="1" x14ac:dyDescent="0.2">
      <c r="A23" s="1010"/>
      <c r="B23" s="1011"/>
      <c r="C23" s="1012"/>
      <c r="D23" s="2560"/>
      <c r="E23" s="2560"/>
      <c r="F23" s="2560"/>
    </row>
    <row r="24" spans="1:6" ht="20.65" customHeight="1" x14ac:dyDescent="0.2">
      <c r="A24" s="1010"/>
      <c r="B24" s="1011"/>
      <c r="C24" s="1012"/>
      <c r="D24" s="2560"/>
      <c r="E24" s="2560"/>
      <c r="F24" s="2560"/>
    </row>
    <row r="25" spans="1:6" ht="20.65" customHeight="1" x14ac:dyDescent="0.2">
      <c r="A25" s="1010"/>
      <c r="B25" s="1011"/>
      <c r="C25" s="1012"/>
      <c r="D25" s="2560"/>
      <c r="E25" s="2560"/>
      <c r="F25" s="2560"/>
    </row>
    <row r="26" spans="1:6" ht="20.65" customHeight="1" x14ac:dyDescent="0.2">
      <c r="A26" s="1010"/>
      <c r="B26" s="1011"/>
      <c r="C26" s="1012"/>
      <c r="D26" s="2560"/>
      <c r="E26" s="2560"/>
      <c r="F26" s="2560"/>
    </row>
    <row r="27" spans="1:6" ht="20.65" customHeight="1" x14ac:dyDescent="0.2">
      <c r="A27" s="1010"/>
      <c r="B27" s="1011"/>
      <c r="C27" s="1012"/>
      <c r="D27" s="2560"/>
      <c r="E27" s="2560"/>
      <c r="F27" s="2560"/>
    </row>
    <row r="28" spans="1:6" ht="20.65" customHeight="1" x14ac:dyDescent="0.2">
      <c r="A28" s="1010"/>
      <c r="B28" s="1011"/>
      <c r="C28" s="1012"/>
      <c r="D28" s="2560"/>
      <c r="E28" s="2560"/>
      <c r="F28" s="2560"/>
    </row>
    <row r="29" spans="1:6" ht="20.65" customHeight="1" x14ac:dyDescent="0.2">
      <c r="A29" s="1010"/>
      <c r="B29" s="1011"/>
      <c r="C29" s="1012"/>
      <c r="D29" s="2560"/>
      <c r="E29" s="2560"/>
      <c r="F29" s="2560"/>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1" t="s">
        <v>1712</v>
      </c>
      <c r="B32" s="2561"/>
      <c r="C32" s="2561"/>
      <c r="D32" s="2561"/>
      <c r="E32" s="2561"/>
      <c r="F32" s="2561"/>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2">
        <f>+C33+C34</f>
        <v>0</v>
      </c>
      <c r="F34" s="2563"/>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4" t="s">
        <v>1576</v>
      </c>
      <c r="C49" s="2564"/>
      <c r="D49" s="2564"/>
      <c r="E49" s="1119"/>
    </row>
    <row r="50" spans="1:5" s="1027" customFormat="1" ht="3.75" customHeight="1" x14ac:dyDescent="0.2">
      <c r="A50" s="1026"/>
      <c r="B50" s="1426"/>
      <c r="C50" s="1426"/>
      <c r="D50" s="1426"/>
      <c r="E50" s="1119"/>
    </row>
    <row r="51" spans="1:5" s="1027" customFormat="1" ht="20.25" customHeight="1" x14ac:dyDescent="0.2">
      <c r="A51" s="1028">
        <v>6</v>
      </c>
      <c r="B51" s="2559" t="s">
        <v>1537</v>
      </c>
      <c r="C51" s="2559"/>
      <c r="D51" s="2559"/>
    </row>
    <row r="52" spans="1:5" ht="14.25" customHeight="1" x14ac:dyDescent="0.2">
      <c r="A52" s="1028"/>
      <c r="B52" s="2559"/>
      <c r="C52" s="2559"/>
      <c r="D52" s="25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5" t="s">
        <v>1160</v>
      </c>
      <c r="B2" s="2145"/>
      <c r="C2" s="2145"/>
      <c r="D2" s="2145"/>
      <c r="E2" s="2145"/>
      <c r="F2" s="2145"/>
      <c r="G2" s="2145"/>
      <c r="H2" s="2145"/>
      <c r="I2" s="2145"/>
      <c r="J2" s="214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9" t="s">
        <v>1619</v>
      </c>
      <c r="B35" s="2160"/>
      <c r="C35" s="2160"/>
      <c r="D35" s="2160"/>
      <c r="E35" s="2161"/>
      <c r="F35" s="2161"/>
      <c r="G35" s="2161"/>
      <c r="H35" s="2161"/>
      <c r="I35" s="216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9" t="s">
        <v>310</v>
      </c>
      <c r="B47" s="2162"/>
      <c r="C47" s="2162"/>
      <c r="D47" s="2162"/>
      <c r="E47" s="2163"/>
      <c r="F47" s="2163"/>
      <c r="G47" s="2163"/>
      <c r="H47" s="2163"/>
      <c r="I47" s="216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6"/>
      <c r="C57" s="2167"/>
      <c r="D57" s="2167"/>
      <c r="E57" s="2167"/>
      <c r="F57" s="2167"/>
      <c r="G57" s="2167"/>
      <c r="H57" s="2167"/>
      <c r="I57" s="2167"/>
      <c r="J57" s="2168"/>
    </row>
    <row r="58" spans="1:10" s="176" customFormat="1" x14ac:dyDescent="0.2">
      <c r="A58" s="248"/>
      <c r="B58" s="2169"/>
      <c r="C58" s="2170"/>
      <c r="D58" s="2170"/>
      <c r="E58" s="2170"/>
      <c r="F58" s="2170"/>
      <c r="G58" s="2170"/>
      <c r="H58" s="2170"/>
      <c r="I58" s="2170"/>
      <c r="J58" s="2171"/>
    </row>
    <row r="59" spans="1:10" s="176" customFormat="1" x14ac:dyDescent="0.2">
      <c r="A59" s="248"/>
      <c r="B59" s="2169"/>
      <c r="C59" s="2170"/>
      <c r="D59" s="2170"/>
      <c r="E59" s="2170"/>
      <c r="F59" s="2170"/>
      <c r="G59" s="2170"/>
      <c r="H59" s="2170"/>
      <c r="I59" s="2170"/>
      <c r="J59" s="2171"/>
    </row>
    <row r="60" spans="1:10" s="176" customFormat="1" x14ac:dyDescent="0.2">
      <c r="A60" s="248"/>
      <c r="B60" s="2169"/>
      <c r="C60" s="2170"/>
      <c r="D60" s="2170"/>
      <c r="E60" s="2170"/>
      <c r="F60" s="2170"/>
      <c r="G60" s="2170"/>
      <c r="H60" s="2170"/>
      <c r="I60" s="2170"/>
      <c r="J60" s="2171"/>
    </row>
    <row r="61" spans="1:10" s="176" customFormat="1" x14ac:dyDescent="0.2">
      <c r="A61" s="248"/>
      <c r="B61" s="2169"/>
      <c r="C61" s="2170"/>
      <c r="D61" s="2170"/>
      <c r="E61" s="2170"/>
      <c r="F61" s="2170"/>
      <c r="G61" s="2170"/>
      <c r="H61" s="2170"/>
      <c r="I61" s="2170"/>
      <c r="J61" s="2171"/>
    </row>
    <row r="62" spans="1:10" s="176" customFormat="1" x14ac:dyDescent="0.2">
      <c r="A62" s="248"/>
      <c r="B62" s="2169"/>
      <c r="C62" s="2170"/>
      <c r="D62" s="2170"/>
      <c r="E62" s="2170"/>
      <c r="F62" s="2170"/>
      <c r="G62" s="2170"/>
      <c r="H62" s="2170"/>
      <c r="I62" s="2170"/>
      <c r="J62" s="2171"/>
    </row>
    <row r="63" spans="1:10" s="176" customFormat="1" x14ac:dyDescent="0.2">
      <c r="A63" s="248"/>
      <c r="B63" s="2169"/>
      <c r="C63" s="2170"/>
      <c r="D63" s="2170"/>
      <c r="E63" s="2170"/>
      <c r="F63" s="2170"/>
      <c r="G63" s="2170"/>
      <c r="H63" s="2170"/>
      <c r="I63" s="2170"/>
      <c r="J63" s="2171"/>
    </row>
    <row r="64" spans="1:10" s="176" customFormat="1" x14ac:dyDescent="0.2">
      <c r="A64" s="248"/>
      <c r="B64" s="2169"/>
      <c r="C64" s="2170"/>
      <c r="D64" s="2170"/>
      <c r="E64" s="2170"/>
      <c r="F64" s="2170"/>
      <c r="G64" s="2170"/>
      <c r="H64" s="2170"/>
      <c r="I64" s="2170"/>
      <c r="J64" s="2171"/>
    </row>
    <row r="65" spans="1:11" s="176" customFormat="1" x14ac:dyDescent="0.2">
      <c r="A65" s="248"/>
      <c r="B65" s="2169"/>
      <c r="C65" s="2170"/>
      <c r="D65" s="2170"/>
      <c r="E65" s="2170"/>
      <c r="F65" s="2170"/>
      <c r="G65" s="2170"/>
      <c r="H65" s="2170"/>
      <c r="I65" s="2170"/>
      <c r="J65" s="2171"/>
    </row>
    <row r="66" spans="1:11" s="176" customFormat="1" x14ac:dyDescent="0.2">
      <c r="A66" s="248"/>
      <c r="B66" s="2169"/>
      <c r="C66" s="2170"/>
      <c r="D66" s="2170"/>
      <c r="E66" s="2170"/>
      <c r="F66" s="2170"/>
      <c r="G66" s="2170"/>
      <c r="H66" s="2170"/>
      <c r="I66" s="2170"/>
      <c r="J66" s="2171"/>
    </row>
    <row r="67" spans="1:11" s="176" customFormat="1" ht="9" customHeight="1" x14ac:dyDescent="0.2">
      <c r="A67" s="249"/>
      <c r="B67" s="2172"/>
      <c r="C67" s="2173"/>
      <c r="D67" s="2173"/>
      <c r="E67" s="2173"/>
      <c r="F67" s="2173"/>
      <c r="G67" s="2173"/>
      <c r="H67" s="2173"/>
      <c r="I67" s="2173"/>
      <c r="J67" s="217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9" t="s">
        <v>1314</v>
      </c>
      <c r="B70" s="2162"/>
      <c r="C70" s="2162"/>
      <c r="D70" s="2162"/>
      <c r="E70" s="2163"/>
      <c r="F70" s="2163"/>
      <c r="G70" s="2163"/>
      <c r="H70" s="2163"/>
      <c r="I70" s="216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4" t="s">
        <v>1311</v>
      </c>
      <c r="B83" s="2164"/>
      <c r="C83" s="2164"/>
      <c r="D83" s="216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5" t="s">
        <v>1992</v>
      </c>
      <c r="B85" s="2175"/>
      <c r="C85" s="2175"/>
      <c r="D85" s="2176"/>
      <c r="E85" s="1495"/>
      <c r="F85" s="1495"/>
      <c r="G85" s="1495"/>
      <c r="H85" s="1495"/>
      <c r="I85" s="1853"/>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7" t="s">
        <v>1992</v>
      </c>
      <c r="B88" s="2178"/>
      <c r="C88" s="2178"/>
      <c r="D88" s="2179"/>
      <c r="E88" s="1495">
        <v>26143</v>
      </c>
      <c r="F88" s="1495"/>
      <c r="G88" s="1495">
        <v>8922</v>
      </c>
      <c r="H88" s="1495">
        <v>323937</v>
      </c>
      <c r="I88" s="1853"/>
      <c r="J88" s="1678">
        <f>SUM(E88:I88)</f>
        <v>359002</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4"/>
      <c r="J90" s="1680">
        <f>SUM(J85:J89)</f>
        <v>359002</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6"/>
      <c r="C102" s="2147"/>
      <c r="D102" s="2147"/>
      <c r="E102" s="2147"/>
      <c r="F102" s="2147"/>
      <c r="G102" s="2147"/>
      <c r="H102" s="2147"/>
      <c r="I102" s="2148"/>
    </row>
    <row r="103" spans="1:9" s="176" customFormat="1" ht="11.25" customHeight="1" x14ac:dyDescent="0.2">
      <c r="A103" s="294"/>
      <c r="B103" s="2149"/>
      <c r="C103" s="2150"/>
      <c r="D103" s="2150"/>
      <c r="E103" s="2150"/>
      <c r="F103" s="2150"/>
      <c r="G103" s="2150"/>
      <c r="H103" s="2150"/>
      <c r="I103" s="2151"/>
    </row>
    <row r="104" spans="1:9" s="176" customFormat="1" ht="11.25" customHeight="1" x14ac:dyDescent="0.2">
      <c r="A104" s="294"/>
      <c r="B104" s="2149"/>
      <c r="C104" s="2150"/>
      <c r="D104" s="2150"/>
      <c r="E104" s="2150"/>
      <c r="F104" s="2150"/>
      <c r="G104" s="2150"/>
      <c r="H104" s="2150"/>
      <c r="I104" s="2151"/>
    </row>
    <row r="105" spans="1:9" s="176" customFormat="1" x14ac:dyDescent="0.2">
      <c r="A105" s="294"/>
      <c r="B105" s="2149"/>
      <c r="C105" s="2150"/>
      <c r="D105" s="2150"/>
      <c r="E105" s="2150"/>
      <c r="F105" s="2150"/>
      <c r="G105" s="2150"/>
      <c r="H105" s="2150"/>
      <c r="I105" s="2151"/>
    </row>
    <row r="106" spans="1:9" s="176" customFormat="1" ht="11.25" customHeight="1" x14ac:dyDescent="0.2">
      <c r="A106" s="294"/>
      <c r="B106" s="2149"/>
      <c r="C106" s="2150"/>
      <c r="D106" s="2150"/>
      <c r="E106" s="2150"/>
      <c r="F106" s="2150"/>
      <c r="G106" s="2150"/>
      <c r="H106" s="2150"/>
      <c r="I106" s="2151"/>
    </row>
    <row r="107" spans="1:9" s="176" customFormat="1" ht="11.25" customHeight="1" x14ac:dyDescent="0.2">
      <c r="A107" s="294"/>
      <c r="B107" s="2149"/>
      <c r="C107" s="2150"/>
      <c r="D107" s="2150"/>
      <c r="E107" s="2150"/>
      <c r="F107" s="2150"/>
      <c r="G107" s="2150"/>
      <c r="H107" s="2150"/>
      <c r="I107" s="2151"/>
    </row>
    <row r="108" spans="1:9" s="176" customFormat="1" ht="11.25" customHeight="1" x14ac:dyDescent="0.2">
      <c r="A108" s="294"/>
      <c r="B108" s="2149"/>
      <c r="C108" s="2150"/>
      <c r="D108" s="2150"/>
      <c r="E108" s="2150"/>
      <c r="F108" s="2150"/>
      <c r="G108" s="2150"/>
      <c r="H108" s="2150"/>
      <c r="I108" s="2151"/>
    </row>
    <row r="109" spans="1:9" s="176" customFormat="1" ht="11.25" customHeight="1" x14ac:dyDescent="0.2">
      <c r="A109" s="294"/>
      <c r="B109" s="2149"/>
      <c r="C109" s="2150"/>
      <c r="D109" s="2150"/>
      <c r="E109" s="2150"/>
      <c r="F109" s="2150"/>
      <c r="G109" s="2150"/>
      <c r="H109" s="2150"/>
      <c r="I109" s="2151"/>
    </row>
    <row r="110" spans="1:9" s="176" customFormat="1" ht="11.25" customHeight="1" x14ac:dyDescent="0.2">
      <c r="A110" s="294"/>
      <c r="B110" s="2149"/>
      <c r="C110" s="2150"/>
      <c r="D110" s="2150"/>
      <c r="E110" s="2150"/>
      <c r="F110" s="2150"/>
      <c r="G110" s="2150"/>
      <c r="H110" s="2150"/>
      <c r="I110" s="2151"/>
    </row>
    <row r="111" spans="1:9" s="176" customFormat="1" ht="11.25" customHeight="1" x14ac:dyDescent="0.2">
      <c r="A111" s="294"/>
      <c r="B111" s="2149"/>
      <c r="C111" s="2150"/>
      <c r="D111" s="2150"/>
      <c r="E111" s="2150"/>
      <c r="F111" s="2150"/>
      <c r="G111" s="2150"/>
      <c r="H111" s="2150"/>
      <c r="I111" s="2151"/>
    </row>
    <row r="112" spans="1:9" s="176" customFormat="1" ht="11.25" customHeight="1" x14ac:dyDescent="0.2">
      <c r="A112" s="294"/>
      <c r="B112" s="2152"/>
      <c r="C112" s="2153"/>
      <c r="D112" s="2153"/>
      <c r="E112" s="2153"/>
      <c r="F112" s="2153"/>
      <c r="G112" s="2153"/>
      <c r="H112" s="2153"/>
      <c r="I112" s="215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5" t="s">
        <v>2023</v>
      </c>
      <c r="D114" s="215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6" t="s">
        <v>1321</v>
      </c>
      <c r="D117" s="2157"/>
      <c r="E117" s="2158"/>
      <c r="F117" s="2158"/>
      <c r="G117" s="2158"/>
      <c r="H117" s="2158"/>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Northbrook SD 28</v>
      </c>
      <c r="C1" s="2583"/>
      <c r="D1" s="2583"/>
      <c r="E1" s="2583"/>
      <c r="F1" s="2583"/>
      <c r="G1" s="2583"/>
      <c r="H1" s="2583"/>
      <c r="I1" s="2583"/>
      <c r="J1" s="1129"/>
    </row>
    <row r="2" spans="2:10" s="295" customFormat="1" ht="12.75" customHeight="1" x14ac:dyDescent="0.2">
      <c r="B2" s="2584" t="str">
        <f>'Single Audit Cover'!E7</f>
        <v>05-016-0280-02</v>
      </c>
      <c r="C2" s="2585"/>
      <c r="D2" s="2585"/>
      <c r="E2" s="2585"/>
      <c r="F2" s="2585"/>
      <c r="G2" s="2585"/>
      <c r="H2" s="2585"/>
      <c r="I2" s="2585"/>
      <c r="J2" s="1129"/>
    </row>
    <row r="3" spans="2:10" s="295" customFormat="1" ht="12.75" customHeight="1" x14ac:dyDescent="0.2">
      <c r="B3" s="2586" t="s">
        <v>1276</v>
      </c>
      <c r="C3" s="2587"/>
      <c r="D3" s="2587"/>
      <c r="E3" s="2587"/>
      <c r="F3" s="2587"/>
      <c r="G3" s="2587"/>
      <c r="H3" s="2587"/>
      <c r="I3" s="2587"/>
      <c r="J3" s="1130"/>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86" t="s">
        <v>1275</v>
      </c>
      <c r="C7" s="2587"/>
      <c r="D7" s="2587"/>
      <c r="E7" s="2587"/>
      <c r="F7" s="2587"/>
      <c r="G7" s="2587"/>
      <c r="H7" s="2587"/>
      <c r="I7" s="2587"/>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8"/>
      <c r="D11" s="2588"/>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9"/>
      <c r="E29" s="2589"/>
      <c r="F29" s="2589"/>
      <c r="G29" s="2589"/>
      <c r="H29" s="2589"/>
      <c r="I29" s="2589"/>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90" t="s">
        <v>1731</v>
      </c>
      <c r="D37" s="2591"/>
      <c r="E37" s="2591"/>
      <c r="F37" s="2592"/>
      <c r="G37" s="2590" t="s">
        <v>1578</v>
      </c>
      <c r="H37" s="2591"/>
      <c r="I37" s="2592"/>
    </row>
    <row r="38" spans="2:9" ht="16.5" customHeight="1" x14ac:dyDescent="0.2">
      <c r="B38" s="1151"/>
      <c r="C38" s="2578"/>
      <c r="D38" s="2579"/>
      <c r="E38" s="2579"/>
      <c r="F38" s="2580"/>
      <c r="G38" s="2593"/>
      <c r="H38" s="2594"/>
      <c r="I38" s="2595"/>
    </row>
    <row r="39" spans="2:9" ht="16.5" customHeight="1" x14ac:dyDescent="0.2">
      <c r="B39" s="1151"/>
      <c r="C39" s="2578"/>
      <c r="D39" s="2579"/>
      <c r="E39" s="2579"/>
      <c r="F39" s="2580"/>
      <c r="G39" s="2581"/>
      <c r="H39" s="2581"/>
      <c r="I39" s="2581"/>
    </row>
    <row r="40" spans="2:9" ht="16.5" customHeight="1" x14ac:dyDescent="0.2">
      <c r="B40" s="1151"/>
      <c r="C40" s="2578"/>
      <c r="D40" s="2579"/>
      <c r="E40" s="2579"/>
      <c r="F40" s="2580"/>
      <c r="G40" s="2581"/>
      <c r="H40" s="2581"/>
      <c r="I40" s="2581"/>
    </row>
    <row r="41" spans="2:9" ht="16.5" customHeight="1" x14ac:dyDescent="0.2">
      <c r="B41" s="1151"/>
      <c r="C41" s="2578"/>
      <c r="D41" s="2579"/>
      <c r="E41" s="2579"/>
      <c r="F41" s="2580"/>
      <c r="G41" s="2581"/>
      <c r="H41" s="2581"/>
      <c r="I41" s="2581"/>
    </row>
    <row r="42" spans="2:9" ht="16.5" customHeight="1" x14ac:dyDescent="0.2">
      <c r="B42" s="1151"/>
      <c r="C42" s="2578"/>
      <c r="D42" s="2579"/>
      <c r="E42" s="2579"/>
      <c r="F42" s="2580"/>
      <c r="G42" s="2581"/>
      <c r="H42" s="2581"/>
      <c r="I42" s="2581"/>
    </row>
    <row r="43" spans="2:9" ht="16.5" customHeight="1" x14ac:dyDescent="0.2">
      <c r="B43" s="1151"/>
      <c r="C43" s="2571" t="s">
        <v>1579</v>
      </c>
      <c r="D43" s="2572"/>
      <c r="E43" s="2572"/>
      <c r="F43" s="2573"/>
      <c r="G43" s="2574">
        <f>SUM(G38:I42)</f>
        <v>0</v>
      </c>
      <c r="H43" s="2574"/>
      <c r="I43" s="2574"/>
    </row>
    <row r="44" spans="2:9" ht="12.75" customHeight="1" x14ac:dyDescent="0.2"/>
    <row r="45" spans="2:9" ht="12.75" customHeight="1" x14ac:dyDescent="0.2">
      <c r="B45" s="1865" t="str">
        <f>"Total Federal Expenditures for 7/1/"&amp;MID('AFR20'!E2,3,2)-1&amp;"-6/30/"&amp;MID('AFR20'!E2,3,2)</f>
        <v>Total Federal Expenditures for 7/1/19-6/30/20</v>
      </c>
      <c r="C45" s="1866"/>
      <c r="D45" s="2575">
        <v>0</v>
      </c>
      <c r="E45" s="2576"/>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77"/>
      <c r="F49" s="2577"/>
      <c r="G49" s="2577"/>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Northbrook SD 28</v>
      </c>
      <c r="C1" s="2582"/>
      <c r="D1" s="2582"/>
      <c r="E1" s="2582"/>
      <c r="F1" s="2582"/>
      <c r="G1" s="2582"/>
      <c r="H1" s="2582"/>
      <c r="I1" s="2582"/>
      <c r="J1" s="2582"/>
      <c r="K1" s="2582"/>
      <c r="L1" s="1095"/>
      <c r="M1" s="1095"/>
    </row>
    <row r="2" spans="1:13" ht="12" customHeight="1" x14ac:dyDescent="0.2">
      <c r="B2" s="2584" t="str">
        <f>'Single Audit Cover'!E7</f>
        <v>05-016-0280-02</v>
      </c>
      <c r="C2" s="2584"/>
      <c r="D2" s="2584"/>
      <c r="E2" s="2584"/>
      <c r="F2" s="2584"/>
      <c r="G2" s="2584"/>
      <c r="H2" s="2584"/>
      <c r="I2" s="2584"/>
      <c r="J2" s="2584"/>
      <c r="K2" s="2584"/>
      <c r="L2" s="1096"/>
      <c r="M2" s="1097"/>
    </row>
    <row r="3" spans="1:13" ht="10.35" customHeight="1" x14ac:dyDescent="0.2">
      <c r="B3" s="2598" t="s">
        <v>1276</v>
      </c>
      <c r="C3" s="2598"/>
      <c r="D3" s="2598"/>
      <c r="E3" s="2598"/>
      <c r="F3" s="2598"/>
      <c r="G3" s="2598"/>
      <c r="H3" s="2598"/>
      <c r="I3" s="2598"/>
      <c r="J3" s="2598"/>
      <c r="K3" s="2598"/>
      <c r="L3" s="1098"/>
      <c r="M3" s="1098"/>
    </row>
    <row r="4" spans="1:13" ht="14.25" customHeight="1" x14ac:dyDescent="0.2">
      <c r="B4" s="2599" t="str">
        <f>'Single Audit Cover'!A4</f>
        <v>Year Ending June 30, 2020</v>
      </c>
      <c r="C4" s="2599"/>
      <c r="D4" s="2599"/>
      <c r="E4" s="2599"/>
      <c r="F4" s="2599"/>
      <c r="G4" s="2599"/>
      <c r="H4" s="2599"/>
      <c r="I4" s="2599"/>
      <c r="J4" s="2599"/>
      <c r="K4" s="2599"/>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9" t="s">
        <v>1287</v>
      </c>
      <c r="C7" s="2599"/>
      <c r="D7" s="2600"/>
      <c r="E7" s="2600"/>
      <c r="F7" s="2600"/>
      <c r="G7" s="2600"/>
      <c r="H7" s="2600"/>
      <c r="I7" s="2600"/>
      <c r="J7" s="2600"/>
      <c r="K7" s="2600"/>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7"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7"/>
      <c r="C14" s="2597"/>
      <c r="D14" s="2597"/>
      <c r="E14" s="2597"/>
      <c r="F14" s="2597"/>
      <c r="G14" s="2597"/>
      <c r="H14" s="2597"/>
      <c r="I14" s="2597"/>
      <c r="J14" s="2597"/>
      <c r="K14" s="2597"/>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7"/>
      <c r="C17" s="2597"/>
      <c r="D17" s="2597"/>
      <c r="E17" s="2597"/>
      <c r="F17" s="2597"/>
      <c r="G17" s="2597"/>
      <c r="H17" s="2597"/>
      <c r="I17" s="2597"/>
      <c r="J17" s="2597"/>
      <c r="K17" s="2597"/>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1"/>
      <c r="C20" s="2601"/>
      <c r="D20" s="2597"/>
      <c r="E20" s="2597"/>
      <c r="F20" s="2597"/>
      <c r="G20" s="2597"/>
      <c r="H20" s="2597"/>
      <c r="I20" s="2597"/>
      <c r="J20" s="2597"/>
      <c r="K20" s="2597"/>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7"/>
      <c r="C23" s="2597"/>
      <c r="D23" s="2597"/>
      <c r="E23" s="2597"/>
      <c r="F23" s="2597"/>
      <c r="G23" s="2597"/>
      <c r="H23" s="2597"/>
      <c r="I23" s="2597"/>
      <c r="J23" s="2597"/>
      <c r="K23" s="2597"/>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7"/>
      <c r="C26" s="2597"/>
      <c r="D26" s="2597"/>
      <c r="E26" s="2597"/>
      <c r="F26" s="2597"/>
      <c r="G26" s="2597"/>
      <c r="H26" s="2597"/>
      <c r="I26" s="2597"/>
      <c r="J26" s="2597"/>
      <c r="K26" s="2597"/>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6"/>
      <c r="C29" s="2596"/>
      <c r="D29" s="2597"/>
      <c r="E29" s="2597"/>
      <c r="F29" s="2597"/>
      <c r="G29" s="2597"/>
      <c r="H29" s="2597"/>
      <c r="I29" s="2597"/>
      <c r="J29" s="2597"/>
      <c r="K29" s="2597"/>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6"/>
      <c r="C32" s="2596"/>
      <c r="D32" s="2597"/>
      <c r="E32" s="2597"/>
      <c r="F32" s="2597"/>
      <c r="G32" s="2597"/>
      <c r="H32" s="2597"/>
      <c r="I32" s="2597"/>
      <c r="J32" s="2597"/>
      <c r="K32" s="2597"/>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5" t="str">
        <f>'Single Audit Cover'!A7</f>
        <v>Northbrook SD 28</v>
      </c>
      <c r="C1" s="2605"/>
      <c r="D1" s="2605"/>
      <c r="E1" s="2605"/>
      <c r="F1" s="2605"/>
      <c r="G1" s="2605"/>
      <c r="H1" s="2605"/>
      <c r="I1" s="2605"/>
      <c r="J1" s="2605"/>
      <c r="K1" s="2605"/>
      <c r="L1" s="1172"/>
    </row>
    <row r="2" spans="1:12" ht="12.75" customHeight="1" x14ac:dyDescent="0.2">
      <c r="B2" s="2606" t="str">
        <f>'Single Audit Cover'!E7</f>
        <v>05-016-0280-02</v>
      </c>
      <c r="C2" s="2606"/>
      <c r="D2" s="2606"/>
      <c r="E2" s="2606"/>
      <c r="F2" s="2606"/>
      <c r="G2" s="2606"/>
      <c r="H2" s="2606"/>
      <c r="I2" s="2606"/>
      <c r="J2" s="2606"/>
      <c r="K2" s="2606"/>
      <c r="L2" s="1173"/>
    </row>
    <row r="3" spans="1:12" ht="12.75" customHeight="1" x14ac:dyDescent="0.2">
      <c r="B3" s="2598" t="s">
        <v>1276</v>
      </c>
      <c r="C3" s="2598"/>
      <c r="D3" s="2598"/>
      <c r="E3" s="2598"/>
      <c r="F3" s="2598"/>
      <c r="G3" s="2598"/>
      <c r="H3" s="2598"/>
      <c r="I3" s="2598"/>
      <c r="J3" s="2598"/>
      <c r="K3" s="2598"/>
      <c r="L3" s="1098"/>
    </row>
    <row r="4" spans="1:12" ht="12.75" customHeight="1" x14ac:dyDescent="0.2">
      <c r="B4" s="2598" t="str">
        <f>'Single Audit Cover'!A4</f>
        <v>Year Ending June 30, 2020</v>
      </c>
      <c r="C4" s="2598"/>
      <c r="D4" s="2598"/>
      <c r="E4" s="2598"/>
      <c r="F4" s="2598"/>
      <c r="G4" s="2598"/>
      <c r="H4" s="2598"/>
      <c r="I4" s="2598"/>
      <c r="J4" s="2598"/>
      <c r="K4" s="2598"/>
      <c r="L4" s="1098"/>
    </row>
    <row r="5" spans="1:12" ht="5.25" customHeight="1" x14ac:dyDescent="0.2">
      <c r="B5" s="987" t="s">
        <v>1161</v>
      </c>
      <c r="C5" s="987"/>
      <c r="L5" s="300"/>
    </row>
    <row r="6" spans="1:12" ht="30.75" customHeight="1" x14ac:dyDescent="0.2">
      <c r="A6" s="300"/>
      <c r="B6" s="2607" t="s">
        <v>1299</v>
      </c>
      <c r="C6" s="2607"/>
      <c r="D6" s="2607"/>
      <c r="E6" s="2607"/>
      <c r="F6" s="2607"/>
      <c r="G6" s="2607"/>
      <c r="H6" s="2607"/>
      <c r="I6" s="2607"/>
      <c r="J6" s="2607"/>
      <c r="K6" s="2607"/>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7"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9"/>
      <c r="G12" s="2589"/>
      <c r="H12" s="2589"/>
      <c r="I12" s="2589"/>
      <c r="J12" s="2589"/>
      <c r="K12" s="2589"/>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2"/>
      <c r="E14" s="2602"/>
      <c r="F14" s="2602"/>
      <c r="H14" s="1181" t="s">
        <v>1294</v>
      </c>
      <c r="I14" s="2603"/>
      <c r="J14" s="2603"/>
      <c r="K14" s="2603"/>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3"/>
      <c r="E16" s="2603"/>
      <c r="F16" s="2603"/>
      <c r="G16" s="2603"/>
      <c r="H16" s="2603"/>
      <c r="I16" s="2603"/>
      <c r="J16" s="2603"/>
      <c r="K16" s="2603"/>
      <c r="L16" s="300"/>
    </row>
    <row r="17" spans="2:12" ht="13.5" customHeight="1" x14ac:dyDescent="0.2">
      <c r="B17" s="1107" t="s">
        <v>1292</v>
      </c>
      <c r="C17" s="1107"/>
      <c r="D17" s="2604"/>
      <c r="E17" s="2604"/>
      <c r="F17" s="2604"/>
      <c r="G17" s="2604"/>
      <c r="H17" s="2604"/>
      <c r="I17" s="2604"/>
      <c r="J17" s="2604"/>
      <c r="K17" s="2604"/>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7"/>
      <c r="C20" s="2597"/>
      <c r="D20" s="2597"/>
      <c r="E20" s="2597"/>
      <c r="F20" s="2597"/>
      <c r="G20" s="2597"/>
      <c r="H20" s="2597"/>
      <c r="I20" s="2597"/>
      <c r="J20" s="2597"/>
      <c r="K20" s="2597"/>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2" t="str">
        <f>'Single Audit Cover'!A7</f>
        <v>Northbrook SD 28</v>
      </c>
      <c r="C1" s="2582"/>
      <c r="D1" s="2582"/>
      <c r="E1" s="1191"/>
    </row>
    <row r="2" spans="2:5" s="1009" customFormat="1" ht="12.75" customHeight="1" x14ac:dyDescent="0.2">
      <c r="B2" s="2584" t="str">
        <f>'Single Audit Cover'!E7</f>
        <v>05-016-0280-02</v>
      </c>
      <c r="C2" s="2584"/>
      <c r="D2" s="2584"/>
      <c r="E2" s="1192"/>
    </row>
    <row r="3" spans="2:5" ht="12.75" customHeight="1" x14ac:dyDescent="0.2">
      <c r="B3" s="2598" t="s">
        <v>1746</v>
      </c>
      <c r="C3" s="2598"/>
      <c r="D3" s="2598"/>
      <c r="E3" s="1001"/>
    </row>
    <row r="4" spans="2:5" s="1009" customFormat="1" ht="12.75" customHeight="1" x14ac:dyDescent="0.2">
      <c r="B4" s="2608" t="str">
        <f>'Single Audit Cover'!A4</f>
        <v>Year Ending June 30, 2020</v>
      </c>
      <c r="C4" s="2608"/>
      <c r="D4" s="2608"/>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H12" sqref="H1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0" t="s">
        <v>383</v>
      </c>
      <c r="B1" s="2180"/>
      <c r="C1" s="2180"/>
      <c r="D1" s="2180"/>
      <c r="E1" s="2180"/>
      <c r="F1" s="2180"/>
      <c r="G1" s="2180"/>
      <c r="H1" s="2180"/>
      <c r="I1" s="2180"/>
      <c r="J1" s="2180"/>
      <c r="K1" s="2180"/>
      <c r="L1" s="2180"/>
      <c r="M1" s="218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v>1387997668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2.3074999999999998E-2</v>
      </c>
      <c r="E10" s="333" t="s">
        <v>998</v>
      </c>
      <c r="F10" s="332">
        <v>2.0530000000000001E-3</v>
      </c>
      <c r="G10" s="333" t="s">
        <v>998</v>
      </c>
      <c r="H10" s="332">
        <v>7.2099999999999996E-4</v>
      </c>
      <c r="I10" s="333" t="s">
        <v>999</v>
      </c>
      <c r="J10" s="1375">
        <f>ROUND(D10+F10+H10,5)</f>
        <v>2.5850000000000001E-2</v>
      </c>
      <c r="K10" s="217"/>
      <c r="L10" s="332">
        <v>0</v>
      </c>
      <c r="M10" s="217"/>
    </row>
    <row r="11" spans="1:14" ht="7.5" customHeight="1" x14ac:dyDescent="0.2">
      <c r="B11" s="217"/>
      <c r="C11" s="217"/>
      <c r="D11" s="2190" t="str">
        <f>IF(SUM(J10)&lt;=0.0999999,"","Enter the Tax Rates by moving the decimal two places to the left.")</f>
        <v/>
      </c>
      <c r="E11" s="2191"/>
      <c r="F11" s="2191"/>
      <c r="G11" s="2191"/>
      <c r="H11" s="2191"/>
      <c r="I11" s="2191"/>
      <c r="J11" s="219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38254159</v>
      </c>
      <c r="E16" s="1498"/>
      <c r="F16" s="1497">
        <f>SUM('Acct Summary 7-8'!C17,'Acct Summary 7-8'!D17,'Acct Summary 7-8'!F17)</f>
        <v>39402409</v>
      </c>
      <c r="G16" s="1498"/>
      <c r="H16" s="1497">
        <f>SUM(D16-F16)</f>
        <v>-1148250</v>
      </c>
      <c r="I16" s="1499"/>
      <c r="J16" s="1497">
        <f>SUM('Acct Summary 7-8'!C81,'Acct Summary 7-8'!D81,'Acct Summary 7-8'!F81,'Acct Summary 7-8'!I81)</f>
        <v>18352193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376">
        <f>IF(B31="X",(J7*0.069),IF(B32="X",(J7*0.138),"Enter x in a.or b."))</f>
        <v>95771839.092000008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1"/>
      <c r="C54" s="2182"/>
      <c r="D54" s="2182"/>
      <c r="E54" s="2182"/>
      <c r="F54" s="2182"/>
      <c r="G54" s="2182"/>
      <c r="H54" s="2182"/>
      <c r="I54" s="2182"/>
      <c r="J54" s="2182"/>
      <c r="K54" s="2182"/>
      <c r="L54" s="2183"/>
      <c r="M54" s="357"/>
    </row>
    <row r="55" spans="1:13" ht="12.75" customHeight="1" x14ac:dyDescent="0.2">
      <c r="B55" s="2184"/>
      <c r="C55" s="2185"/>
      <c r="D55" s="2185"/>
      <c r="E55" s="2185"/>
      <c r="F55" s="2185"/>
      <c r="G55" s="2185"/>
      <c r="H55" s="2185"/>
      <c r="I55" s="2185"/>
      <c r="J55" s="2185"/>
      <c r="K55" s="2185"/>
      <c r="L55" s="2186"/>
      <c r="M55" s="357"/>
    </row>
    <row r="56" spans="1:13" ht="12.75" customHeight="1" x14ac:dyDescent="0.2">
      <c r="B56" s="2184"/>
      <c r="C56" s="2185"/>
      <c r="D56" s="2185"/>
      <c r="E56" s="2185"/>
      <c r="F56" s="2185"/>
      <c r="G56" s="2185"/>
      <c r="H56" s="2185"/>
      <c r="I56" s="2185"/>
      <c r="J56" s="2185"/>
      <c r="K56" s="2185"/>
      <c r="L56" s="2186"/>
      <c r="M56" s="217"/>
    </row>
    <row r="57" spans="1:13" ht="12.75" customHeight="1" x14ac:dyDescent="0.2">
      <c r="B57" s="2184"/>
      <c r="C57" s="2185"/>
      <c r="D57" s="2185"/>
      <c r="E57" s="2185"/>
      <c r="F57" s="2185"/>
      <c r="G57" s="2185"/>
      <c r="H57" s="2185"/>
      <c r="I57" s="2185"/>
      <c r="J57" s="2185"/>
      <c r="K57" s="2185"/>
      <c r="L57" s="2186"/>
      <c r="M57" s="217"/>
    </row>
    <row r="58" spans="1:13" x14ac:dyDescent="0.2">
      <c r="B58" s="2187"/>
      <c r="C58" s="2188"/>
      <c r="D58" s="2188"/>
      <c r="E58" s="2188"/>
      <c r="F58" s="2188"/>
      <c r="G58" s="2188"/>
      <c r="H58" s="2188"/>
      <c r="I58" s="2188"/>
      <c r="J58" s="2188"/>
      <c r="K58" s="2188"/>
      <c r="L58" s="218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2"/>
      <c r="D61" s="219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5"/>
      <c r="B1" s="2196"/>
      <c r="C1" s="2196"/>
      <c r="D1" s="361"/>
      <c r="E1" s="361"/>
      <c r="F1" s="361"/>
      <c r="G1" s="361"/>
      <c r="H1" s="361"/>
      <c r="I1" s="361"/>
      <c r="J1" s="361"/>
      <c r="K1" s="361"/>
      <c r="L1" s="361"/>
      <c r="M1" s="361"/>
      <c r="N1" s="361"/>
      <c r="O1" s="2195"/>
      <c r="P1" s="2196"/>
      <c r="Q1" s="2196"/>
    </row>
    <row r="2" spans="1:18" ht="15" x14ac:dyDescent="0.2">
      <c r="A2" s="2199" t="s">
        <v>552</v>
      </c>
      <c r="B2" s="2199"/>
      <c r="C2" s="2199"/>
      <c r="D2" s="2199"/>
      <c r="E2" s="2199"/>
      <c r="F2" s="2199"/>
      <c r="G2" s="2199"/>
      <c r="H2" s="2199"/>
      <c r="I2" s="2199"/>
      <c r="J2" s="2199"/>
      <c r="K2" s="2199"/>
      <c r="L2" s="2199"/>
      <c r="M2" s="2199"/>
      <c r="N2" s="2199"/>
      <c r="O2" s="2199"/>
      <c r="P2" s="2199"/>
      <c r="Q2" s="2199"/>
      <c r="R2" s="2199"/>
    </row>
    <row r="3" spans="1:18" ht="12.75" x14ac:dyDescent="0.2">
      <c r="A3" s="2200" t="s">
        <v>1399</v>
      </c>
      <c r="B3" s="2200"/>
      <c r="C3" s="2200"/>
      <c r="D3" s="2200"/>
      <c r="E3" s="2200"/>
      <c r="F3" s="2200"/>
      <c r="G3" s="2200"/>
      <c r="H3" s="2200"/>
      <c r="I3" s="2200"/>
      <c r="J3" s="2200"/>
      <c r="K3" s="2200"/>
      <c r="L3" s="2200"/>
      <c r="M3" s="2200"/>
      <c r="N3" s="2200"/>
      <c r="O3" s="2200"/>
      <c r="P3" s="2200"/>
      <c r="Q3" s="2200"/>
      <c r="R3" s="2200"/>
    </row>
    <row r="4" spans="1:18" x14ac:dyDescent="0.2">
      <c r="A4" s="2201" t="s">
        <v>1540</v>
      </c>
      <c r="B4" s="2201"/>
      <c r="C4" s="2201"/>
      <c r="D4" s="2201"/>
      <c r="E4" s="2201"/>
      <c r="F4" s="2201"/>
      <c r="G4" s="2201"/>
      <c r="H4" s="2201"/>
      <c r="I4" s="2201"/>
      <c r="J4" s="2201"/>
      <c r="K4" s="2201"/>
      <c r="L4" s="2201"/>
      <c r="M4" s="2201"/>
      <c r="N4" s="2201"/>
      <c r="O4" s="2201"/>
      <c r="P4" s="2201"/>
      <c r="Q4" s="2201"/>
      <c r="R4" s="220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Northbrook SD 28</v>
      </c>
      <c r="E7" s="368"/>
      <c r="G7" s="247"/>
      <c r="H7" s="364"/>
      <c r="I7" s="364"/>
      <c r="J7" s="364"/>
      <c r="K7" s="364"/>
      <c r="L7" s="307"/>
      <c r="M7" s="307"/>
      <c r="N7" s="307"/>
      <c r="O7" s="307"/>
      <c r="P7" s="307"/>
    </row>
    <row r="8" spans="1:18" ht="12.75" x14ac:dyDescent="0.2">
      <c r="A8" s="307"/>
      <c r="B8" s="307"/>
      <c r="C8" s="366" t="s">
        <v>1117</v>
      </c>
      <c r="D8" s="369" t="str">
        <f>COVER!A13</f>
        <v>05-016-0280-02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4</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18352193</v>
      </c>
      <c r="I12" s="380"/>
      <c r="J12" s="380"/>
      <c r="K12" s="1510">
        <f>TRUNC((H12/H13*100000),5)/100000</f>
        <v>0.47974373189999997</v>
      </c>
      <c r="L12" s="381"/>
      <c r="M12" s="337" t="s">
        <v>1136</v>
      </c>
      <c r="N12" s="337"/>
      <c r="O12" s="1513">
        <v>0.35</v>
      </c>
      <c r="P12" s="213"/>
      <c r="Q12" s="213"/>
    </row>
    <row r="13" spans="1:18" s="382" customFormat="1" ht="12.75" x14ac:dyDescent="0.2">
      <c r="A13" s="213"/>
      <c r="B13" s="377"/>
      <c r="C13" s="2197" t="s">
        <v>1315</v>
      </c>
      <c r="D13" s="2198"/>
      <c r="E13" s="213"/>
      <c r="F13" s="383" t="s">
        <v>788</v>
      </c>
      <c r="G13" s="378"/>
      <c r="H13" s="1502">
        <f>SUM('Acct Summary 7-8'!C8+'Acct Summary 7-8'!D8+'Acct Summary 7-8'!F8+'Acct Summary 7-8'!I8)+H14</f>
        <v>38254159</v>
      </c>
      <c r="I13" s="380"/>
      <c r="J13" s="380"/>
      <c r="K13" s="1509"/>
      <c r="L13" s="213"/>
      <c r="M13" s="337" t="s">
        <v>1137</v>
      </c>
      <c r="N13" s="337"/>
      <c r="O13" s="1514">
        <f>(O11*O12)</f>
        <v>1.4</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t="str">
        <f>IF(K17&gt;1.2,"1",IF(K17&gt;1.1,"2",IF(K17&gt;1,"3",4)))</f>
        <v>3</v>
      </c>
      <c r="P16" s="211"/>
      <c r="R16" s="361"/>
    </row>
    <row r="17" spans="1:18" s="382" customFormat="1" ht="11.25" x14ac:dyDescent="0.2">
      <c r="A17" s="213"/>
      <c r="B17" s="377"/>
      <c r="C17" s="213" t="s">
        <v>792</v>
      </c>
      <c r="D17" s="213"/>
      <c r="E17" s="213"/>
      <c r="F17" s="213" t="s">
        <v>441</v>
      </c>
      <c r="G17" s="378"/>
      <c r="H17" s="1502">
        <f>SUM('Acct Summary 7-8'!C17+'Acct Summary 7-8'!D17+'Acct Summary 7-8'!F17)</f>
        <v>39402409</v>
      </c>
      <c r="I17" s="380"/>
      <c r="J17" s="389"/>
      <c r="K17" s="1510">
        <f>TRUNC((H17/H18*100000),5)/100000</f>
        <v>1.0300163441000001</v>
      </c>
      <c r="L17" s="381"/>
      <c r="M17" s="390" t="s">
        <v>1163</v>
      </c>
      <c r="O17" s="1516" t="str">
        <f>IF(AND(O16="2", J20 &gt; 2),"1",IF(AND(O16 = "1", J20 &gt; 2),"2",IF(AND(O16="1", J20 &gt;1),"1","0")))</f>
        <v>0</v>
      </c>
      <c r="P17" s="213"/>
    </row>
    <row r="18" spans="1:18" s="382" customFormat="1" ht="11.25" x14ac:dyDescent="0.2">
      <c r="A18" s="213"/>
      <c r="B18" s="377"/>
      <c r="C18" s="2197" t="s">
        <v>1308</v>
      </c>
      <c r="D18" s="2198"/>
      <c r="E18" s="213"/>
      <c r="F18" s="391" t="s">
        <v>789</v>
      </c>
      <c r="G18" s="378"/>
      <c r="H18" s="1502">
        <f>SUM('Acct Summary 7-8'!C8+'Acct Summary 7-8'!D8+'Acct Summary 7-8'!F8+'Acct Summary 7-8'!I8)+H19</f>
        <v>38254159</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f>IF(K17&lt;=1,"0",TRUNC(((K12-0.1)/(K17-1)*100),5)/100)</f>
        <v>12.651231900000001</v>
      </c>
      <c r="K20" s="1510" t="str">
        <f>IF(K17&lt;=1,"0",IF(AND(O16="2", J20 &gt; 2),TRUNC(((K12-0.1)/(K17-1)*100),5)/100,IF(AND(O16 = "1", J20 &gt; 2),TRUNC(((K12-0.1)/(K17-1)*100),5)/100,IF(AND(O16="1", J20 &gt;1),TRUNC(((K12-0.1)/(K17-1)*100),5)/100,""))))</f>
        <v/>
      </c>
      <c r="L20" s="213"/>
      <c r="M20" s="337" t="s">
        <v>1137</v>
      </c>
      <c r="N20" s="337"/>
      <c r="O20" s="1514">
        <f>(O16+O17)*O18</f>
        <v>1.0499999999999998</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3</v>
      </c>
      <c r="P23" s="211"/>
      <c r="R23" s="361"/>
    </row>
    <row r="24" spans="1:18" s="382" customFormat="1" ht="11.25" x14ac:dyDescent="0.2">
      <c r="A24" s="213"/>
      <c r="B24" s="377"/>
      <c r="C24" s="2194" t="s">
        <v>1398</v>
      </c>
      <c r="D24" s="2194"/>
      <c r="E24" s="213"/>
      <c r="F24" s="213" t="s">
        <v>442</v>
      </c>
      <c r="G24" s="378"/>
      <c r="H24" s="1502">
        <f>SUM('Assets-Liab 5-6'!C4+'Assets-Liab 5-6'!D4+'Assets-Liab 5-6'!F4+'Assets-Liab 5-6'!I4+'Assets-Liab 5-6'!C5+'Assets-Liab 5-6'!D5+'Assets-Liab 5-6'!F5+'Assets-Liab 5-6'!I5)</f>
        <v>18622969</v>
      </c>
      <c r="I24" s="394"/>
      <c r="J24" s="394"/>
      <c r="K24" s="1506">
        <f>TRUNC(((H24/H25*100000)/100000),2)</f>
        <v>170.14</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109451.13611000001</v>
      </c>
      <c r="I25" s="396"/>
      <c r="J25" s="396"/>
      <c r="K25" s="1509"/>
      <c r="L25" s="213"/>
      <c r="M25" s="337" t="s">
        <v>1137</v>
      </c>
      <c r="N25" s="337"/>
      <c r="O25" s="1514">
        <f>O23*O24</f>
        <v>0.30000000000000004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str">
        <f>IF(K28&gt;=75,"4",IF(K28&gt;=50,"3",IF(K28&gt;=25,"2",1)))</f>
        <v>4</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f>TRUNC(100-((((H28/H29*100))*100)/100),2)</f>
        <v>100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30497778.760129999</v>
      </c>
      <c r="I29" s="397"/>
      <c r="J29" s="397"/>
      <c r="K29" s="1509"/>
      <c r="L29" s="213"/>
      <c r="M29" s="337" t="s">
        <v>1137</v>
      </c>
      <c r="N29" s="337"/>
      <c r="O29" s="1514">
        <f>O27*O28</f>
        <v>0.4</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str">
        <f>IF(K32&gt;=75,"4",IF(K32&gt;=50,"3",IF(K32&gt;=25,"2",1)))</f>
        <v>4</v>
      </c>
      <c r="P31" s="211"/>
    </row>
    <row r="32" spans="1:18" s="382" customFormat="1" ht="11.25" x14ac:dyDescent="0.2">
      <c r="A32" s="213"/>
      <c r="B32" s="377"/>
      <c r="C32" s="213" t="s">
        <v>842</v>
      </c>
      <c r="D32" s="213"/>
      <c r="E32" s="213"/>
      <c r="F32" s="213"/>
      <c r="G32" s="378"/>
      <c r="H32" s="1502">
        <f>'FP Info 3'!H37</f>
        <v>0</v>
      </c>
      <c r="I32" s="392"/>
      <c r="J32" s="392"/>
      <c r="K32" s="1506">
        <f>TRUNC(100-((((H32/H33*100))*100)/100),2)</f>
        <v>100</v>
      </c>
      <c r="L32" s="381"/>
      <c r="M32" s="337" t="s">
        <v>1136</v>
      </c>
      <c r="N32" s="337"/>
      <c r="O32" s="1519">
        <v>0.1</v>
      </c>
    </row>
    <row r="33" spans="1:17" s="382" customFormat="1" ht="11.25" x14ac:dyDescent="0.2">
      <c r="A33" s="213"/>
      <c r="B33" s="377"/>
      <c r="C33" s="213" t="s">
        <v>794</v>
      </c>
      <c r="D33" s="213"/>
      <c r="E33" s="213"/>
      <c r="F33" s="213"/>
      <c r="G33" s="378"/>
      <c r="H33" s="379">
        <f>IF('FP Info 3'!H31="Enter X in a or b"," ",'FP Info 3'!H31)</f>
        <v>95771839.092000008</v>
      </c>
      <c r="I33" s="392"/>
      <c r="J33" s="392"/>
      <c r="K33" s="379"/>
      <c r="L33" s="213"/>
      <c r="M33" s="401" t="s">
        <v>1137</v>
      </c>
      <c r="N33" s="401"/>
      <c r="O33" s="1519">
        <f>(O31*O32)</f>
        <v>0.4</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f>(O13+O20+O25+O29+O33)</f>
        <v>3.55</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4" t="s">
        <v>967</v>
      </c>
      <c r="B3" s="2205"/>
      <c r="C3" s="1257"/>
      <c r="D3" s="1258"/>
      <c r="E3" s="1258"/>
      <c r="F3" s="1258"/>
      <c r="G3" s="1258"/>
      <c r="H3" s="1258"/>
      <c r="I3" s="1258"/>
      <c r="J3" s="1258"/>
      <c r="K3" s="1258"/>
      <c r="L3" s="1258"/>
      <c r="M3" s="1259"/>
      <c r="N3" s="1260"/>
    </row>
    <row r="4" spans="1:14" ht="13.5" customHeight="1" x14ac:dyDescent="0.2">
      <c r="A4" s="427" t="s">
        <v>1635</v>
      </c>
      <c r="B4" s="428"/>
      <c r="C4" s="1523">
        <v>10077067</v>
      </c>
      <c r="D4" s="1524">
        <v>1517580</v>
      </c>
      <c r="E4" s="1524"/>
      <c r="F4" s="1524">
        <v>402732</v>
      </c>
      <c r="G4" s="1524">
        <v>907596</v>
      </c>
      <c r="H4" s="1524">
        <v>15888</v>
      </c>
      <c r="I4" s="1524">
        <v>6625590</v>
      </c>
      <c r="J4" s="1525"/>
      <c r="K4" s="1524"/>
      <c r="L4" s="1524">
        <f>23801+16949</f>
        <v>40750</v>
      </c>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v>16376945</v>
      </c>
      <c r="D6" s="1524">
        <v>1457280</v>
      </c>
      <c r="E6" s="1524"/>
      <c r="F6" s="1524">
        <v>511735</v>
      </c>
      <c r="G6" s="1528">
        <v>676485</v>
      </c>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v>99258</v>
      </c>
      <c r="D8" s="1525"/>
      <c r="E8" s="1525"/>
      <c r="F8" s="1525">
        <v>82322</v>
      </c>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26553270</v>
      </c>
      <c r="D13" s="1538">
        <f t="shared" ref="D13:L13" si="0">SUM(D4:D12)</f>
        <v>2974860</v>
      </c>
      <c r="E13" s="1538">
        <f t="shared" si="0"/>
        <v>0</v>
      </c>
      <c r="F13" s="1538">
        <f t="shared" si="0"/>
        <v>996789</v>
      </c>
      <c r="G13" s="1538">
        <f t="shared" si="0"/>
        <v>1584081</v>
      </c>
      <c r="H13" s="1538">
        <f t="shared" si="0"/>
        <v>15888</v>
      </c>
      <c r="I13" s="1538">
        <f t="shared" si="0"/>
        <v>6625590</v>
      </c>
      <c r="J13" s="1538">
        <f t="shared" si="0"/>
        <v>0</v>
      </c>
      <c r="K13" s="1538">
        <f t="shared" si="0"/>
        <v>0</v>
      </c>
      <c r="L13" s="1538">
        <f t="shared" si="0"/>
        <v>40750</v>
      </c>
      <c r="M13" s="1526"/>
      <c r="N13" s="1527"/>
    </row>
    <row r="14" spans="1:14" ht="18" customHeight="1" thickTop="1" x14ac:dyDescent="0.2">
      <c r="A14" s="2206" t="s">
        <v>146</v>
      </c>
      <c r="B14" s="2207"/>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f>+'Cap Outlay Deprec 26'!L3</f>
        <v>0</v>
      </c>
      <c r="N15" s="1543"/>
    </row>
    <row r="16" spans="1:14" s="433" customFormat="1" ht="12.75" customHeight="1" x14ac:dyDescent="0.2">
      <c r="A16" s="431" t="s">
        <v>1388</v>
      </c>
      <c r="B16" s="432">
        <v>220</v>
      </c>
      <c r="C16" s="1533"/>
      <c r="D16" s="1533"/>
      <c r="E16" s="1533"/>
      <c r="F16" s="1533"/>
      <c r="G16" s="1533"/>
      <c r="H16" s="1533"/>
      <c r="I16" s="1533"/>
      <c r="J16" s="1533"/>
      <c r="K16" s="1533"/>
      <c r="L16" s="1533"/>
      <c r="M16" s="1525">
        <f>+'Cap Outlay Deprec 26'!L5+'Cap Outlay Deprec 26'!L6</f>
        <v>678040</v>
      </c>
      <c r="N16" s="1543"/>
    </row>
    <row r="17" spans="1:14" s="433" customFormat="1" ht="12.75" customHeight="1" x14ac:dyDescent="0.2">
      <c r="A17" s="431" t="s">
        <v>1389</v>
      </c>
      <c r="B17" s="432">
        <v>230</v>
      </c>
      <c r="C17" s="1533"/>
      <c r="D17" s="1533"/>
      <c r="E17" s="1533"/>
      <c r="F17" s="1533"/>
      <c r="G17" s="1533"/>
      <c r="H17" s="1533"/>
      <c r="I17" s="1533"/>
      <c r="J17" s="1533"/>
      <c r="K17" s="1533"/>
      <c r="L17" s="1533"/>
      <c r="M17" s="1525">
        <f>+'Cap Outlay Deprec 26'!L8+'Cap Outlay Deprec 26'!L9</f>
        <v>32296763</v>
      </c>
      <c r="N17" s="1543"/>
    </row>
    <row r="18" spans="1:14" s="433" customFormat="1" ht="12.75" customHeight="1" x14ac:dyDescent="0.2">
      <c r="A18" s="431" t="s">
        <v>1390</v>
      </c>
      <c r="B18" s="432">
        <v>240</v>
      </c>
      <c r="C18" s="1533"/>
      <c r="D18" s="1533"/>
      <c r="E18" s="1533"/>
      <c r="F18" s="1533"/>
      <c r="G18" s="1533"/>
      <c r="H18" s="1533"/>
      <c r="I18" s="1533"/>
      <c r="J18" s="1533"/>
      <c r="K18" s="1533"/>
      <c r="L18" s="1533"/>
      <c r="M18" s="1525">
        <f>+'Cap Outlay Deprec 26'!L10</f>
        <v>157269</v>
      </c>
      <c r="N18" s="1543"/>
    </row>
    <row r="19" spans="1:14" s="433" customFormat="1" ht="12.75" customHeight="1" x14ac:dyDescent="0.2">
      <c r="A19" s="431" t="s">
        <v>1391</v>
      </c>
      <c r="B19" s="432">
        <v>250</v>
      </c>
      <c r="C19" s="1533"/>
      <c r="D19" s="1533"/>
      <c r="E19" s="1533"/>
      <c r="F19" s="1533"/>
      <c r="G19" s="1533"/>
      <c r="H19" s="1533"/>
      <c r="I19" s="1533"/>
      <c r="J19" s="1533"/>
      <c r="K19" s="1533"/>
      <c r="L19" s="1533"/>
      <c r="M19" s="1525">
        <f>+'Cap Outlay Deprec 26'!L12+'Cap Outlay Deprec 26'!L13+'Cap Outlay Deprec 26'!L14</f>
        <v>1494057</v>
      </c>
      <c r="N19" s="1543"/>
    </row>
    <row r="20" spans="1:14" s="433" customFormat="1" ht="12.75" customHeight="1" x14ac:dyDescent="0.2">
      <c r="A20" s="431" t="s">
        <v>1392</v>
      </c>
      <c r="B20" s="432">
        <v>260</v>
      </c>
      <c r="C20" s="1533"/>
      <c r="D20" s="1533"/>
      <c r="E20" s="1533"/>
      <c r="F20" s="1533"/>
      <c r="G20" s="1533"/>
      <c r="H20" s="1533"/>
      <c r="I20" s="1533"/>
      <c r="J20" s="1533"/>
      <c r="K20" s="1533"/>
      <c r="L20" s="1533"/>
      <c r="M20" s="1525">
        <f>+'Cap Outlay Deprec 26'!L15</f>
        <v>116380</v>
      </c>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0</v>
      </c>
    </row>
    <row r="23" spans="1:14" ht="13.5" customHeight="1" thickBot="1" x14ac:dyDescent="0.25">
      <c r="A23" s="1377" t="s">
        <v>638</v>
      </c>
      <c r="B23" s="1380"/>
      <c r="C23" s="1526"/>
      <c r="D23" s="1526"/>
      <c r="E23" s="1526"/>
      <c r="F23" s="1526"/>
      <c r="G23" s="1526"/>
      <c r="H23" s="1526"/>
      <c r="I23" s="1526"/>
      <c r="J23" s="1526"/>
      <c r="K23" s="1526"/>
      <c r="L23" s="1526"/>
      <c r="M23" s="1545">
        <f>SUM(M15:M22)</f>
        <v>34742509</v>
      </c>
      <c r="N23" s="1545">
        <f>SUM(N21:N22)</f>
        <v>0</v>
      </c>
    </row>
    <row r="24" spans="1:14" ht="18" customHeight="1" thickTop="1" x14ac:dyDescent="0.2">
      <c r="A24" s="2208" t="s">
        <v>594</v>
      </c>
      <c r="B24" s="2209"/>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c r="D26" s="1525"/>
      <c r="E26" s="1525"/>
      <c r="F26" s="1525"/>
      <c r="G26" s="1525"/>
      <c r="H26" s="1525"/>
      <c r="I26" s="1525"/>
      <c r="J26" s="1530"/>
      <c r="K26" s="1525"/>
      <c r="L26" s="1526"/>
      <c r="M26" s="1526"/>
      <c r="N26" s="1526"/>
    </row>
    <row r="27" spans="1:14" ht="13.5" customHeight="1" x14ac:dyDescent="0.2">
      <c r="A27" s="430" t="s">
        <v>642</v>
      </c>
      <c r="B27" s="429">
        <v>430</v>
      </c>
      <c r="C27" s="1525">
        <v>167277</v>
      </c>
      <c r="D27" s="1525">
        <v>10857</v>
      </c>
      <c r="E27" s="1525"/>
      <c r="F27" s="1525"/>
      <c r="G27" s="1525"/>
      <c r="H27" s="1525">
        <v>15888</v>
      </c>
      <c r="I27" s="1525"/>
      <c r="J27" s="1525"/>
      <c r="K27" s="1525"/>
      <c r="L27" s="1526"/>
      <c r="M27" s="1526"/>
      <c r="N27" s="1526"/>
    </row>
    <row r="28" spans="1:14" ht="13.5" customHeight="1" x14ac:dyDescent="0.2">
      <c r="A28" s="430" t="s">
        <v>643</v>
      </c>
      <c r="B28" s="429">
        <v>440</v>
      </c>
      <c r="C28" s="1525">
        <v>239510</v>
      </c>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v>34712</v>
      </c>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v>16376945</v>
      </c>
      <c r="D32" s="1550">
        <v>1457280</v>
      </c>
      <c r="E32" s="1530"/>
      <c r="F32" s="1530">
        <v>511735</v>
      </c>
      <c r="G32" s="1530">
        <v>676485</v>
      </c>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f>16949+23801</f>
        <v>40750</v>
      </c>
      <c r="M33" s="1526"/>
      <c r="N33" s="1527"/>
    </row>
    <row r="34" spans="1:14" ht="13.5" customHeight="1" thickBot="1" x14ac:dyDescent="0.25">
      <c r="A34" s="1378" t="s">
        <v>649</v>
      </c>
      <c r="B34" s="1379"/>
      <c r="C34" s="1551">
        <f>SUM(C25:C33)</f>
        <v>16783732</v>
      </c>
      <c r="D34" s="1551">
        <f t="shared" ref="D34:K34" si="1">SUM(D25:D33)</f>
        <v>1502849</v>
      </c>
      <c r="E34" s="1551">
        <f t="shared" si="1"/>
        <v>0</v>
      </c>
      <c r="F34" s="1551">
        <f t="shared" si="1"/>
        <v>511735</v>
      </c>
      <c r="G34" s="1551">
        <f t="shared" si="1"/>
        <v>676485</v>
      </c>
      <c r="H34" s="1551">
        <f t="shared" si="1"/>
        <v>15888</v>
      </c>
      <c r="I34" s="1551">
        <f t="shared" si="1"/>
        <v>0</v>
      </c>
      <c r="J34" s="1551">
        <f t="shared" si="1"/>
        <v>0</v>
      </c>
      <c r="K34" s="1551">
        <f t="shared" si="1"/>
        <v>0</v>
      </c>
      <c r="L34" s="1552">
        <f>SUM(L33)</f>
        <v>40750</v>
      </c>
      <c r="M34" s="1526"/>
      <c r="N34" s="1536"/>
    </row>
    <row r="35" spans="1:14" ht="18" customHeight="1" thickTop="1" x14ac:dyDescent="0.2">
      <c r="A35" s="2210" t="s">
        <v>526</v>
      </c>
      <c r="B35" s="2211"/>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0</v>
      </c>
    </row>
    <row r="37" spans="1:14" ht="13.5" thickBot="1" x14ac:dyDescent="0.25">
      <c r="A37" s="1377" t="s">
        <v>648</v>
      </c>
      <c r="B37" s="1380"/>
      <c r="C37" s="1533"/>
      <c r="D37" s="1533"/>
      <c r="E37" s="1533"/>
      <c r="F37" s="1533"/>
      <c r="G37" s="1533"/>
      <c r="H37" s="1533"/>
      <c r="I37" s="1533"/>
      <c r="J37" s="1533"/>
      <c r="K37" s="1533"/>
      <c r="L37" s="1536"/>
      <c r="M37" s="1526"/>
      <c r="N37" s="1545">
        <f>SUM(N36:N36)</f>
        <v>0</v>
      </c>
    </row>
    <row r="38" spans="1:14" s="307" customFormat="1" ht="13.5" customHeight="1" thickTop="1" x14ac:dyDescent="0.2">
      <c r="A38" s="438" t="s">
        <v>417</v>
      </c>
      <c r="B38" s="432">
        <v>714</v>
      </c>
      <c r="C38" s="1524"/>
      <c r="D38" s="1524">
        <v>1472011</v>
      </c>
      <c r="E38" s="1524"/>
      <c r="F38" s="1524">
        <v>485054</v>
      </c>
      <c r="G38" s="1524">
        <v>907596</v>
      </c>
      <c r="H38" s="1524">
        <v>0</v>
      </c>
      <c r="I38" s="1524"/>
      <c r="J38" s="1525"/>
      <c r="K38" s="1524"/>
      <c r="L38" s="1537"/>
      <c r="M38" s="1555"/>
      <c r="N38" s="1555"/>
    </row>
    <row r="39" spans="1:14" s="307" customFormat="1" ht="13.5" customHeight="1" x14ac:dyDescent="0.2">
      <c r="A39" s="438" t="s">
        <v>339</v>
      </c>
      <c r="B39" s="432">
        <v>730</v>
      </c>
      <c r="C39" s="1524">
        <v>9769538</v>
      </c>
      <c r="D39" s="1524"/>
      <c r="E39" s="1524"/>
      <c r="F39" s="1524"/>
      <c r="G39" s="1524"/>
      <c r="H39" s="1524"/>
      <c r="I39" s="1524">
        <v>6625590</v>
      </c>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f>'Cap Outlay Deprec 26'!L16</f>
        <v>34742509</v>
      </c>
      <c r="N40" s="1555"/>
    </row>
    <row r="41" spans="1:14" ht="13.5" customHeight="1" thickBot="1" x14ac:dyDescent="0.25">
      <c r="A41" s="1377" t="s">
        <v>650</v>
      </c>
      <c r="B41" s="1356"/>
      <c r="C41" s="1545">
        <f>(SUM(C34,C37,C38,C39))</f>
        <v>26553270</v>
      </c>
      <c r="D41" s="1545">
        <f t="shared" ref="D41:L41" si="2">SUM(D34,D37,D38:D39)</f>
        <v>2974860</v>
      </c>
      <c r="E41" s="1545">
        <f t="shared" si="2"/>
        <v>0</v>
      </c>
      <c r="F41" s="1545">
        <f t="shared" si="2"/>
        <v>996789</v>
      </c>
      <c r="G41" s="1545">
        <f t="shared" si="2"/>
        <v>1584081</v>
      </c>
      <c r="H41" s="1545">
        <f t="shared" si="2"/>
        <v>15888</v>
      </c>
      <c r="I41" s="1545">
        <f t="shared" si="2"/>
        <v>6625590</v>
      </c>
      <c r="J41" s="1545">
        <f t="shared" si="2"/>
        <v>0</v>
      </c>
      <c r="K41" s="1545">
        <f t="shared" si="2"/>
        <v>0</v>
      </c>
      <c r="L41" s="1545">
        <f t="shared" si="2"/>
        <v>40750</v>
      </c>
      <c r="M41" s="1545">
        <f>SUM(M40)</f>
        <v>34742509</v>
      </c>
      <c r="N41" s="154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activeCell="I80" sqref="I80"/>
      <selection pane="bottomLeft" activeCell="D74" sqref="D7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2" t="s">
        <v>1167</v>
      </c>
      <c r="B3" s="2233"/>
      <c r="C3" s="1262"/>
      <c r="D3" s="1263"/>
      <c r="E3" s="1263"/>
      <c r="F3" s="1263"/>
      <c r="G3" s="1263"/>
      <c r="H3" s="1263"/>
      <c r="I3" s="1263"/>
      <c r="J3" s="1263"/>
      <c r="K3" s="1264"/>
      <c r="L3" s="446"/>
    </row>
    <row r="4" spans="1:13" ht="15.75" customHeight="1" x14ac:dyDescent="0.2">
      <c r="A4" s="1488" t="s">
        <v>1485</v>
      </c>
      <c r="B4" s="1489">
        <v>1000</v>
      </c>
      <c r="C4" s="1557">
        <f>'Revenues 9-14'!C109</f>
        <v>31974782</v>
      </c>
      <c r="D4" s="1557">
        <f>'Revenues 9-14'!D109</f>
        <v>2984039</v>
      </c>
      <c r="E4" s="1557">
        <f>'Revenues 9-14'!E109</f>
        <v>0</v>
      </c>
      <c r="F4" s="1557">
        <f>'Revenues 9-14'!F109</f>
        <v>975450</v>
      </c>
      <c r="G4" s="1557">
        <f>'Revenues 9-14'!G109</f>
        <v>1269035</v>
      </c>
      <c r="H4" s="1557">
        <f>'Revenues 9-14'!H109</f>
        <v>79</v>
      </c>
      <c r="I4" s="1557">
        <f>'Revenues 9-14'!I109</f>
        <v>136227</v>
      </c>
      <c r="J4" s="1557">
        <f>'Revenues 9-14'!J109</f>
        <v>0</v>
      </c>
      <c r="K4" s="1557">
        <f>'Revenues 9-14'!K109</f>
        <v>0</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1079130</v>
      </c>
      <c r="D6" s="1558">
        <f>'Revenues 9-14'!D170</f>
        <v>50000</v>
      </c>
      <c r="E6" s="1558">
        <f>'Revenues 9-14'!E170</f>
        <v>0</v>
      </c>
      <c r="F6" s="1558">
        <f>'Revenues 9-14'!F170</f>
        <v>332859</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721672</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33775584</v>
      </c>
      <c r="D8" s="1545">
        <f t="shared" ref="D8:K8" si="0">SUM(D4:D7)</f>
        <v>3034039</v>
      </c>
      <c r="E8" s="1545">
        <f t="shared" si="0"/>
        <v>0</v>
      </c>
      <c r="F8" s="1545">
        <f t="shared" si="0"/>
        <v>1308309</v>
      </c>
      <c r="G8" s="1545">
        <f t="shared" si="0"/>
        <v>1269035</v>
      </c>
      <c r="H8" s="1545">
        <f t="shared" si="0"/>
        <v>79</v>
      </c>
      <c r="I8" s="1545">
        <f t="shared" si="0"/>
        <v>136227</v>
      </c>
      <c r="J8" s="1545">
        <f t="shared" si="0"/>
        <v>0</v>
      </c>
      <c r="K8" s="1545">
        <f t="shared" si="0"/>
        <v>0</v>
      </c>
      <c r="L8" s="325"/>
    </row>
    <row r="9" spans="1:13" ht="15.75" thickTop="1" x14ac:dyDescent="0.2">
      <c r="A9" s="449" t="s">
        <v>1637</v>
      </c>
      <c r="B9" s="450">
        <v>3998</v>
      </c>
      <c r="C9" s="1537">
        <v>17048340</v>
      </c>
      <c r="D9" s="1564"/>
      <c r="E9" s="1537"/>
      <c r="F9" s="1537"/>
      <c r="G9" s="1565"/>
      <c r="H9" s="1537"/>
      <c r="I9" s="1560" t="s">
        <v>1161</v>
      </c>
      <c r="J9" s="1534"/>
      <c r="K9" s="1537"/>
      <c r="L9" s="325"/>
    </row>
    <row r="10" spans="1:13" s="452" customFormat="1" ht="13.5" thickBot="1" x14ac:dyDescent="0.25">
      <c r="A10" s="1377" t="s">
        <v>1165</v>
      </c>
      <c r="B10" s="1358"/>
      <c r="C10" s="1545">
        <f>SUM(C8:C9)</f>
        <v>50823924</v>
      </c>
      <c r="D10" s="1545">
        <f t="shared" ref="D10:K10" si="1">SUM(D8:D9)</f>
        <v>3034039</v>
      </c>
      <c r="E10" s="1545">
        <f t="shared" si="1"/>
        <v>0</v>
      </c>
      <c r="F10" s="1545">
        <f t="shared" si="1"/>
        <v>1308309</v>
      </c>
      <c r="G10" s="1545">
        <f t="shared" si="1"/>
        <v>1269035</v>
      </c>
      <c r="H10" s="1545">
        <f t="shared" si="1"/>
        <v>79</v>
      </c>
      <c r="I10" s="1545">
        <f t="shared" si="1"/>
        <v>136227</v>
      </c>
      <c r="J10" s="1545">
        <f t="shared" si="1"/>
        <v>0</v>
      </c>
      <c r="K10" s="1545">
        <f t="shared" si="1"/>
        <v>0</v>
      </c>
      <c r="L10" s="451"/>
    </row>
    <row r="11" spans="1:13" s="452" customFormat="1" ht="16.7" customHeight="1" thickTop="1" x14ac:dyDescent="0.2">
      <c r="A11" s="2206" t="s">
        <v>1168</v>
      </c>
      <c r="B11" s="2207"/>
      <c r="C11" s="1553"/>
      <c r="D11" s="1554"/>
      <c r="E11" s="1554"/>
      <c r="F11" s="1554"/>
      <c r="G11" s="1554"/>
      <c r="H11" s="1554"/>
      <c r="I11" s="1554"/>
      <c r="J11" s="1554"/>
      <c r="K11" s="1566"/>
      <c r="L11" s="451"/>
    </row>
    <row r="12" spans="1:13" ht="15.75" customHeight="1" x14ac:dyDescent="0.2">
      <c r="A12" s="1265" t="s">
        <v>453</v>
      </c>
      <c r="B12" s="1267">
        <v>1000</v>
      </c>
      <c r="C12" s="1557">
        <f>'Expenditures 15-22'!K33</f>
        <v>24941248</v>
      </c>
      <c r="D12" s="1567" t="s">
        <v>1161</v>
      </c>
      <c r="E12" s="1526" t="s">
        <v>1161</v>
      </c>
      <c r="F12" s="1526" t="s">
        <v>1161</v>
      </c>
      <c r="G12" s="1557">
        <f>'Expenditures 15-22'!K229</f>
        <v>631963</v>
      </c>
      <c r="H12" s="1568"/>
      <c r="I12" s="1526" t="s">
        <v>1161</v>
      </c>
      <c r="J12" s="1526" t="s">
        <v>1161</v>
      </c>
      <c r="K12" s="1568" t="s">
        <v>1161</v>
      </c>
      <c r="L12" s="325"/>
    </row>
    <row r="13" spans="1:13" ht="15.75" customHeight="1" x14ac:dyDescent="0.2">
      <c r="A13" s="1265" t="s">
        <v>454</v>
      </c>
      <c r="B13" s="1267">
        <v>2000</v>
      </c>
      <c r="C13" s="1558">
        <f>'Expenditures 15-22'!K74</f>
        <v>8962294</v>
      </c>
      <c r="D13" s="1558">
        <f>'Expenditures 15-22'!K129</f>
        <v>2432990</v>
      </c>
      <c r="E13" s="1527" t="s">
        <v>1161</v>
      </c>
      <c r="F13" s="1558">
        <f>'Expenditures 15-22'!K184</f>
        <v>1260049</v>
      </c>
      <c r="G13" s="1558">
        <f>'Expenditures 15-22'!K279</f>
        <v>614333</v>
      </c>
      <c r="H13" s="1558">
        <f>'Expenditures 15-22'!K303</f>
        <v>857161</v>
      </c>
      <c r="I13" s="1526" t="s">
        <v>1161</v>
      </c>
      <c r="J13" s="1558">
        <f>'Expenditures 15-22'!K330</f>
        <v>0</v>
      </c>
      <c r="K13" s="1569">
        <f>'Expenditures 15-22'!K352</f>
        <v>0</v>
      </c>
      <c r="L13" s="325"/>
    </row>
    <row r="14" spans="1:13" ht="15.75" customHeight="1" x14ac:dyDescent="0.2">
      <c r="A14" s="1265" t="s">
        <v>446</v>
      </c>
      <c r="B14" s="1267">
        <v>3000</v>
      </c>
      <c r="C14" s="1558">
        <f>'Expenditures 15-22'!K75</f>
        <v>213982</v>
      </c>
      <c r="D14" s="1558">
        <f>'Expenditures 15-22'!K130</f>
        <v>0</v>
      </c>
      <c r="E14" s="1567" t="s">
        <v>1161</v>
      </c>
      <c r="F14" s="1558">
        <f>'Expenditures 15-22'!K185</f>
        <v>0</v>
      </c>
      <c r="G14" s="1558">
        <f>'Expenditures 15-22'!K280</f>
        <v>23942</v>
      </c>
      <c r="H14" s="1563"/>
      <c r="I14" s="1526" t="s">
        <v>1161</v>
      </c>
      <c r="J14" s="1526" t="s">
        <v>1161</v>
      </c>
      <c r="K14" s="1563" t="s">
        <v>1161</v>
      </c>
      <c r="L14" s="325"/>
    </row>
    <row r="15" spans="1:13" ht="15.75" customHeight="1" x14ac:dyDescent="0.2">
      <c r="A15" s="1265" t="s">
        <v>107</v>
      </c>
      <c r="B15" s="1267">
        <v>4000</v>
      </c>
      <c r="C15" s="1558">
        <f>'Expenditures 15-22'!K102</f>
        <v>1591846</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0</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35709370</v>
      </c>
      <c r="D17" s="1545">
        <f t="shared" si="2"/>
        <v>2432990</v>
      </c>
      <c r="E17" s="1545">
        <f t="shared" si="2"/>
        <v>0</v>
      </c>
      <c r="F17" s="1545">
        <f t="shared" si="2"/>
        <v>1260049</v>
      </c>
      <c r="G17" s="1545">
        <f t="shared" si="2"/>
        <v>1270238</v>
      </c>
      <c r="H17" s="1545">
        <f t="shared" si="2"/>
        <v>857161</v>
      </c>
      <c r="I17" s="1526"/>
      <c r="J17" s="1545">
        <f>SUM(J12:J16)</f>
        <v>0</v>
      </c>
      <c r="K17" s="1545">
        <f>SUM(K12:K16)</f>
        <v>0</v>
      </c>
      <c r="L17" s="325"/>
    </row>
    <row r="18" spans="1:12" ht="15" customHeight="1" thickTop="1" x14ac:dyDescent="0.2">
      <c r="A18" s="1381" t="s">
        <v>1638</v>
      </c>
      <c r="B18" s="1382">
        <v>4180</v>
      </c>
      <c r="C18" s="1557">
        <f t="shared" ref="C18:H18" si="3">C9</f>
        <v>17048340</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52757710</v>
      </c>
      <c r="D19" s="1545">
        <f t="shared" si="4"/>
        <v>2432990</v>
      </c>
      <c r="E19" s="1545">
        <f t="shared" si="4"/>
        <v>0</v>
      </c>
      <c r="F19" s="1545">
        <f t="shared" si="4"/>
        <v>1260049</v>
      </c>
      <c r="G19" s="1545">
        <f t="shared" si="4"/>
        <v>1270238</v>
      </c>
      <c r="H19" s="1545">
        <f t="shared" si="4"/>
        <v>857161</v>
      </c>
      <c r="I19" s="1526"/>
      <c r="J19" s="1545">
        <f>SUM(J17:J18)</f>
        <v>0</v>
      </c>
      <c r="K19" s="1545">
        <f>SUM(K17:K18)</f>
        <v>0</v>
      </c>
      <c r="L19" s="325"/>
    </row>
    <row r="20" spans="1:12" ht="16.5" thickTop="1" thickBot="1" x14ac:dyDescent="0.25">
      <c r="A20" s="2222" t="s">
        <v>1639</v>
      </c>
      <c r="B20" s="2223"/>
      <c r="C20" s="1573">
        <f>C8-C17</f>
        <v>-1933786</v>
      </c>
      <c r="D20" s="1573">
        <f t="shared" ref="D20:K20" si="5">D8-D17</f>
        <v>601049</v>
      </c>
      <c r="E20" s="1573">
        <f t="shared" si="5"/>
        <v>0</v>
      </c>
      <c r="F20" s="1573">
        <f t="shared" si="5"/>
        <v>48260</v>
      </c>
      <c r="G20" s="1573">
        <f t="shared" si="5"/>
        <v>-1203</v>
      </c>
      <c r="H20" s="1573">
        <f t="shared" si="5"/>
        <v>-857082</v>
      </c>
      <c r="I20" s="1573">
        <f t="shared" si="5"/>
        <v>136227</v>
      </c>
      <c r="J20" s="1573">
        <f t="shared" si="5"/>
        <v>0</v>
      </c>
      <c r="K20" s="1573">
        <f t="shared" si="5"/>
        <v>0</v>
      </c>
      <c r="L20" s="325"/>
    </row>
    <row r="21" spans="1:12" ht="16.7" customHeight="1" thickTop="1" x14ac:dyDescent="0.2">
      <c r="A21" s="2234" t="s">
        <v>591</v>
      </c>
      <c r="B21" s="2235"/>
      <c r="C21" s="1553"/>
      <c r="D21" s="1554"/>
      <c r="E21" s="1554"/>
      <c r="F21" s="1554"/>
      <c r="G21" s="1554"/>
      <c r="H21" s="1554"/>
      <c r="I21" s="1554"/>
      <c r="J21" s="1554"/>
      <c r="K21" s="1566"/>
      <c r="L21" s="453"/>
    </row>
    <row r="22" spans="1:12" ht="15.75" customHeight="1" collapsed="1" x14ac:dyDescent="0.2">
      <c r="A22" s="2230" t="s">
        <v>592</v>
      </c>
      <c r="B22" s="2231"/>
      <c r="C22" s="1533"/>
      <c r="D22" s="1533"/>
      <c r="E22" s="1533"/>
      <c r="F22" s="1533"/>
      <c r="G22" s="1533"/>
      <c r="H22" s="1533"/>
      <c r="I22" s="1533"/>
      <c r="J22" s="1533"/>
      <c r="K22" s="1533"/>
      <c r="L22" s="325"/>
    </row>
    <row r="23" spans="1:12" s="433" customFormat="1" ht="15.75" customHeight="1" x14ac:dyDescent="0.2">
      <c r="A23" s="2226" t="s">
        <v>290</v>
      </c>
      <c r="B23" s="2227"/>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8" t="s">
        <v>974</v>
      </c>
      <c r="B32" s="2229"/>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857082</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6" t="s">
        <v>371</v>
      </c>
      <c r="B44" s="2237"/>
      <c r="C44" s="1575">
        <f>SUM(C24:C43)</f>
        <v>0</v>
      </c>
      <c r="D44" s="1575">
        <f t="shared" ref="D44:K44" si="6">SUM(D24:D43)</f>
        <v>0</v>
      </c>
      <c r="E44" s="1575">
        <f t="shared" si="6"/>
        <v>0</v>
      </c>
      <c r="F44" s="1575">
        <f t="shared" si="6"/>
        <v>0</v>
      </c>
      <c r="G44" s="1575">
        <f t="shared" si="6"/>
        <v>0</v>
      </c>
      <c r="H44" s="1575">
        <f t="shared" si="6"/>
        <v>857082</v>
      </c>
      <c r="I44" s="1575">
        <f t="shared" si="6"/>
        <v>0</v>
      </c>
      <c r="J44" s="1575">
        <f t="shared" si="6"/>
        <v>0</v>
      </c>
      <c r="K44" s="1575">
        <f t="shared" si="6"/>
        <v>0</v>
      </c>
      <c r="L44" s="453"/>
    </row>
    <row r="45" spans="1:12" ht="15.75" customHeight="1" thickTop="1" x14ac:dyDescent="0.2">
      <c r="A45" s="2230" t="s">
        <v>108</v>
      </c>
      <c r="B45" s="2231"/>
      <c r="C45" s="1576"/>
      <c r="D45" s="1576"/>
      <c r="E45" s="1576"/>
      <c r="F45" s="1576"/>
      <c r="G45" s="1576"/>
      <c r="H45" s="1576"/>
      <c r="I45" s="1576"/>
      <c r="J45" s="1576"/>
      <c r="K45" s="1576"/>
      <c r="L45" s="325"/>
    </row>
    <row r="46" spans="1:12" s="433" customFormat="1" ht="15.75" customHeight="1" x14ac:dyDescent="0.2">
      <c r="A46" s="2238" t="s">
        <v>109</v>
      </c>
      <c r="B46" s="2239"/>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v>857082</v>
      </c>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2" t="s">
        <v>437</v>
      </c>
      <c r="B76" s="2213"/>
      <c r="C76" s="1575">
        <f t="shared" ref="C76:K76" si="7">SUM(C47:C75)</f>
        <v>0</v>
      </c>
      <c r="D76" s="1575">
        <f t="shared" si="7"/>
        <v>857082</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214" t="s">
        <v>1169</v>
      </c>
      <c r="B77" s="2215"/>
      <c r="C77" s="1575">
        <f t="shared" ref="C77:K77" si="8">C44-C76</f>
        <v>0</v>
      </c>
      <c r="D77" s="1575">
        <f t="shared" si="8"/>
        <v>-857082</v>
      </c>
      <c r="E77" s="1575">
        <f t="shared" si="8"/>
        <v>0</v>
      </c>
      <c r="F77" s="1575">
        <f t="shared" si="8"/>
        <v>0</v>
      </c>
      <c r="G77" s="1575">
        <f t="shared" si="8"/>
        <v>0</v>
      </c>
      <c r="H77" s="1575">
        <f t="shared" si="8"/>
        <v>857082</v>
      </c>
      <c r="I77" s="1575">
        <f t="shared" si="8"/>
        <v>0</v>
      </c>
      <c r="J77" s="1575">
        <f t="shared" si="8"/>
        <v>0</v>
      </c>
      <c r="K77" s="1575">
        <f t="shared" si="8"/>
        <v>0</v>
      </c>
      <c r="L77" s="325"/>
    </row>
    <row r="78" spans="1:12" ht="21.75" customHeight="1" thickTop="1" thickBot="1" x14ac:dyDescent="0.25">
      <c r="A78" s="2218" t="s">
        <v>593</v>
      </c>
      <c r="B78" s="2219"/>
      <c r="C78" s="1580">
        <f t="shared" ref="C78:K78" si="9">C20+C77</f>
        <v>-1933786</v>
      </c>
      <c r="D78" s="1580">
        <f t="shared" si="9"/>
        <v>-256033</v>
      </c>
      <c r="E78" s="1580">
        <f t="shared" si="9"/>
        <v>0</v>
      </c>
      <c r="F78" s="1580">
        <f t="shared" si="9"/>
        <v>48260</v>
      </c>
      <c r="G78" s="1580">
        <f t="shared" si="9"/>
        <v>-1203</v>
      </c>
      <c r="H78" s="1580">
        <f t="shared" si="9"/>
        <v>0</v>
      </c>
      <c r="I78" s="1580">
        <f t="shared" si="9"/>
        <v>136227</v>
      </c>
      <c r="J78" s="1580">
        <f t="shared" si="9"/>
        <v>0</v>
      </c>
      <c r="K78" s="1580">
        <f t="shared" si="9"/>
        <v>0</v>
      </c>
      <c r="L78" s="457"/>
    </row>
    <row r="79" spans="1:12" ht="13.5" thickTop="1" x14ac:dyDescent="0.2">
      <c r="A79" s="1795" t="str">
        <f>"Fund Balances - July 1, "&amp;'AFR20'!E2-1</f>
        <v>Fund Balances - July 1, 2019</v>
      </c>
      <c r="B79" s="458"/>
      <c r="C79" s="1534">
        <v>11703324</v>
      </c>
      <c r="D79" s="1581">
        <v>1728044</v>
      </c>
      <c r="E79" s="1581"/>
      <c r="F79" s="1581">
        <v>436794</v>
      </c>
      <c r="G79" s="1581">
        <v>908799</v>
      </c>
      <c r="H79" s="1581">
        <v>0</v>
      </c>
      <c r="I79" s="1581">
        <v>6489363</v>
      </c>
      <c r="J79" s="1581"/>
      <c r="K79" s="1581"/>
      <c r="L79" s="325"/>
    </row>
    <row r="80" spans="1:12" x14ac:dyDescent="0.2">
      <c r="A80" s="2224" t="s">
        <v>1775</v>
      </c>
      <c r="B80" s="2225"/>
      <c r="C80" s="1525"/>
      <c r="D80" s="1525"/>
      <c r="E80" s="1525"/>
      <c r="F80" s="1525"/>
      <c r="G80" s="1525"/>
      <c r="H80" s="1525"/>
      <c r="I80" s="1525"/>
      <c r="J80" s="1525"/>
      <c r="K80" s="1525"/>
      <c r="L80" s="325"/>
    </row>
    <row r="81" spans="1:12" ht="13.5" thickBot="1" x14ac:dyDescent="0.25">
      <c r="A81" s="2216" t="str">
        <f>"Fund Balances - June 30, "&amp;'AFR20'!E2</f>
        <v>Fund Balances - June 30, 2020</v>
      </c>
      <c r="B81" s="2217"/>
      <c r="C81" s="1545">
        <f>(SUM(C78:C80))</f>
        <v>9769538</v>
      </c>
      <c r="D81" s="1545">
        <f>SUM(D78:D80)</f>
        <v>1472011</v>
      </c>
      <c r="E81" s="1545">
        <f t="shared" ref="E81:K81" si="10">SUM(E78:E80)</f>
        <v>0</v>
      </c>
      <c r="F81" s="1545">
        <f t="shared" si="10"/>
        <v>485054</v>
      </c>
      <c r="G81" s="1545">
        <f t="shared" si="10"/>
        <v>907596</v>
      </c>
      <c r="H81" s="1545">
        <f t="shared" si="10"/>
        <v>0</v>
      </c>
      <c r="I81" s="1545">
        <f t="shared" si="10"/>
        <v>6625590</v>
      </c>
      <c r="J81" s="1545">
        <f t="shared" si="10"/>
        <v>0</v>
      </c>
      <c r="K81" s="1545">
        <f t="shared" si="10"/>
        <v>0</v>
      </c>
      <c r="L81" s="325"/>
    </row>
    <row r="82" spans="1:12" ht="0.75" customHeight="1" thickTop="1" thickBot="1" x14ac:dyDescent="0.25">
      <c r="A82" s="459" t="s">
        <v>340</v>
      </c>
      <c r="B82" s="460"/>
      <c r="C82" s="461">
        <f>(C81-C79)</f>
        <v>-1933786</v>
      </c>
      <c r="D82" s="461">
        <f t="shared" ref="D82:K82" si="11">(D81-D79)</f>
        <v>-256033</v>
      </c>
      <c r="E82" s="461">
        <f t="shared" si="11"/>
        <v>0</v>
      </c>
      <c r="F82" s="461">
        <f t="shared" si="11"/>
        <v>48260</v>
      </c>
      <c r="G82" s="461">
        <f t="shared" si="11"/>
        <v>-1203</v>
      </c>
      <c r="H82" s="461">
        <f t="shared" si="11"/>
        <v>0</v>
      </c>
      <c r="I82" s="461">
        <f t="shared" si="11"/>
        <v>136227</v>
      </c>
      <c r="J82" s="461">
        <f t="shared" si="11"/>
        <v>0</v>
      </c>
      <c r="K82" s="461">
        <f t="shared" si="11"/>
        <v>0</v>
      </c>
    </row>
    <row r="83" spans="1:12" ht="14.25" hidden="1" thickTop="1" thickBot="1" x14ac:dyDescent="0.25">
      <c r="A83" s="462" t="s">
        <v>341</v>
      </c>
      <c r="B83" s="428"/>
      <c r="C83" s="463">
        <f>C82/C81</f>
        <v>-0.19794037343424017</v>
      </c>
      <c r="D83" s="463">
        <f t="shared" ref="D83:K83" si="12">D82/D81</f>
        <v>-0.17393416217677721</v>
      </c>
      <c r="E83" s="463" t="e">
        <f t="shared" si="12"/>
        <v>#DIV/0!</v>
      </c>
      <c r="F83" s="463">
        <f t="shared" si="12"/>
        <v>9.9494076948133614E-2</v>
      </c>
      <c r="G83" s="463">
        <f t="shared" si="12"/>
        <v>-1.3254796186849655E-3</v>
      </c>
      <c r="H83" s="463" t="e">
        <f t="shared" si="12"/>
        <v>#DIV/0!</v>
      </c>
      <c r="I83" s="463">
        <f t="shared" si="12"/>
        <v>2.0560734968508465E-2</v>
      </c>
      <c r="J83" s="463" t="e">
        <f t="shared" si="12"/>
        <v>#DIV/0!</v>
      </c>
      <c r="K83" s="463" t="e">
        <f t="shared" si="12"/>
        <v>#DIV/0!</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60" activePane="bottomLeft" state="frozen"/>
      <selection activeCell="I80" sqref="I80"/>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0" t="s">
        <v>1782</v>
      </c>
      <c r="B1" s="416"/>
      <c r="C1" s="417" t="s">
        <v>422</v>
      </c>
      <c r="D1" s="417" t="s">
        <v>423</v>
      </c>
      <c r="E1" s="417" t="s">
        <v>424</v>
      </c>
      <c r="F1" s="417" t="s">
        <v>425</v>
      </c>
      <c r="G1" s="417" t="s">
        <v>426</v>
      </c>
      <c r="H1" s="417" t="s">
        <v>427</v>
      </c>
      <c r="I1" s="417" t="s">
        <v>428</v>
      </c>
      <c r="J1" s="417" t="s">
        <v>429</v>
      </c>
      <c r="K1" s="417" t="s">
        <v>751</v>
      </c>
    </row>
    <row r="2" spans="1:12" ht="36" x14ac:dyDescent="0.2">
      <c r="A2" s="222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f>15652981+13782909-1</f>
        <v>29435889</v>
      </c>
      <c r="D5" s="1537">
        <v>2622854</v>
      </c>
      <c r="E5" s="1524"/>
      <c r="F5" s="1582">
        <v>833512</v>
      </c>
      <c r="G5" s="1524">
        <v>570393</v>
      </c>
      <c r="H5" s="1524"/>
      <c r="I5" s="1524"/>
      <c r="J5" s="1525"/>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c r="D7" s="1524"/>
      <c r="E7" s="1526"/>
      <c r="F7" s="1525"/>
      <c r="G7" s="1525"/>
      <c r="H7" s="1525"/>
      <c r="I7" s="1526"/>
      <c r="J7" s="1526"/>
      <c r="K7" s="1526"/>
    </row>
    <row r="8" spans="1:12" x14ac:dyDescent="0.2">
      <c r="A8" s="427" t="s">
        <v>410</v>
      </c>
      <c r="B8" s="429">
        <v>1150</v>
      </c>
      <c r="C8" s="1531"/>
      <c r="D8" s="1531"/>
      <c r="E8" s="1533"/>
      <c r="F8" s="1533"/>
      <c r="G8" s="1537">
        <v>650930</v>
      </c>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29435889</v>
      </c>
      <c r="D12" s="1584">
        <f t="shared" si="0"/>
        <v>2622854</v>
      </c>
      <c r="E12" s="1584">
        <f t="shared" si="0"/>
        <v>0</v>
      </c>
      <c r="F12" s="1584">
        <f t="shared" si="0"/>
        <v>833512</v>
      </c>
      <c r="G12" s="1584">
        <f t="shared" si="0"/>
        <v>1221323</v>
      </c>
      <c r="H12" s="1584">
        <f t="shared" si="0"/>
        <v>0</v>
      </c>
      <c r="I12" s="1584">
        <f t="shared" si="0"/>
        <v>0</v>
      </c>
      <c r="J12" s="1584">
        <f t="shared" si="0"/>
        <v>0</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v>1314187</v>
      </c>
      <c r="D16" s="1524"/>
      <c r="E16" s="1524"/>
      <c r="F16" s="1524"/>
      <c r="G16" s="1524">
        <v>25000</v>
      </c>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1314187</v>
      </c>
      <c r="D18" s="1586">
        <f t="shared" ref="D18:K18" si="1">SUM(D14:D17)</f>
        <v>0</v>
      </c>
      <c r="E18" s="1586">
        <f t="shared" si="1"/>
        <v>0</v>
      </c>
      <c r="F18" s="1586">
        <f t="shared" si="1"/>
        <v>0</v>
      </c>
      <c r="G18" s="1586">
        <f t="shared" si="1"/>
        <v>25000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v>6880</v>
      </c>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v>-11672</v>
      </c>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-4792</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v>117552</v>
      </c>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v>13407</v>
      </c>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130959</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342976</v>
      </c>
      <c r="D65" s="1524">
        <v>34605</v>
      </c>
      <c r="E65" s="1524"/>
      <c r="F65" s="1525">
        <v>10979</v>
      </c>
      <c r="G65" s="1524">
        <f>12162+10550</f>
        <v>22712</v>
      </c>
      <c r="H65" s="1524">
        <v>79</v>
      </c>
      <c r="I65" s="1524">
        <v>136227</v>
      </c>
      <c r="J65" s="1525"/>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342976</v>
      </c>
      <c r="D67" s="1545">
        <f t="shared" ref="D67:K67" si="2">SUM(D65:D66)</f>
        <v>34605</v>
      </c>
      <c r="E67" s="1545">
        <f t="shared" si="2"/>
        <v>0</v>
      </c>
      <c r="F67" s="1545">
        <f t="shared" si="2"/>
        <v>10979</v>
      </c>
      <c r="G67" s="1545">
        <f t="shared" si="2"/>
        <v>22712</v>
      </c>
      <c r="H67" s="1545">
        <f t="shared" si="2"/>
        <v>79</v>
      </c>
      <c r="I67" s="1545">
        <f t="shared" si="2"/>
        <v>136227</v>
      </c>
      <c r="J67" s="1545">
        <f t="shared" si="2"/>
        <v>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v>238411</v>
      </c>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v>8045</v>
      </c>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246456</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v>37235</v>
      </c>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c r="D81" s="1524"/>
      <c r="E81" s="1526"/>
      <c r="F81" s="1526"/>
      <c r="G81" s="1526"/>
      <c r="H81" s="1526"/>
      <c r="I81" s="1526"/>
      <c r="J81" s="1526"/>
      <c r="K81" s="1526"/>
    </row>
    <row r="82" spans="1:11" ht="12.75" customHeight="1" thickBot="1" x14ac:dyDescent="0.25">
      <c r="A82" s="1357" t="s">
        <v>239</v>
      </c>
      <c r="B82" s="1358"/>
      <c r="C82" s="1584">
        <f>SUM(C77:C81)</f>
        <v>37235</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v>211127</v>
      </c>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211127</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v>207370</v>
      </c>
      <c r="E95" s="1568"/>
      <c r="F95" s="1568"/>
      <c r="G95" s="1568"/>
      <c r="H95" s="1568"/>
      <c r="I95" s="1568"/>
      <c r="J95" s="1568"/>
      <c r="K95" s="1568"/>
    </row>
    <row r="96" spans="1:11" ht="12.75" customHeight="1" x14ac:dyDescent="0.2">
      <c r="A96" s="427" t="s">
        <v>388</v>
      </c>
      <c r="B96" s="429">
        <v>1920</v>
      </c>
      <c r="C96" s="1583"/>
      <c r="D96" s="1583">
        <v>119210</v>
      </c>
      <c r="E96" s="1535"/>
      <c r="F96" s="1534"/>
      <c r="G96" s="1534"/>
      <c r="H96" s="1534"/>
      <c r="I96" s="1534"/>
      <c r="J96" s="1534"/>
      <c r="K96" s="1534"/>
    </row>
    <row r="97" spans="1:12" ht="12.75" customHeight="1" x14ac:dyDescent="0.2">
      <c r="A97" s="1216" t="s">
        <v>242</v>
      </c>
      <c r="B97" s="477">
        <v>1930</v>
      </c>
      <c r="C97" s="1549">
        <v>391704</v>
      </c>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c r="D107" s="1524"/>
      <c r="E107" s="1524"/>
      <c r="F107" s="1524"/>
      <c r="G107" s="1524"/>
      <c r="H107" s="1524"/>
      <c r="I107" s="1524"/>
      <c r="J107" s="1525"/>
      <c r="K107" s="1524"/>
    </row>
    <row r="108" spans="1:12" ht="12.75" customHeight="1" thickBot="1" x14ac:dyDescent="0.25">
      <c r="A108" s="1357" t="s">
        <v>484</v>
      </c>
      <c r="B108" s="1359"/>
      <c r="C108" s="1584">
        <f>SUM(C95:C107)</f>
        <v>391704</v>
      </c>
      <c r="D108" s="1584">
        <f t="shared" ref="D108:K108" si="3">SUM(D95:D107)</f>
        <v>326580</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31974782</v>
      </c>
      <c r="D109" s="1592">
        <f t="shared" si="4"/>
        <v>2984039</v>
      </c>
      <c r="E109" s="1592">
        <f t="shared" si="4"/>
        <v>0</v>
      </c>
      <c r="F109" s="1592">
        <f t="shared" si="4"/>
        <v>975450</v>
      </c>
      <c r="G109" s="1592">
        <f t="shared" si="4"/>
        <v>1269035</v>
      </c>
      <c r="H109" s="1592">
        <f t="shared" si="4"/>
        <v>79</v>
      </c>
      <c r="I109" s="1592">
        <f t="shared" si="4"/>
        <v>136227</v>
      </c>
      <c r="J109" s="1592">
        <f t="shared" si="4"/>
        <v>0</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v>1052823</v>
      </c>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1052823</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v>26144</v>
      </c>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26144</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v>163</v>
      </c>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v>8922</v>
      </c>
      <c r="G152" s="1525"/>
      <c r="H152" s="1526"/>
      <c r="I152" s="1526"/>
      <c r="J152" s="1526"/>
      <c r="K152" s="1526"/>
    </row>
    <row r="153" spans="1:11" ht="12.75" customHeight="1" x14ac:dyDescent="0.2">
      <c r="A153" s="427" t="s">
        <v>1050</v>
      </c>
      <c r="B153" s="478">
        <v>3510</v>
      </c>
      <c r="C153" s="1583"/>
      <c r="D153" s="1524"/>
      <c r="E153" s="1591"/>
      <c r="F153" s="1524">
        <v>323937</v>
      </c>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332859</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v>50000</v>
      </c>
      <c r="E167" s="1568"/>
      <c r="F167" s="1568"/>
      <c r="G167" s="1526"/>
      <c r="H167" s="1578"/>
      <c r="I167" s="1526"/>
      <c r="J167" s="1526"/>
      <c r="K167" s="1577"/>
    </row>
    <row r="168" spans="1:11" ht="14.25" thickTop="1" thickBot="1" x14ac:dyDescent="0.25">
      <c r="A168" s="1221" t="s">
        <v>70</v>
      </c>
      <c r="B168" s="484">
        <v>3999</v>
      </c>
      <c r="C168" s="1605"/>
      <c r="D168" s="1606"/>
      <c r="E168" s="1606"/>
      <c r="F168" s="1606"/>
      <c r="G168" s="1607"/>
      <c r="H168" s="1608"/>
      <c r="I168" s="1607"/>
      <c r="J168" s="1607"/>
      <c r="K168" s="1608"/>
    </row>
    <row r="169" spans="1:11" ht="12.75" customHeight="1" thickTop="1" thickBot="1" x14ac:dyDescent="0.25">
      <c r="A169" s="2240" t="s">
        <v>395</v>
      </c>
      <c r="B169" s="2241"/>
      <c r="C169" s="1609">
        <f t="shared" ref="C169:K169" si="6">SUM(C132,C141,C145,C146:C150,C155,C156:C167,C168)</f>
        <v>26307</v>
      </c>
      <c r="D169" s="1609">
        <f t="shared" si="6"/>
        <v>50000</v>
      </c>
      <c r="E169" s="1609">
        <f t="shared" si="6"/>
        <v>0</v>
      </c>
      <c r="F169" s="1609">
        <f t="shared" si="6"/>
        <v>332859</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1079130</v>
      </c>
      <c r="D170" s="1592">
        <f t="shared" si="7"/>
        <v>50000</v>
      </c>
      <c r="E170" s="1592">
        <f t="shared" si="7"/>
        <v>0</v>
      </c>
      <c r="F170" s="1592">
        <f t="shared" si="7"/>
        <v>332859</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2" t="s">
        <v>1478</v>
      </c>
      <c r="B172" s="2243"/>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6" t="s">
        <v>1649</v>
      </c>
      <c r="B175" s="2247"/>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50" t="s">
        <v>1648</v>
      </c>
      <c r="B176" s="2251"/>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8" t="s">
        <v>780</v>
      </c>
      <c r="B181" s="2249"/>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4" t="s">
        <v>1783</v>
      </c>
      <c r="B182" s="2245"/>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v>11200</v>
      </c>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v>2384</v>
      </c>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13584</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v>70940</v>
      </c>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70940</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v>15856</v>
      </c>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v>440809</v>
      </c>
      <c r="D213" s="1524"/>
      <c r="E213" s="1526"/>
      <c r="F213" s="1524"/>
      <c r="G213" s="1524"/>
      <c r="H213" s="1526"/>
      <c r="I213" s="1526"/>
      <c r="J213" s="1526"/>
      <c r="K213" s="1526"/>
    </row>
    <row r="214" spans="1:11" ht="12.75" customHeight="1" x14ac:dyDescent="0.2">
      <c r="A214" s="427" t="s">
        <v>1047</v>
      </c>
      <c r="B214" s="429">
        <v>4625</v>
      </c>
      <c r="C214" s="1583">
        <v>70597</v>
      </c>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527262</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v>25243</v>
      </c>
      <c r="D253" s="1527"/>
      <c r="E253" s="1526"/>
      <c r="F253" s="1526"/>
      <c r="G253" s="1526"/>
      <c r="H253" s="1526"/>
      <c r="I253" s="1526"/>
      <c r="J253" s="1526"/>
      <c r="K253" s="1526"/>
    </row>
    <row r="254" spans="1:11" ht="12.75" customHeight="1" thickTop="1" thickBot="1" x14ac:dyDescent="0.25">
      <c r="A254" s="1224" t="s">
        <v>1449</v>
      </c>
      <c r="B254" s="488">
        <v>4902</v>
      </c>
      <c r="C254" s="1618">
        <v>42451</v>
      </c>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f>42192</f>
        <v>42192</v>
      </c>
      <c r="D258" s="1602"/>
      <c r="E258" s="1526"/>
      <c r="F258" s="1602"/>
      <c r="G258" s="1602"/>
      <c r="H258" s="1526"/>
      <c r="I258" s="1526"/>
      <c r="J258" s="1526"/>
      <c r="K258" s="1526"/>
    </row>
    <row r="259" spans="1:11" ht="12.75" customHeight="1" thickTop="1" thickBot="1" x14ac:dyDescent="0.25">
      <c r="A259" s="427" t="s">
        <v>753</v>
      </c>
      <c r="B259" s="429">
        <v>4932</v>
      </c>
      <c r="C259" s="1602"/>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721672</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721672</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33775584</v>
      </c>
      <c r="D268" s="1592">
        <f t="shared" si="12"/>
        <v>3034039</v>
      </c>
      <c r="E268" s="1592">
        <f t="shared" si="12"/>
        <v>0</v>
      </c>
      <c r="F268" s="1592">
        <f t="shared" si="12"/>
        <v>1308309</v>
      </c>
      <c r="G268" s="1592">
        <f t="shared" si="12"/>
        <v>1269035</v>
      </c>
      <c r="H268" s="1592">
        <f t="shared" si="12"/>
        <v>79</v>
      </c>
      <c r="I268" s="1592">
        <f t="shared" si="12"/>
        <v>136227</v>
      </c>
      <c r="J268" s="1592">
        <f t="shared" si="12"/>
        <v>0</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9" activePane="bottomLeft" state="frozen"/>
      <selection activeCell="I80" sqref="I80"/>
      <selection pane="bottomLeft" activeCell="F313" sqref="F3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0"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8" t="s">
        <v>294</v>
      </c>
      <c r="B3" s="2259"/>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v>14526840</v>
      </c>
      <c r="D5" s="1524">
        <v>2739450</v>
      </c>
      <c r="E5" s="1524">
        <v>402218</v>
      </c>
      <c r="F5" s="1524">
        <v>569337</v>
      </c>
      <c r="G5" s="1524"/>
      <c r="H5" s="1524"/>
      <c r="I5" s="1525">
        <v>543292</v>
      </c>
      <c r="J5" s="1525"/>
      <c r="K5" s="1623">
        <f>SUM(C5:J5)</f>
        <v>18781137</v>
      </c>
      <c r="L5" s="1524">
        <v>18976423</v>
      </c>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c r="D7" s="1525"/>
      <c r="E7" s="1525"/>
      <c r="F7" s="1525"/>
      <c r="G7" s="1525"/>
      <c r="H7" s="1525"/>
      <c r="I7" s="1525"/>
      <c r="J7" s="1525"/>
      <c r="K7" s="1623">
        <f t="shared" ref="K7:K32" si="0">SUM(C7:J7)</f>
        <v>0</v>
      </c>
      <c r="L7" s="1524"/>
    </row>
    <row r="8" spans="1:14" x14ac:dyDescent="0.2">
      <c r="A8" s="1225" t="s">
        <v>163</v>
      </c>
      <c r="B8" s="503">
        <v>1200</v>
      </c>
      <c r="C8" s="1524">
        <v>2478129</v>
      </c>
      <c r="D8" s="1524">
        <v>654733</v>
      </c>
      <c r="E8" s="1524">
        <v>8811</v>
      </c>
      <c r="F8" s="1524"/>
      <c r="G8" s="1524"/>
      <c r="H8" s="1524">
        <v>151476</v>
      </c>
      <c r="I8" s="1525"/>
      <c r="J8" s="1525"/>
      <c r="K8" s="1623">
        <f t="shared" si="0"/>
        <v>3293149</v>
      </c>
      <c r="L8" s="1524">
        <v>3453349</v>
      </c>
    </row>
    <row r="9" spans="1:14" x14ac:dyDescent="0.2">
      <c r="A9" s="1225" t="s">
        <v>716</v>
      </c>
      <c r="B9" s="503" t="s">
        <v>962</v>
      </c>
      <c r="C9" s="1525">
        <v>421612</v>
      </c>
      <c r="D9" s="1525">
        <v>124584</v>
      </c>
      <c r="E9" s="1525">
        <v>2123</v>
      </c>
      <c r="F9" s="1525">
        <v>13606</v>
      </c>
      <c r="G9" s="1525"/>
      <c r="H9" s="1525"/>
      <c r="I9" s="1525">
        <v>5969</v>
      </c>
      <c r="J9" s="1525"/>
      <c r="K9" s="1623">
        <f t="shared" si="0"/>
        <v>567894</v>
      </c>
      <c r="L9" s="1524">
        <v>539000</v>
      </c>
    </row>
    <row r="10" spans="1:14" x14ac:dyDescent="0.2">
      <c r="A10" s="1225" t="s">
        <v>717</v>
      </c>
      <c r="B10" s="503">
        <v>1250</v>
      </c>
      <c r="C10" s="1524"/>
      <c r="D10" s="1524"/>
      <c r="E10" s="1524"/>
      <c r="F10" s="1524"/>
      <c r="G10" s="1524"/>
      <c r="H10" s="1524"/>
      <c r="I10" s="1525"/>
      <c r="J10" s="1525"/>
      <c r="K10" s="1623">
        <f t="shared" si="0"/>
        <v>0</v>
      </c>
      <c r="L10" s="1524"/>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c r="D13" s="1524"/>
      <c r="E13" s="1524"/>
      <c r="F13" s="1524"/>
      <c r="G13" s="1524"/>
      <c r="H13" s="1524"/>
      <c r="I13" s="1525"/>
      <c r="J13" s="1525"/>
      <c r="K13" s="1623">
        <f t="shared" si="0"/>
        <v>0</v>
      </c>
      <c r="L13" s="1524"/>
    </row>
    <row r="14" spans="1:14" x14ac:dyDescent="0.2">
      <c r="A14" s="1225" t="s">
        <v>957</v>
      </c>
      <c r="B14" s="503">
        <v>1500</v>
      </c>
      <c r="C14" s="1524">
        <v>1097315</v>
      </c>
      <c r="D14" s="1524">
        <v>140660</v>
      </c>
      <c r="E14" s="1524">
        <v>5313</v>
      </c>
      <c r="F14" s="1524">
        <v>11172</v>
      </c>
      <c r="G14" s="1524"/>
      <c r="H14" s="1524"/>
      <c r="I14" s="1525">
        <v>1600</v>
      </c>
      <c r="J14" s="1525"/>
      <c r="K14" s="1623">
        <f t="shared" si="0"/>
        <v>1256060</v>
      </c>
      <c r="L14" s="1524">
        <v>1273153</v>
      </c>
    </row>
    <row r="15" spans="1:14" x14ac:dyDescent="0.2">
      <c r="A15" s="1225" t="s">
        <v>958</v>
      </c>
      <c r="B15" s="503">
        <v>1600</v>
      </c>
      <c r="C15" s="1524">
        <v>70809</v>
      </c>
      <c r="D15" s="1524">
        <v>1014</v>
      </c>
      <c r="E15" s="1524"/>
      <c r="F15" s="1524">
        <v>10710</v>
      </c>
      <c r="G15" s="1524"/>
      <c r="H15" s="1524"/>
      <c r="I15" s="1525"/>
      <c r="J15" s="1525"/>
      <c r="K15" s="1623">
        <f t="shared" si="0"/>
        <v>82533</v>
      </c>
      <c r="L15" s="1524">
        <v>163800</v>
      </c>
    </row>
    <row r="16" spans="1:14" x14ac:dyDescent="0.2">
      <c r="A16" s="1225" t="s">
        <v>980</v>
      </c>
      <c r="B16" s="503" t="s">
        <v>421</v>
      </c>
      <c r="C16" s="1524">
        <v>376311</v>
      </c>
      <c r="D16" s="1524">
        <v>59217</v>
      </c>
      <c r="E16" s="1524">
        <v>1820</v>
      </c>
      <c r="F16" s="1524">
        <v>2496</v>
      </c>
      <c r="G16" s="1524"/>
      <c r="H16" s="1524"/>
      <c r="I16" s="1525"/>
      <c r="J16" s="1525"/>
      <c r="K16" s="1623">
        <f t="shared" si="0"/>
        <v>439844</v>
      </c>
      <c r="L16" s="1524">
        <v>441182</v>
      </c>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v>435341</v>
      </c>
      <c r="D18" s="1524">
        <v>82306</v>
      </c>
      <c r="E18" s="1524">
        <v>677</v>
      </c>
      <c r="F18" s="1524">
        <v>2307</v>
      </c>
      <c r="G18" s="1524"/>
      <c r="H18" s="1524"/>
      <c r="I18" s="1525"/>
      <c r="J18" s="1525"/>
      <c r="K18" s="1623">
        <f t="shared" si="0"/>
        <v>520631</v>
      </c>
      <c r="L18" s="1524">
        <v>499470</v>
      </c>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19406357</v>
      </c>
      <c r="D33" s="1625">
        <f t="shared" ref="D33:L33" si="1">SUM(D5:D32)</f>
        <v>3801964</v>
      </c>
      <c r="E33" s="1625">
        <f t="shared" si="1"/>
        <v>420962</v>
      </c>
      <c r="F33" s="1625">
        <f t="shared" si="1"/>
        <v>609628</v>
      </c>
      <c r="G33" s="1625">
        <f t="shared" si="1"/>
        <v>0</v>
      </c>
      <c r="H33" s="1625">
        <f t="shared" si="1"/>
        <v>151476</v>
      </c>
      <c r="I33" s="1625">
        <f t="shared" si="1"/>
        <v>550861</v>
      </c>
      <c r="J33" s="1625">
        <f t="shared" si="1"/>
        <v>0</v>
      </c>
      <c r="K33" s="1625">
        <f t="shared" si="1"/>
        <v>24941248</v>
      </c>
      <c r="L33" s="1625">
        <f t="shared" si="1"/>
        <v>25346377</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v>599198</v>
      </c>
      <c r="D36" s="1537">
        <v>106332</v>
      </c>
      <c r="E36" s="1537">
        <v>24097</v>
      </c>
      <c r="F36" s="1537">
        <v>18040</v>
      </c>
      <c r="G36" s="1537"/>
      <c r="H36" s="1537"/>
      <c r="I36" s="1525"/>
      <c r="J36" s="1525"/>
      <c r="K36" s="1623">
        <f t="shared" ref="K36:K41" si="2">SUM(C36:J36)</f>
        <v>747667</v>
      </c>
      <c r="L36" s="1524">
        <v>762730</v>
      </c>
    </row>
    <row r="37" spans="1:14" x14ac:dyDescent="0.2">
      <c r="A37" s="1225" t="s">
        <v>1083</v>
      </c>
      <c r="B37" s="503">
        <v>2120</v>
      </c>
      <c r="C37" s="1524">
        <v>606879</v>
      </c>
      <c r="D37" s="1524">
        <v>180851</v>
      </c>
      <c r="E37" s="1524">
        <v>39273</v>
      </c>
      <c r="F37" s="1524">
        <v>8297</v>
      </c>
      <c r="G37" s="1524"/>
      <c r="H37" s="1524"/>
      <c r="I37" s="1525"/>
      <c r="J37" s="1525"/>
      <c r="K37" s="1623">
        <f t="shared" si="2"/>
        <v>835300</v>
      </c>
      <c r="L37" s="1524">
        <v>750420</v>
      </c>
    </row>
    <row r="38" spans="1:14" x14ac:dyDescent="0.2">
      <c r="A38" s="1225" t="s">
        <v>196</v>
      </c>
      <c r="B38" s="503">
        <v>2130</v>
      </c>
      <c r="C38" s="1524">
        <v>317519</v>
      </c>
      <c r="D38" s="1524">
        <v>40830</v>
      </c>
      <c r="E38" s="1524">
        <v>1213</v>
      </c>
      <c r="F38" s="1524">
        <v>7658</v>
      </c>
      <c r="G38" s="1524"/>
      <c r="H38" s="1524"/>
      <c r="I38" s="1525"/>
      <c r="J38" s="1525"/>
      <c r="K38" s="1623">
        <f t="shared" si="2"/>
        <v>367220</v>
      </c>
      <c r="L38" s="1524">
        <v>370570</v>
      </c>
    </row>
    <row r="39" spans="1:14" x14ac:dyDescent="0.2">
      <c r="A39" s="1225" t="s">
        <v>197</v>
      </c>
      <c r="B39" s="503">
        <v>2140</v>
      </c>
      <c r="C39" s="1524">
        <v>410491</v>
      </c>
      <c r="D39" s="1524">
        <v>52200</v>
      </c>
      <c r="E39" s="1524">
        <v>2300</v>
      </c>
      <c r="F39" s="1524">
        <v>7540</v>
      </c>
      <c r="G39" s="1524"/>
      <c r="H39" s="1524"/>
      <c r="I39" s="1525"/>
      <c r="J39" s="1525"/>
      <c r="K39" s="1623">
        <f t="shared" si="2"/>
        <v>472531</v>
      </c>
      <c r="L39" s="1524">
        <v>486170</v>
      </c>
    </row>
    <row r="40" spans="1:14" x14ac:dyDescent="0.2">
      <c r="A40" s="1225" t="s">
        <v>198</v>
      </c>
      <c r="B40" s="503">
        <v>2150</v>
      </c>
      <c r="C40" s="1524">
        <v>602153</v>
      </c>
      <c r="D40" s="1524">
        <v>91745</v>
      </c>
      <c r="E40" s="1524">
        <v>22104</v>
      </c>
      <c r="F40" s="1524"/>
      <c r="G40" s="1524"/>
      <c r="H40" s="1524"/>
      <c r="I40" s="1525">
        <v>8754</v>
      </c>
      <c r="J40" s="1525"/>
      <c r="K40" s="1623">
        <f t="shared" si="2"/>
        <v>724756</v>
      </c>
      <c r="L40" s="1524">
        <v>749550</v>
      </c>
    </row>
    <row r="41" spans="1:14" x14ac:dyDescent="0.2">
      <c r="A41" s="1225" t="s">
        <v>1653</v>
      </c>
      <c r="B41" s="503">
        <v>2190</v>
      </c>
      <c r="C41" s="1524">
        <v>329105</v>
      </c>
      <c r="D41" s="1524">
        <v>57239</v>
      </c>
      <c r="E41" s="1524"/>
      <c r="F41" s="1524"/>
      <c r="G41" s="1524"/>
      <c r="H41" s="1524"/>
      <c r="I41" s="1525"/>
      <c r="J41" s="1525"/>
      <c r="K41" s="1623">
        <f t="shared" si="2"/>
        <v>386344</v>
      </c>
      <c r="L41" s="1524">
        <v>393900</v>
      </c>
    </row>
    <row r="42" spans="1:14" ht="12.75" customHeight="1" thickBot="1" x14ac:dyDescent="0.25">
      <c r="A42" s="1331" t="s">
        <v>556</v>
      </c>
      <c r="B42" s="1332" t="s">
        <v>711</v>
      </c>
      <c r="C42" s="1625">
        <f>SUM(C36:C41)</f>
        <v>2865345</v>
      </c>
      <c r="D42" s="1625">
        <f t="shared" ref="D42:L42" si="3">SUM(D36:D41)</f>
        <v>529197</v>
      </c>
      <c r="E42" s="1625">
        <f t="shared" si="3"/>
        <v>88987</v>
      </c>
      <c r="F42" s="1625">
        <f t="shared" si="3"/>
        <v>41535</v>
      </c>
      <c r="G42" s="1625">
        <f t="shared" si="3"/>
        <v>0</v>
      </c>
      <c r="H42" s="1625">
        <f t="shared" si="3"/>
        <v>0</v>
      </c>
      <c r="I42" s="1625">
        <f t="shared" si="3"/>
        <v>8754</v>
      </c>
      <c r="J42" s="1625">
        <f t="shared" si="3"/>
        <v>0</v>
      </c>
      <c r="K42" s="1625">
        <f t="shared" si="3"/>
        <v>3533818</v>
      </c>
      <c r="L42" s="1625">
        <f t="shared" si="3"/>
        <v>3513340</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v>408104</v>
      </c>
      <c r="D44" s="1537">
        <v>114199</v>
      </c>
      <c r="E44" s="1537">
        <v>123181</v>
      </c>
      <c r="F44" s="1537">
        <v>6063</v>
      </c>
      <c r="G44" s="1537"/>
      <c r="H44" s="1537"/>
      <c r="I44" s="1525"/>
      <c r="J44" s="1525"/>
      <c r="K44" s="1629">
        <f>SUM(C44:J44)</f>
        <v>651547</v>
      </c>
      <c r="L44" s="1537">
        <v>714840</v>
      </c>
    </row>
    <row r="45" spans="1:14" x14ac:dyDescent="0.2">
      <c r="A45" s="1225" t="s">
        <v>810</v>
      </c>
      <c r="B45" s="503">
        <v>2220</v>
      </c>
      <c r="C45" s="1524">
        <v>465995</v>
      </c>
      <c r="D45" s="1524">
        <v>95324</v>
      </c>
      <c r="E45" s="1524">
        <v>34032</v>
      </c>
      <c r="F45" s="1524">
        <v>57240</v>
      </c>
      <c r="G45" s="1524"/>
      <c r="H45" s="1524"/>
      <c r="I45" s="1525"/>
      <c r="J45" s="1525"/>
      <c r="K45" s="1629">
        <f>SUM(C45:J45)</f>
        <v>652591</v>
      </c>
      <c r="L45" s="1524">
        <v>668050</v>
      </c>
    </row>
    <row r="46" spans="1:14" x14ac:dyDescent="0.2">
      <c r="A46" s="1225" t="s">
        <v>811</v>
      </c>
      <c r="B46" s="503">
        <v>2230</v>
      </c>
      <c r="C46" s="1524"/>
      <c r="D46" s="1524"/>
      <c r="E46" s="1524">
        <v>35488</v>
      </c>
      <c r="F46" s="1524"/>
      <c r="G46" s="1524"/>
      <c r="H46" s="1524"/>
      <c r="I46" s="1525"/>
      <c r="J46" s="1525"/>
      <c r="K46" s="1629">
        <f>SUM(C46:J46)</f>
        <v>35488</v>
      </c>
      <c r="L46" s="1524">
        <v>20000</v>
      </c>
    </row>
    <row r="47" spans="1:14" ht="12.75" customHeight="1" thickBot="1" x14ac:dyDescent="0.25">
      <c r="A47" s="1331" t="s">
        <v>557</v>
      </c>
      <c r="B47" s="1332" t="s">
        <v>32</v>
      </c>
      <c r="C47" s="1625">
        <f>SUM(C44:C46)</f>
        <v>874099</v>
      </c>
      <c r="D47" s="1625">
        <f t="shared" ref="D47:K47" si="4">SUM(D44:D46)</f>
        <v>209523</v>
      </c>
      <c r="E47" s="1625">
        <f t="shared" si="4"/>
        <v>192701</v>
      </c>
      <c r="F47" s="1625">
        <f t="shared" si="4"/>
        <v>63303</v>
      </c>
      <c r="G47" s="1625">
        <f t="shared" si="4"/>
        <v>0</v>
      </c>
      <c r="H47" s="1625">
        <f t="shared" si="4"/>
        <v>0</v>
      </c>
      <c r="I47" s="1625">
        <f t="shared" si="4"/>
        <v>0</v>
      </c>
      <c r="J47" s="1625">
        <f t="shared" si="4"/>
        <v>0</v>
      </c>
      <c r="K47" s="1625">
        <f t="shared" si="4"/>
        <v>1339626</v>
      </c>
      <c r="L47" s="1625">
        <f>SUM(L44:L46)</f>
        <v>1402890</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v>213976</v>
      </c>
      <c r="F49" s="1537">
        <v>653</v>
      </c>
      <c r="G49" s="1537"/>
      <c r="H49" s="1537">
        <v>8760</v>
      </c>
      <c r="I49" s="1525">
        <v>3635</v>
      </c>
      <c r="J49" s="1525"/>
      <c r="K49" s="1629">
        <f>SUM(C49:J49)</f>
        <v>227024</v>
      </c>
      <c r="L49" s="1537">
        <v>208745</v>
      </c>
    </row>
    <row r="50" spans="1:14" x14ac:dyDescent="0.2">
      <c r="A50" s="1225" t="s">
        <v>813</v>
      </c>
      <c r="B50" s="503">
        <v>2320</v>
      </c>
      <c r="C50" s="1524">
        <v>582055</v>
      </c>
      <c r="D50" s="1524">
        <v>162161</v>
      </c>
      <c r="E50" s="1524">
        <v>41898</v>
      </c>
      <c r="F50" s="1524">
        <v>1123</v>
      </c>
      <c r="G50" s="1524"/>
      <c r="H50" s="1524">
        <v>13593</v>
      </c>
      <c r="I50" s="1525"/>
      <c r="J50" s="1525"/>
      <c r="K50" s="1629">
        <f>SUM(C50:J50)</f>
        <v>800830</v>
      </c>
      <c r="L50" s="1524">
        <v>811081</v>
      </c>
    </row>
    <row r="51" spans="1:14" x14ac:dyDescent="0.2">
      <c r="A51" s="1225" t="s">
        <v>42</v>
      </c>
      <c r="B51" s="503">
        <v>2330</v>
      </c>
      <c r="C51" s="1524"/>
      <c r="D51" s="1524"/>
      <c r="E51" s="1524"/>
      <c r="F51" s="1524"/>
      <c r="G51" s="1524"/>
      <c r="H51" s="1524"/>
      <c r="I51" s="1525"/>
      <c r="J51" s="1525"/>
      <c r="K51" s="1629">
        <f>SUM(C51:J51)</f>
        <v>0</v>
      </c>
      <c r="L51" s="1524"/>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582055</v>
      </c>
      <c r="D53" s="1625">
        <f t="shared" ref="D53:L53" si="5">SUM(D49:D52)</f>
        <v>162161</v>
      </c>
      <c r="E53" s="1625">
        <f t="shared" si="5"/>
        <v>255874</v>
      </c>
      <c r="F53" s="1625">
        <f t="shared" si="5"/>
        <v>1776</v>
      </c>
      <c r="G53" s="1625">
        <f t="shared" si="5"/>
        <v>0</v>
      </c>
      <c r="H53" s="1625">
        <f t="shared" si="5"/>
        <v>22353</v>
      </c>
      <c r="I53" s="1625">
        <f t="shared" si="5"/>
        <v>3635</v>
      </c>
      <c r="J53" s="1625">
        <f t="shared" si="5"/>
        <v>0</v>
      </c>
      <c r="K53" s="1625">
        <f t="shared" si="5"/>
        <v>1027854</v>
      </c>
      <c r="L53" s="1625">
        <f t="shared" si="5"/>
        <v>1019826</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v>1613157</v>
      </c>
      <c r="D55" s="1537">
        <v>306709</v>
      </c>
      <c r="E55" s="1537">
        <v>3262</v>
      </c>
      <c r="F55" s="1537">
        <v>5666</v>
      </c>
      <c r="G55" s="1537"/>
      <c r="H55" s="1537">
        <v>200</v>
      </c>
      <c r="I55" s="1525">
        <v>2989</v>
      </c>
      <c r="J55" s="1525"/>
      <c r="K55" s="1629">
        <f>SUM(C55:J55)</f>
        <v>1931983</v>
      </c>
      <c r="L55" s="1537">
        <v>1923353</v>
      </c>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1613157</v>
      </c>
      <c r="D57" s="1630">
        <f t="shared" ref="D57:K57" si="6">SUM(D55:D56)</f>
        <v>306709</v>
      </c>
      <c r="E57" s="1630">
        <f t="shared" si="6"/>
        <v>3262</v>
      </c>
      <c r="F57" s="1630">
        <f t="shared" si="6"/>
        <v>5666</v>
      </c>
      <c r="G57" s="1630">
        <f t="shared" si="6"/>
        <v>0</v>
      </c>
      <c r="H57" s="1630">
        <f t="shared" si="6"/>
        <v>200</v>
      </c>
      <c r="I57" s="1630">
        <f t="shared" si="6"/>
        <v>2989</v>
      </c>
      <c r="J57" s="1630">
        <f t="shared" si="6"/>
        <v>0</v>
      </c>
      <c r="K57" s="1630">
        <f t="shared" si="6"/>
        <v>1931983</v>
      </c>
      <c r="L57" s="1625">
        <f>SUM(L55:L56)</f>
        <v>1923353</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v>172710</v>
      </c>
      <c r="D59" s="1537">
        <v>57567</v>
      </c>
      <c r="E59" s="1537">
        <v>145673</v>
      </c>
      <c r="F59" s="1537">
        <v>8280</v>
      </c>
      <c r="G59" s="1537"/>
      <c r="H59" s="1537">
        <v>719</v>
      </c>
      <c r="I59" s="1525"/>
      <c r="J59" s="1525"/>
      <c r="K59" s="1629">
        <f t="shared" ref="K59:K64" si="7">SUM(C59:J59)</f>
        <v>384949</v>
      </c>
      <c r="L59" s="1537">
        <v>390815</v>
      </c>
      <c r="M59" s="501"/>
      <c r="N59" s="501"/>
    </row>
    <row r="60" spans="1:14" s="321" customFormat="1" x14ac:dyDescent="0.2">
      <c r="A60" s="1225" t="s">
        <v>460</v>
      </c>
      <c r="B60" s="503">
        <v>2520</v>
      </c>
      <c r="C60" s="1524">
        <v>256445</v>
      </c>
      <c r="D60" s="1524">
        <v>44669</v>
      </c>
      <c r="E60" s="1524"/>
      <c r="F60" s="1524"/>
      <c r="G60" s="1524"/>
      <c r="H60" s="1524"/>
      <c r="I60" s="1525"/>
      <c r="J60" s="1525"/>
      <c r="K60" s="1629">
        <f t="shared" si="7"/>
        <v>301114</v>
      </c>
      <c r="L60" s="1524">
        <v>301165</v>
      </c>
      <c r="M60" s="501"/>
      <c r="N60" s="501"/>
    </row>
    <row r="61" spans="1:14" s="321" customFormat="1" x14ac:dyDescent="0.2">
      <c r="A61" s="1225" t="s">
        <v>195</v>
      </c>
      <c r="B61" s="503">
        <v>2540</v>
      </c>
      <c r="C61" s="1524"/>
      <c r="D61" s="1524"/>
      <c r="E61" s="1524"/>
      <c r="F61" s="1524"/>
      <c r="G61" s="1524"/>
      <c r="H61" s="1524"/>
      <c r="I61" s="1525"/>
      <c r="J61" s="1525"/>
      <c r="K61" s="1629">
        <f t="shared" si="7"/>
        <v>0</v>
      </c>
      <c r="L61" s="1524"/>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v>269062</v>
      </c>
      <c r="F63" s="1524">
        <v>16727</v>
      </c>
      <c r="G63" s="1524"/>
      <c r="H63" s="1524"/>
      <c r="I63" s="1525"/>
      <c r="J63" s="1525"/>
      <c r="K63" s="1629">
        <f t="shared" si="7"/>
        <v>285789</v>
      </c>
      <c r="L63" s="1524">
        <v>326500</v>
      </c>
    </row>
    <row r="64" spans="1:14" s="501" customFormat="1" x14ac:dyDescent="0.2">
      <c r="A64" s="1230" t="s">
        <v>101</v>
      </c>
      <c r="B64" s="513">
        <v>2570</v>
      </c>
      <c r="C64" s="1537"/>
      <c r="D64" s="1537"/>
      <c r="E64" s="1537"/>
      <c r="F64" s="1537"/>
      <c r="G64" s="1537"/>
      <c r="H64" s="1537"/>
      <c r="I64" s="1525"/>
      <c r="J64" s="1525"/>
      <c r="K64" s="1629">
        <f t="shared" si="7"/>
        <v>0</v>
      </c>
      <c r="L64" s="1537"/>
    </row>
    <row r="65" spans="1:14" s="321" customFormat="1" ht="12.75" customHeight="1" thickBot="1" x14ac:dyDescent="0.25">
      <c r="A65" s="1331" t="s">
        <v>714</v>
      </c>
      <c r="B65" s="1332" t="s">
        <v>35</v>
      </c>
      <c r="C65" s="1625">
        <f>SUM(C59:C64)</f>
        <v>429155</v>
      </c>
      <c r="D65" s="1625">
        <f t="shared" ref="D65:L65" si="8">SUM(D59:D64)</f>
        <v>102236</v>
      </c>
      <c r="E65" s="1625">
        <f t="shared" si="8"/>
        <v>414735</v>
      </c>
      <c r="F65" s="1625">
        <f t="shared" si="8"/>
        <v>25007</v>
      </c>
      <c r="G65" s="1625">
        <f t="shared" si="8"/>
        <v>0</v>
      </c>
      <c r="H65" s="1625">
        <f t="shared" si="8"/>
        <v>719</v>
      </c>
      <c r="I65" s="1625">
        <f t="shared" si="8"/>
        <v>0</v>
      </c>
      <c r="J65" s="1625">
        <f t="shared" si="8"/>
        <v>0</v>
      </c>
      <c r="K65" s="1625">
        <f t="shared" si="8"/>
        <v>971852</v>
      </c>
      <c r="L65" s="1625">
        <f t="shared" si="8"/>
        <v>1018480</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v>83346</v>
      </c>
      <c r="D69" s="1524">
        <v>30908</v>
      </c>
      <c r="E69" s="1524">
        <v>9430</v>
      </c>
      <c r="F69" s="1524">
        <v>2493</v>
      </c>
      <c r="G69" s="1524"/>
      <c r="H69" s="1524">
        <v>560</v>
      </c>
      <c r="I69" s="1525"/>
      <c r="J69" s="1525"/>
      <c r="K69" s="1629">
        <f>SUM(C69:J69)</f>
        <v>126737</v>
      </c>
      <c r="L69" s="1524">
        <v>126465</v>
      </c>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v>30424</v>
      </c>
      <c r="F71" s="1524"/>
      <c r="G71" s="1524"/>
      <c r="H71" s="1524"/>
      <c r="I71" s="1525"/>
      <c r="J71" s="1525"/>
      <c r="K71" s="1629">
        <f>SUM(C71:J71)</f>
        <v>30424</v>
      </c>
      <c r="L71" s="1524">
        <v>47000</v>
      </c>
      <c r="M71" s="501"/>
      <c r="N71" s="501"/>
    </row>
    <row r="72" spans="1:14" s="321" customFormat="1" ht="12.75" customHeight="1" thickBot="1" x14ac:dyDescent="0.25">
      <c r="A72" s="1331" t="s">
        <v>37</v>
      </c>
      <c r="B72" s="1334" t="s">
        <v>36</v>
      </c>
      <c r="C72" s="1625">
        <f>SUM(C67:C71)</f>
        <v>83346</v>
      </c>
      <c r="D72" s="1625">
        <f t="shared" ref="D72:K72" si="9">SUM(D67:D71)</f>
        <v>30908</v>
      </c>
      <c r="E72" s="1625">
        <f t="shared" si="9"/>
        <v>39854</v>
      </c>
      <c r="F72" s="1625">
        <f t="shared" si="9"/>
        <v>2493</v>
      </c>
      <c r="G72" s="1625">
        <f t="shared" si="9"/>
        <v>0</v>
      </c>
      <c r="H72" s="1625">
        <f t="shared" si="9"/>
        <v>560</v>
      </c>
      <c r="I72" s="1625">
        <f t="shared" si="9"/>
        <v>0</v>
      </c>
      <c r="J72" s="1625">
        <f t="shared" si="9"/>
        <v>0</v>
      </c>
      <c r="K72" s="1625">
        <f t="shared" si="9"/>
        <v>157161</v>
      </c>
      <c r="L72" s="1625">
        <f>SUM(L67:L71)</f>
        <v>173465</v>
      </c>
      <c r="M72" s="501"/>
      <c r="N72" s="501"/>
    </row>
    <row r="73" spans="1:14" s="321" customFormat="1" ht="14.25" thickTop="1" thickBot="1" x14ac:dyDescent="0.25">
      <c r="A73" s="1231" t="s">
        <v>973</v>
      </c>
      <c r="B73" s="515" t="s">
        <v>570</v>
      </c>
      <c r="C73" s="1600"/>
      <c r="D73" s="1600"/>
      <c r="E73" s="1600"/>
      <c r="F73" s="1600"/>
      <c r="G73" s="1600"/>
      <c r="H73" s="1600"/>
      <c r="I73" s="1578"/>
      <c r="J73" s="1578"/>
      <c r="K73" s="1625">
        <f>SUM(C73:J73)</f>
        <v>0</v>
      </c>
      <c r="L73" s="1602"/>
      <c r="M73" s="501"/>
      <c r="N73" s="501"/>
    </row>
    <row r="74" spans="1:14" ht="12.75" customHeight="1" thickTop="1" thickBot="1" x14ac:dyDescent="0.25">
      <c r="A74" s="1331" t="s">
        <v>806</v>
      </c>
      <c r="B74" s="1335">
        <v>2000</v>
      </c>
      <c r="C74" s="1632">
        <f>SUM(C42,C47,C53,C57,C65,C72,C73)</f>
        <v>6447157</v>
      </c>
      <c r="D74" s="1632">
        <f t="shared" ref="D74:K74" si="10">SUM(D42,D47,D53,D57,D65,D72,D73)</f>
        <v>1340734</v>
      </c>
      <c r="E74" s="1632">
        <f t="shared" si="10"/>
        <v>995413</v>
      </c>
      <c r="F74" s="1632">
        <f t="shared" si="10"/>
        <v>139780</v>
      </c>
      <c r="G74" s="1632">
        <f t="shared" si="10"/>
        <v>0</v>
      </c>
      <c r="H74" s="1632">
        <f t="shared" si="10"/>
        <v>23832</v>
      </c>
      <c r="I74" s="1632">
        <f t="shared" si="10"/>
        <v>15378</v>
      </c>
      <c r="J74" s="1632">
        <f t="shared" si="10"/>
        <v>0</v>
      </c>
      <c r="K74" s="1632">
        <f t="shared" si="10"/>
        <v>8962294</v>
      </c>
      <c r="L74" s="1632">
        <f>SUM(L42,L47,L53,L57,L65,L72,L73)</f>
        <v>9051354</v>
      </c>
    </row>
    <row r="75" spans="1:14" s="254" customFormat="1" ht="15.75" customHeight="1" thickTop="1" thickBot="1" x14ac:dyDescent="0.25">
      <c r="A75" s="1299" t="s">
        <v>47</v>
      </c>
      <c r="B75" s="1300" t="s">
        <v>571</v>
      </c>
      <c r="C75" s="1600">
        <v>177464</v>
      </c>
      <c r="D75" s="1600">
        <v>11094</v>
      </c>
      <c r="E75" s="1600">
        <v>15365</v>
      </c>
      <c r="F75" s="1600">
        <v>10059</v>
      </c>
      <c r="G75" s="1600"/>
      <c r="H75" s="1600"/>
      <c r="I75" s="1578"/>
      <c r="J75" s="1578"/>
      <c r="K75" s="1625">
        <f>SUM(C75:J75)</f>
        <v>213982</v>
      </c>
      <c r="L75" s="1602">
        <v>199520</v>
      </c>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row>
    <row r="79" spans="1:14" x14ac:dyDescent="0.2">
      <c r="A79" s="1225" t="s">
        <v>301</v>
      </c>
      <c r="B79" s="503">
        <v>4120</v>
      </c>
      <c r="C79" s="1624"/>
      <c r="D79" s="1624"/>
      <c r="E79" s="1524">
        <v>83141</v>
      </c>
      <c r="F79" s="1624"/>
      <c r="G79" s="1624"/>
      <c r="H79" s="1524">
        <v>1508705</v>
      </c>
      <c r="I79" s="1533"/>
      <c r="J79" s="1533"/>
      <c r="K79" s="1623">
        <f t="shared" si="11"/>
        <v>1591846</v>
      </c>
      <c r="L79" s="1524">
        <v>1640160</v>
      </c>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c r="F83" s="1624"/>
      <c r="G83" s="1624"/>
      <c r="H83" s="1524"/>
      <c r="I83" s="1533"/>
      <c r="J83" s="1533"/>
      <c r="K83" s="1623">
        <f t="shared" si="11"/>
        <v>0</v>
      </c>
      <c r="L83" s="1524"/>
    </row>
    <row r="84" spans="1:12" ht="13.5" thickBot="1" x14ac:dyDescent="0.25">
      <c r="A84" s="1331" t="s">
        <v>1471</v>
      </c>
      <c r="B84" s="1336">
        <v>4100</v>
      </c>
      <c r="C84" s="1624"/>
      <c r="D84" s="1624"/>
      <c r="E84" s="1625">
        <f>SUM(E78:E83)</f>
        <v>83141</v>
      </c>
      <c r="F84" s="1624"/>
      <c r="G84" s="1624"/>
      <c r="H84" s="1625">
        <f>SUM(H78:H83)</f>
        <v>1508705</v>
      </c>
      <c r="I84" s="1533"/>
      <c r="J84" s="1533"/>
      <c r="K84" s="1625">
        <f>SUM(K78:K83)</f>
        <v>1591846</v>
      </c>
      <c r="L84" s="1625">
        <f>SUM(L78:L83)</f>
        <v>1640160</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c r="I86" s="1533"/>
      <c r="J86" s="1533"/>
      <c r="K86" s="1632">
        <f t="shared" ref="K86:K98" si="12">H86</f>
        <v>0</v>
      </c>
      <c r="L86" s="1577"/>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0</v>
      </c>
      <c r="I92" s="1533"/>
      <c r="J92" s="1533"/>
      <c r="K92" s="1632">
        <f t="shared" si="12"/>
        <v>0</v>
      </c>
      <c r="L92" s="1625">
        <f>SUM(L85:L91)</f>
        <v>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83141</v>
      </c>
      <c r="F102" s="1624"/>
      <c r="G102" s="1624"/>
      <c r="H102" s="1632">
        <f>SUM(H84,H92,H100,H101)</f>
        <v>1508705</v>
      </c>
      <c r="I102" s="1533"/>
      <c r="J102" s="1533"/>
      <c r="K102" s="1632">
        <f>SUM(K84,K92,K100,K101)</f>
        <v>1591846</v>
      </c>
      <c r="L102" s="1632">
        <f>SUM(L84,L92,L100,L101)</f>
        <v>1640160</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v>500000</v>
      </c>
      <c r="M113" s="502"/>
      <c r="N113" s="502"/>
    </row>
    <row r="114" spans="1:14" ht="12.75" customHeight="1" thickTop="1" thickBot="1" x14ac:dyDescent="0.25">
      <c r="A114" s="1331" t="s">
        <v>48</v>
      </c>
      <c r="B114" s="1339"/>
      <c r="C114" s="1625">
        <f>SUM(C33,C74,C75,C102,C112,C113)</f>
        <v>26030978</v>
      </c>
      <c r="D114" s="1625">
        <f t="shared" ref="D114:K114" si="13">SUM(D33,D74,D75,D102,D112,D113)</f>
        <v>5153792</v>
      </c>
      <c r="E114" s="1625">
        <f t="shared" si="13"/>
        <v>1514881</v>
      </c>
      <c r="F114" s="1625">
        <f t="shared" si="13"/>
        <v>759467</v>
      </c>
      <c r="G114" s="1625">
        <f t="shared" si="13"/>
        <v>0</v>
      </c>
      <c r="H114" s="1625">
        <f>SUM(H33,H74,H75,H102,H112,H113)</f>
        <v>1684013</v>
      </c>
      <c r="I114" s="1625">
        <f t="shared" si="13"/>
        <v>566239</v>
      </c>
      <c r="J114" s="1625">
        <f t="shared" si="13"/>
        <v>0</v>
      </c>
      <c r="K114" s="1625">
        <f t="shared" si="13"/>
        <v>35709370</v>
      </c>
      <c r="L114" s="1625">
        <f>SUM(L33,L74,L75,L102,L112,L113)</f>
        <v>36737411</v>
      </c>
    </row>
    <row r="115" spans="1:14" ht="13.5" thickTop="1" x14ac:dyDescent="0.2">
      <c r="A115" s="2277" t="s">
        <v>989</v>
      </c>
      <c r="B115" s="2278"/>
      <c r="C115" s="1626"/>
      <c r="D115" s="1626"/>
      <c r="E115" s="1626"/>
      <c r="F115" s="1626"/>
      <c r="G115" s="1626"/>
      <c r="H115" s="1626"/>
      <c r="I115" s="1626"/>
      <c r="J115" s="1626"/>
      <c r="K115" s="1640">
        <f>'Revenues 9-14'!C268-'Expenditures 15-22'!K114</f>
        <v>-1933786</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5" t="s">
        <v>293</v>
      </c>
      <c r="B117" s="2256"/>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c r="F123" s="1524"/>
      <c r="G123" s="1524"/>
      <c r="H123" s="1524"/>
      <c r="I123" s="1525"/>
      <c r="J123" s="1525"/>
      <c r="K123" s="1625">
        <f>SUM(C123:J123)</f>
        <v>0</v>
      </c>
      <c r="L123" s="1524"/>
    </row>
    <row r="124" spans="1:14" ht="14.25" thickTop="1" thickBot="1" x14ac:dyDescent="0.25">
      <c r="A124" s="1225" t="s">
        <v>195</v>
      </c>
      <c r="B124" s="503">
        <v>2540</v>
      </c>
      <c r="C124" s="1524">
        <v>1257414</v>
      </c>
      <c r="D124" s="1524">
        <v>217462</v>
      </c>
      <c r="E124" s="1524">
        <v>505840</v>
      </c>
      <c r="F124" s="1524">
        <v>425114</v>
      </c>
      <c r="G124" s="1524">
        <v>730</v>
      </c>
      <c r="H124" s="1524"/>
      <c r="I124" s="1525">
        <v>26430</v>
      </c>
      <c r="J124" s="1525"/>
      <c r="K124" s="1625">
        <f>SUM(C124:J124)</f>
        <v>2432990</v>
      </c>
      <c r="L124" s="1524">
        <v>2520400</v>
      </c>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1257414</v>
      </c>
      <c r="D127" s="1625">
        <f t="shared" ref="D127:L127" si="14">SUM(D122:D126)</f>
        <v>217462</v>
      </c>
      <c r="E127" s="1625">
        <f t="shared" si="14"/>
        <v>505840</v>
      </c>
      <c r="F127" s="1625">
        <f t="shared" si="14"/>
        <v>425114</v>
      </c>
      <c r="G127" s="1625">
        <f t="shared" si="14"/>
        <v>730</v>
      </c>
      <c r="H127" s="1625">
        <f t="shared" si="14"/>
        <v>0</v>
      </c>
      <c r="I127" s="1625">
        <f t="shared" si="14"/>
        <v>26430</v>
      </c>
      <c r="J127" s="1625">
        <f t="shared" si="14"/>
        <v>0</v>
      </c>
      <c r="K127" s="1625">
        <f t="shared" si="14"/>
        <v>2432990</v>
      </c>
      <c r="L127" s="1625">
        <f t="shared" si="14"/>
        <v>2520400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1257414</v>
      </c>
      <c r="D129" s="1632">
        <f t="shared" ref="D129:L129" si="15">SUM(D120,D127,D128)</f>
        <v>217462</v>
      </c>
      <c r="E129" s="1632">
        <f t="shared" si="15"/>
        <v>505840</v>
      </c>
      <c r="F129" s="1632">
        <f t="shared" si="15"/>
        <v>425114</v>
      </c>
      <c r="G129" s="1632">
        <f t="shared" si="15"/>
        <v>730</v>
      </c>
      <c r="H129" s="1632">
        <f t="shared" si="15"/>
        <v>0</v>
      </c>
      <c r="I129" s="1632">
        <f t="shared" si="15"/>
        <v>26430</v>
      </c>
      <c r="J129" s="1632">
        <f t="shared" si="15"/>
        <v>0</v>
      </c>
      <c r="K129" s="1632">
        <f t="shared" si="15"/>
        <v>2432990</v>
      </c>
      <c r="L129" s="1632">
        <f t="shared" si="15"/>
        <v>2520400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v>250000</v>
      </c>
    </row>
    <row r="151" spans="1:14" ht="12.75" customHeight="1" thickTop="1" thickBot="1" x14ac:dyDescent="0.25">
      <c r="A151" s="2267" t="s">
        <v>616</v>
      </c>
      <c r="B151" s="2249"/>
      <c r="C151" s="1625">
        <f>SUM(C129,C130,C139,C149,C150)</f>
        <v>1257414</v>
      </c>
      <c r="D151" s="1625">
        <f t="shared" ref="D151:K151" si="16">SUM(D129,D130,D139,D149,D150)</f>
        <v>217462</v>
      </c>
      <c r="E151" s="1625">
        <f t="shared" si="16"/>
        <v>505840</v>
      </c>
      <c r="F151" s="1625">
        <f t="shared" si="16"/>
        <v>425114</v>
      </c>
      <c r="G151" s="1625">
        <f t="shared" si="16"/>
        <v>730</v>
      </c>
      <c r="H151" s="1625">
        <f t="shared" si="16"/>
        <v>0</v>
      </c>
      <c r="I151" s="1625">
        <f t="shared" si="16"/>
        <v>26430</v>
      </c>
      <c r="J151" s="1625">
        <f t="shared" si="16"/>
        <v>0</v>
      </c>
      <c r="K151" s="1625">
        <f t="shared" si="16"/>
        <v>2432990</v>
      </c>
      <c r="L151" s="1625">
        <f>SUM(L129,L130,L139,L149,L150)</f>
        <v>2770400</v>
      </c>
    </row>
    <row r="152" spans="1:14" ht="12.75" customHeight="1" thickTop="1" x14ac:dyDescent="0.2">
      <c r="A152" s="2270" t="s">
        <v>1170</v>
      </c>
      <c r="B152" s="2271"/>
      <c r="C152" s="1626"/>
      <c r="D152" s="1626"/>
      <c r="E152" s="1626"/>
      <c r="F152" s="1626"/>
      <c r="G152" s="1626"/>
      <c r="H152" s="1626"/>
      <c r="I152" s="1626"/>
      <c r="J152" s="1624"/>
      <c r="K152" s="1640">
        <f>'Revenues 9-14'!D268-'Expenditures 15-22'!K151</f>
        <v>601049</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5" t="s">
        <v>617</v>
      </c>
      <c r="B154" s="2257"/>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c r="I169" s="1624"/>
      <c r="J169" s="1624"/>
      <c r="K169" s="1623">
        <f>SUM(C169:H169)</f>
        <v>0</v>
      </c>
      <c r="L169" s="1646"/>
    </row>
    <row r="170" spans="1:14" ht="33.75" customHeight="1" x14ac:dyDescent="0.2">
      <c r="A170" s="543" t="s">
        <v>1654</v>
      </c>
      <c r="B170" s="545" t="s">
        <v>31</v>
      </c>
      <c r="C170" s="1624"/>
      <c r="D170" s="1624"/>
      <c r="E170" s="1624"/>
      <c r="F170" s="1624"/>
      <c r="G170" s="1624"/>
      <c r="H170" s="1597"/>
      <c r="I170" s="1624"/>
      <c r="J170" s="1624"/>
      <c r="K170" s="1623">
        <f>SUM(C170:J170)</f>
        <v>0</v>
      </c>
      <c r="L170" s="1597"/>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0</v>
      </c>
      <c r="I172" s="1635"/>
      <c r="J172" s="1624"/>
      <c r="K172" s="1632">
        <f>SUM(K168,K169,K170,K171)</f>
        <v>0</v>
      </c>
      <c r="L172" s="1632">
        <f>SUM(L168,L169,L170,L171)</f>
        <v>0</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0</v>
      </c>
      <c r="I174" s="1635"/>
      <c r="J174" s="1624"/>
      <c r="K174" s="1632">
        <f>SUM(K160,K172,K173)</f>
        <v>0</v>
      </c>
      <c r="L174" s="1632">
        <f>SUM(L160,L172,L173)</f>
        <v>0</v>
      </c>
    </row>
    <row r="175" spans="1:14" ht="13.5" thickTop="1" x14ac:dyDescent="0.2">
      <c r="A175" s="2277" t="s">
        <v>989</v>
      </c>
      <c r="B175" s="2278"/>
      <c r="C175" s="1624"/>
      <c r="D175" s="1624"/>
      <c r="E175" s="1624"/>
      <c r="F175" s="1624"/>
      <c r="G175" s="1624"/>
      <c r="H175" s="1626"/>
      <c r="I175" s="1624"/>
      <c r="J175" s="1624"/>
      <c r="K175" s="1640">
        <f>'Revenues 9-14'!E268-'Expenditures 15-22'!K174</f>
        <v>0</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c r="D182" s="1524"/>
      <c r="E182" s="1524">
        <v>1260049</v>
      </c>
      <c r="F182" s="1524"/>
      <c r="G182" s="1524"/>
      <c r="H182" s="1524"/>
      <c r="I182" s="1525"/>
      <c r="J182" s="1525"/>
      <c r="K182" s="1623">
        <f>SUM(C182:J182)</f>
        <v>1260049</v>
      </c>
      <c r="L182" s="1524">
        <v>1338000</v>
      </c>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0</v>
      </c>
      <c r="D184" s="1632">
        <f t="shared" ref="D184:J184" si="17">SUM(D180,D182,D183)</f>
        <v>0</v>
      </c>
      <c r="E184" s="1632">
        <f t="shared" si="17"/>
        <v>1260049</v>
      </c>
      <c r="F184" s="1632">
        <f t="shared" si="17"/>
        <v>0</v>
      </c>
      <c r="G184" s="1632">
        <f t="shared" si="17"/>
        <v>0</v>
      </c>
      <c r="H184" s="1632">
        <f t="shared" si="17"/>
        <v>0</v>
      </c>
      <c r="I184" s="1632">
        <f t="shared" si="17"/>
        <v>0</v>
      </c>
      <c r="J184" s="1632">
        <f t="shared" si="17"/>
        <v>0</v>
      </c>
      <c r="K184" s="1632">
        <f>SUM(K180,K182,K183)</f>
        <v>1260049</v>
      </c>
      <c r="L184" s="1632">
        <f>SUM(L180, L182:L183)</f>
        <v>1338000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0</v>
      </c>
      <c r="D210" s="1625">
        <f>SUM(D184,D185)</f>
        <v>0</v>
      </c>
      <c r="E210" s="1625">
        <f>SUM(E184,E185,E196)</f>
        <v>1260049</v>
      </c>
      <c r="F210" s="1625">
        <f>SUM(F184,F185)</f>
        <v>0</v>
      </c>
      <c r="G210" s="1625">
        <f>SUM(G184,G185)</f>
        <v>0</v>
      </c>
      <c r="H210" s="1625">
        <f>SUM(H184,H185,H196,H208,H209)</f>
        <v>0</v>
      </c>
      <c r="I210" s="1625">
        <f>SUM(I184,I185)</f>
        <v>0</v>
      </c>
      <c r="J210" s="1625">
        <f>SUM(J184,J185)</f>
        <v>0</v>
      </c>
      <c r="K210" s="1623">
        <f>SUM(K184,K185,K196,K208,K209)</f>
        <v>1260049</v>
      </c>
      <c r="L210" s="1625">
        <f>SUM(L184,L185,L196,L208,L209)</f>
        <v>1338000</v>
      </c>
    </row>
    <row r="211" spans="1:14" ht="13.5" thickTop="1" x14ac:dyDescent="0.2">
      <c r="A211" s="2277" t="s">
        <v>989</v>
      </c>
      <c r="B211" s="2278"/>
      <c r="C211" s="1626"/>
      <c r="D211" s="1626"/>
      <c r="E211" s="1626"/>
      <c r="F211" s="1626"/>
      <c r="G211" s="1626"/>
      <c r="H211" s="1626"/>
      <c r="I211" s="1624"/>
      <c r="J211" s="1624"/>
      <c r="K211" s="1640">
        <f>'Revenues 9-14'!F268-'Expenditures 15-22'!K210</f>
        <v>48260</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2" t="s">
        <v>959</v>
      </c>
      <c r="B213" s="2273"/>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v>394636</v>
      </c>
      <c r="E215" s="1624"/>
      <c r="F215" s="1624"/>
      <c r="G215" s="1624"/>
      <c r="H215" s="1624"/>
      <c r="I215" s="1624"/>
      <c r="J215" s="1624"/>
      <c r="K215" s="1623">
        <f>D215</f>
        <v>394636</v>
      </c>
      <c r="L215" s="1524">
        <v>384700</v>
      </c>
    </row>
    <row r="216" spans="1:14" x14ac:dyDescent="0.2">
      <c r="A216" s="1225" t="s">
        <v>162</v>
      </c>
      <c r="B216" s="503" t="s">
        <v>961</v>
      </c>
      <c r="C216" s="1624"/>
      <c r="D216" s="1525"/>
      <c r="E216" s="1624"/>
      <c r="F216" s="1624"/>
      <c r="G216" s="1624"/>
      <c r="H216" s="1624"/>
      <c r="I216" s="1624"/>
      <c r="J216" s="1624"/>
      <c r="K216" s="1623">
        <f t="shared" ref="K216:K228" si="19">D216</f>
        <v>0</v>
      </c>
      <c r="L216" s="1524"/>
    </row>
    <row r="217" spans="1:14" x14ac:dyDescent="0.2">
      <c r="A217" s="1225" t="s">
        <v>163</v>
      </c>
      <c r="B217" s="503">
        <v>1200</v>
      </c>
      <c r="C217" s="1624"/>
      <c r="D217" s="1524">
        <v>176681</v>
      </c>
      <c r="E217" s="1624"/>
      <c r="F217" s="1624"/>
      <c r="G217" s="1624"/>
      <c r="H217" s="1624"/>
      <c r="I217" s="1624"/>
      <c r="J217" s="1624"/>
      <c r="K217" s="1623">
        <f t="shared" si="19"/>
        <v>176681</v>
      </c>
      <c r="L217" s="1524">
        <v>192000</v>
      </c>
    </row>
    <row r="218" spans="1:14" x14ac:dyDescent="0.2">
      <c r="A218" s="1225" t="s">
        <v>276</v>
      </c>
      <c r="B218" s="503" t="s">
        <v>962</v>
      </c>
      <c r="C218" s="1624"/>
      <c r="D218" s="1525">
        <v>25653</v>
      </c>
      <c r="E218" s="1624"/>
      <c r="F218" s="1624"/>
      <c r="G218" s="1624"/>
      <c r="H218" s="1624"/>
      <c r="I218" s="1624"/>
      <c r="J218" s="1624"/>
      <c r="K218" s="1623">
        <f t="shared" si="19"/>
        <v>25653</v>
      </c>
      <c r="L218" s="1524">
        <v>22100</v>
      </c>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v>21333</v>
      </c>
      <c r="E223" s="1624"/>
      <c r="F223" s="1624"/>
      <c r="G223" s="1624"/>
      <c r="H223" s="1624"/>
      <c r="I223" s="1624"/>
      <c r="J223" s="1624"/>
      <c r="K223" s="1623">
        <f t="shared" si="19"/>
        <v>21333</v>
      </c>
      <c r="L223" s="1524">
        <v>21600</v>
      </c>
    </row>
    <row r="224" spans="1:14" x14ac:dyDescent="0.2">
      <c r="A224" s="1225" t="s">
        <v>958</v>
      </c>
      <c r="B224" s="503">
        <v>1600</v>
      </c>
      <c r="C224" s="1624"/>
      <c r="D224" s="1524">
        <v>2777</v>
      </c>
      <c r="E224" s="1624"/>
      <c r="F224" s="1624"/>
      <c r="G224" s="1624"/>
      <c r="H224" s="1624"/>
      <c r="I224" s="1624"/>
      <c r="J224" s="1624"/>
      <c r="K224" s="1623">
        <f t="shared" si="19"/>
        <v>2777</v>
      </c>
      <c r="L224" s="1524">
        <v>5800</v>
      </c>
    </row>
    <row r="225" spans="1:12" x14ac:dyDescent="0.2">
      <c r="A225" s="1225" t="s">
        <v>980</v>
      </c>
      <c r="B225" s="503">
        <v>1650</v>
      </c>
      <c r="C225" s="1624"/>
      <c r="D225" s="1524">
        <v>5146</v>
      </c>
      <c r="E225" s="1624"/>
      <c r="F225" s="1624"/>
      <c r="G225" s="1624"/>
      <c r="H225" s="1624"/>
      <c r="I225" s="1624"/>
      <c r="J225" s="1624"/>
      <c r="K225" s="1623">
        <f t="shared" si="19"/>
        <v>5146</v>
      </c>
      <c r="L225" s="1524">
        <v>5300</v>
      </c>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v>5737</v>
      </c>
      <c r="E227" s="1624"/>
      <c r="F227" s="1624"/>
      <c r="G227" s="1624"/>
      <c r="H227" s="1624"/>
      <c r="I227" s="1624"/>
      <c r="J227" s="1624"/>
      <c r="K227" s="1623">
        <f t="shared" si="19"/>
        <v>5737</v>
      </c>
      <c r="L227" s="1524">
        <v>4500</v>
      </c>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631963</v>
      </c>
      <c r="E229" s="1624"/>
      <c r="F229" s="1624"/>
      <c r="G229" s="1624"/>
      <c r="H229" s="1624"/>
      <c r="I229" s="1624"/>
      <c r="J229" s="1624"/>
      <c r="K229" s="1625">
        <f>SUM(K215:K228)</f>
        <v>631963</v>
      </c>
      <c r="L229" s="1625">
        <f>SUM(L215:L228)</f>
        <v>636000</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v>8197</v>
      </c>
      <c r="E232" s="1624"/>
      <c r="F232" s="1624"/>
      <c r="G232" s="1624"/>
      <c r="H232" s="1624"/>
      <c r="I232" s="1624"/>
      <c r="J232" s="1624"/>
      <c r="K232" s="1623">
        <f t="shared" ref="K232:K237" si="20">D232</f>
        <v>8197</v>
      </c>
      <c r="L232" s="1524">
        <v>8800</v>
      </c>
    </row>
    <row r="233" spans="1:12" x14ac:dyDescent="0.2">
      <c r="A233" s="1225" t="s">
        <v>1083</v>
      </c>
      <c r="B233" s="503">
        <v>2120</v>
      </c>
      <c r="C233" s="1624"/>
      <c r="D233" s="1524">
        <v>19211</v>
      </c>
      <c r="E233" s="1624"/>
      <c r="F233" s="1624"/>
      <c r="G233" s="1624"/>
      <c r="H233" s="1624"/>
      <c r="I233" s="1624"/>
      <c r="J233" s="1624"/>
      <c r="K233" s="1623">
        <f t="shared" si="20"/>
        <v>19211</v>
      </c>
      <c r="L233" s="1524">
        <v>18800</v>
      </c>
    </row>
    <row r="234" spans="1:12" x14ac:dyDescent="0.2">
      <c r="A234" s="1225" t="s">
        <v>196</v>
      </c>
      <c r="B234" s="503">
        <v>2130</v>
      </c>
      <c r="C234" s="1624"/>
      <c r="D234" s="1524">
        <v>16653</v>
      </c>
      <c r="E234" s="1624"/>
      <c r="F234" s="1624"/>
      <c r="G234" s="1624"/>
      <c r="H234" s="1624"/>
      <c r="I234" s="1624"/>
      <c r="J234" s="1624"/>
      <c r="K234" s="1623">
        <f t="shared" si="20"/>
        <v>16653</v>
      </c>
      <c r="L234" s="1524">
        <v>26450</v>
      </c>
    </row>
    <row r="235" spans="1:12" x14ac:dyDescent="0.2">
      <c r="A235" s="1225" t="s">
        <v>197</v>
      </c>
      <c r="B235" s="503">
        <v>2140</v>
      </c>
      <c r="C235" s="1624"/>
      <c r="D235" s="1524">
        <v>5792</v>
      </c>
      <c r="E235" s="1624"/>
      <c r="F235" s="1624"/>
      <c r="G235" s="1624"/>
      <c r="H235" s="1624"/>
      <c r="I235" s="1624"/>
      <c r="J235" s="1624"/>
      <c r="K235" s="1623">
        <f t="shared" si="20"/>
        <v>5792</v>
      </c>
      <c r="L235" s="1524">
        <v>6800</v>
      </c>
    </row>
    <row r="236" spans="1:12" x14ac:dyDescent="0.2">
      <c r="A236" s="1225" t="s">
        <v>198</v>
      </c>
      <c r="B236" s="503">
        <v>2150</v>
      </c>
      <c r="C236" s="1624"/>
      <c r="D236" s="1524">
        <v>8315</v>
      </c>
      <c r="E236" s="1624"/>
      <c r="F236" s="1624"/>
      <c r="G236" s="1624"/>
      <c r="H236" s="1624"/>
      <c r="I236" s="1624"/>
      <c r="J236" s="1624"/>
      <c r="K236" s="1623">
        <f t="shared" si="20"/>
        <v>8315</v>
      </c>
      <c r="L236" s="1524">
        <v>7100</v>
      </c>
    </row>
    <row r="237" spans="1:12" x14ac:dyDescent="0.2">
      <c r="A237" s="1225" t="s">
        <v>164</v>
      </c>
      <c r="B237" s="503">
        <v>2190</v>
      </c>
      <c r="C237" s="1624"/>
      <c r="D237" s="1524">
        <v>62243</v>
      </c>
      <c r="E237" s="1624"/>
      <c r="F237" s="1624"/>
      <c r="G237" s="1624"/>
      <c r="H237" s="1624"/>
      <c r="I237" s="1624"/>
      <c r="J237" s="1624"/>
      <c r="K237" s="1623">
        <f t="shared" si="20"/>
        <v>62243</v>
      </c>
      <c r="L237" s="1524">
        <v>48400</v>
      </c>
    </row>
    <row r="238" spans="1:12" ht="12.75" customHeight="1" thickBot="1" x14ac:dyDescent="0.25">
      <c r="A238" s="1331" t="s">
        <v>556</v>
      </c>
      <c r="B238" s="1334" t="s">
        <v>711</v>
      </c>
      <c r="C238" s="1624"/>
      <c r="D238" s="1625">
        <f>SUM(D232:D237)</f>
        <v>120411</v>
      </c>
      <c r="E238" s="1624"/>
      <c r="F238" s="1624"/>
      <c r="G238" s="1624"/>
      <c r="H238" s="1624"/>
      <c r="I238" s="1624"/>
      <c r="J238" s="1624"/>
      <c r="K238" s="1625">
        <f>SUM(K232:K237)</f>
        <v>120411</v>
      </c>
      <c r="L238" s="1625">
        <f>SUM(L232:L237)</f>
        <v>116350</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v>10531</v>
      </c>
      <c r="E240" s="1624"/>
      <c r="F240" s="1624"/>
      <c r="G240" s="1624"/>
      <c r="H240" s="1624"/>
      <c r="I240" s="1624"/>
      <c r="J240" s="1624"/>
      <c r="K240" s="1629">
        <f>D240</f>
        <v>10531</v>
      </c>
      <c r="L240" s="1537">
        <v>10600</v>
      </c>
    </row>
    <row r="241" spans="1:12" x14ac:dyDescent="0.2">
      <c r="A241" s="1225" t="s">
        <v>810</v>
      </c>
      <c r="B241" s="503">
        <v>2220</v>
      </c>
      <c r="C241" s="1624"/>
      <c r="D241" s="1524">
        <v>19754</v>
      </c>
      <c r="E241" s="1624"/>
      <c r="F241" s="1624"/>
      <c r="G241" s="1624"/>
      <c r="H241" s="1624"/>
      <c r="I241" s="1624"/>
      <c r="J241" s="1624"/>
      <c r="K241" s="1629">
        <f>D241</f>
        <v>19754</v>
      </c>
      <c r="L241" s="1524">
        <v>20400</v>
      </c>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30285</v>
      </c>
      <c r="E243" s="1624"/>
      <c r="F243" s="1624"/>
      <c r="G243" s="1624"/>
      <c r="H243" s="1624"/>
      <c r="I243" s="1624"/>
      <c r="J243" s="1624"/>
      <c r="K243" s="1625">
        <f>SUM(K240:K242)</f>
        <v>30285</v>
      </c>
      <c r="L243" s="1625">
        <f>SUM(L240:L242)</f>
        <v>31000</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v>39797</v>
      </c>
      <c r="E246" s="1624"/>
      <c r="F246" s="1624"/>
      <c r="G246" s="1624"/>
      <c r="H246" s="1624"/>
      <c r="I246" s="1624"/>
      <c r="J246" s="1624"/>
      <c r="K246" s="1629">
        <f t="shared" ref="K246:K256" si="21">D246</f>
        <v>39797</v>
      </c>
      <c r="L246" s="1524">
        <v>39400</v>
      </c>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39797</v>
      </c>
      <c r="E257" s="1624"/>
      <c r="F257" s="1624"/>
      <c r="G257" s="1624"/>
      <c r="H257" s="1624"/>
      <c r="I257" s="1624"/>
      <c r="J257" s="1624"/>
      <c r="K257" s="1625">
        <f>SUM(K245:K256)</f>
        <v>39797</v>
      </c>
      <c r="L257" s="1625">
        <f>SUM(L245:L256)</f>
        <v>39400</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v>131436</v>
      </c>
      <c r="E259" s="1624"/>
      <c r="F259" s="1624"/>
      <c r="G259" s="1624"/>
      <c r="H259" s="1624"/>
      <c r="I259" s="1624"/>
      <c r="J259" s="1624"/>
      <c r="K259" s="1629">
        <f>D259</f>
        <v>131436</v>
      </c>
      <c r="L259" s="1537">
        <v>141400</v>
      </c>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131436</v>
      </c>
      <c r="E261" s="1624"/>
      <c r="F261" s="1624"/>
      <c r="G261" s="1624"/>
      <c r="H261" s="1624"/>
      <c r="I261" s="1624"/>
      <c r="J261" s="1624"/>
      <c r="K261" s="1625">
        <f>SUM(K259:K260)</f>
        <v>131436</v>
      </c>
      <c r="L261" s="1625">
        <f>SUM(L259:L260)</f>
        <v>141400</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v>2882</v>
      </c>
      <c r="E263" s="1624"/>
      <c r="F263" s="1624"/>
      <c r="G263" s="1624"/>
      <c r="H263" s="1624"/>
      <c r="I263" s="1624"/>
      <c r="J263" s="1624"/>
      <c r="K263" s="1629">
        <f>D263</f>
        <v>2882</v>
      </c>
      <c r="L263" s="1537">
        <v>2730</v>
      </c>
    </row>
    <row r="264" spans="1:14" x14ac:dyDescent="0.2">
      <c r="A264" s="1225" t="s">
        <v>460</v>
      </c>
      <c r="B264" s="559">
        <v>2520</v>
      </c>
      <c r="C264" s="1624"/>
      <c r="D264" s="1524">
        <v>48149</v>
      </c>
      <c r="E264" s="1624"/>
      <c r="F264" s="1624"/>
      <c r="G264" s="1624"/>
      <c r="H264" s="1624"/>
      <c r="I264" s="1624"/>
      <c r="J264" s="1624"/>
      <c r="K264" s="1629">
        <f t="shared" ref="K264:K269" si="22">D264</f>
        <v>48149</v>
      </c>
      <c r="L264" s="1524">
        <v>44800</v>
      </c>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v>225487</v>
      </c>
      <c r="E266" s="1624"/>
      <c r="F266" s="1624"/>
      <c r="G266" s="1624"/>
      <c r="H266" s="1624"/>
      <c r="I266" s="1624"/>
      <c r="J266" s="1624"/>
      <c r="K266" s="1629">
        <f t="shared" si="22"/>
        <v>225487</v>
      </c>
      <c r="L266" s="1524">
        <v>238700</v>
      </c>
    </row>
    <row r="267" spans="1:14" x14ac:dyDescent="0.2">
      <c r="A267" s="1225" t="s">
        <v>947</v>
      </c>
      <c r="B267" s="503">
        <v>2550</v>
      </c>
      <c r="C267" s="1624"/>
      <c r="D267" s="1524"/>
      <c r="E267" s="1624"/>
      <c r="F267" s="1624"/>
      <c r="G267" s="1624"/>
      <c r="H267" s="1624"/>
      <c r="I267" s="1624"/>
      <c r="J267" s="1624"/>
      <c r="K267" s="1629">
        <f t="shared" si="22"/>
        <v>0</v>
      </c>
      <c r="L267" s="1524"/>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276518</v>
      </c>
      <c r="E270" s="1624"/>
      <c r="F270" s="1624"/>
      <c r="G270" s="1624"/>
      <c r="H270" s="1624"/>
      <c r="I270" s="1624"/>
      <c r="J270" s="1624"/>
      <c r="K270" s="1625">
        <f>SUM(K263:K269)</f>
        <v>276518</v>
      </c>
      <c r="L270" s="1625">
        <f>SUM(L263:L269)</f>
        <v>286230</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v>15886</v>
      </c>
      <c r="E274" s="1624"/>
      <c r="F274" s="1624"/>
      <c r="G274" s="1624"/>
      <c r="H274" s="1624"/>
      <c r="I274" s="1624"/>
      <c r="J274" s="1624"/>
      <c r="K274" s="1629">
        <f>D274</f>
        <v>15886</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15886</v>
      </c>
      <c r="E277" s="1624"/>
      <c r="F277" s="1624"/>
      <c r="G277" s="1624"/>
      <c r="H277" s="1624"/>
      <c r="I277" s="1624"/>
      <c r="J277" s="1624"/>
      <c r="K277" s="1625">
        <f>SUM(K272:K276)</f>
        <v>15886</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614333</v>
      </c>
      <c r="E279" s="1624"/>
      <c r="F279" s="1624"/>
      <c r="G279" s="1624"/>
      <c r="H279" s="1624"/>
      <c r="I279" s="1624"/>
      <c r="J279" s="1624"/>
      <c r="K279" s="1632">
        <f>SUM(K238,K243,K257,K261,K270,K277,K278)</f>
        <v>614333</v>
      </c>
      <c r="L279" s="1632">
        <f>SUM(L238,L243,L257,L261,L270,L277,L278)</f>
        <v>614380</v>
      </c>
    </row>
    <row r="280" spans="1:12" ht="15.75" customHeight="1" thickTop="1" thickBot="1" x14ac:dyDescent="0.25">
      <c r="A280" s="1313" t="s">
        <v>870</v>
      </c>
      <c r="B280" s="1302">
        <v>3000</v>
      </c>
      <c r="C280" s="1624"/>
      <c r="D280" s="1602">
        <v>23942</v>
      </c>
      <c r="E280" s="1624"/>
      <c r="F280" s="1624"/>
      <c r="G280" s="1624"/>
      <c r="H280" s="1624"/>
      <c r="I280" s="1624"/>
      <c r="J280" s="1624"/>
      <c r="K280" s="1638">
        <f>D280</f>
        <v>23942</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8" t="s">
        <v>502</v>
      </c>
      <c r="B295" s="2269"/>
      <c r="C295" s="1624"/>
      <c r="D295" s="1625">
        <f>SUM(D229,D279,D280,D285)</f>
        <v>1270238</v>
      </c>
      <c r="E295" s="1624"/>
      <c r="F295" s="1624"/>
      <c r="G295" s="1624"/>
      <c r="H295" s="1625">
        <f>H293</f>
        <v>0</v>
      </c>
      <c r="I295" s="1624"/>
      <c r="J295" s="1624"/>
      <c r="K295" s="1625">
        <f>SUM(K229,K279,K280,K285,K293,K294)</f>
        <v>1270238</v>
      </c>
      <c r="L295" s="1625">
        <f>SUM(L229,L279,L280,L285,L293,L294)</f>
        <v>1250380</v>
      </c>
    </row>
    <row r="296" spans="1:14" ht="13.5" thickTop="1" x14ac:dyDescent="0.2">
      <c r="A296" s="2277" t="s">
        <v>989</v>
      </c>
      <c r="B296" s="2278"/>
      <c r="C296" s="1624"/>
      <c r="D296" s="1626"/>
      <c r="E296" s="1624"/>
      <c r="F296" s="1624"/>
      <c r="G296" s="1624"/>
      <c r="H296" s="1658"/>
      <c r="I296" s="1624"/>
      <c r="J296" s="1624"/>
      <c r="K296" s="1640">
        <f>'Revenues 9-14'!G268-'Expenditures 15-22'!K295</f>
        <v>-1203</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60" t="s">
        <v>142</v>
      </c>
      <c r="B298" s="2254"/>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v>258854</v>
      </c>
      <c r="F301" s="1524"/>
      <c r="G301" s="1524">
        <v>598307</v>
      </c>
      <c r="H301" s="1524"/>
      <c r="I301" s="1525"/>
      <c r="J301" s="1525"/>
      <c r="K301" s="1623">
        <f>SUM(C301:J301)</f>
        <v>857161</v>
      </c>
      <c r="L301" s="1525">
        <v>1312655</v>
      </c>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258854</v>
      </c>
      <c r="F303" s="1632">
        <f t="shared" si="23"/>
        <v>0</v>
      </c>
      <c r="G303" s="1632">
        <f t="shared" si="23"/>
        <v>598307</v>
      </c>
      <c r="H303" s="1632">
        <f t="shared" si="23"/>
        <v>0</v>
      </c>
      <c r="I303" s="1632">
        <f t="shared" si="23"/>
        <v>0</v>
      </c>
      <c r="J303" s="1632">
        <f t="shared" si="23"/>
        <v>0</v>
      </c>
      <c r="K303" s="1632">
        <f t="shared" si="23"/>
        <v>857161</v>
      </c>
      <c r="L303" s="1632">
        <f t="shared" si="23"/>
        <v>1312655</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v>6500</v>
      </c>
    </row>
    <row r="312" spans="1:14" s="548" customFormat="1" ht="12.75" customHeight="1" thickTop="1" thickBot="1" x14ac:dyDescent="0.25">
      <c r="A312" s="2265" t="s">
        <v>275</v>
      </c>
      <c r="B312" s="2266"/>
      <c r="C312" s="1625">
        <f>SUM(C303)</f>
        <v>0</v>
      </c>
      <c r="D312" s="1625">
        <f>SUM(D303)</f>
        <v>0</v>
      </c>
      <c r="E312" s="1625">
        <f>SUM(E303,E310)</f>
        <v>258854</v>
      </c>
      <c r="F312" s="1625">
        <f>SUM(F303)</f>
        <v>0</v>
      </c>
      <c r="G312" s="1625">
        <f>SUM(G303)</f>
        <v>598307</v>
      </c>
      <c r="H312" s="1625">
        <f>SUM(H303,H310)</f>
        <v>0</v>
      </c>
      <c r="I312" s="1625">
        <f>SUM(I303)</f>
        <v>0</v>
      </c>
      <c r="J312" s="1625">
        <f>SUM(J303)</f>
        <v>0</v>
      </c>
      <c r="K312" s="1625">
        <f>SUM(K303,K310,K311)</f>
        <v>857161</v>
      </c>
      <c r="L312" s="1625">
        <f>SUM(L303,L310,L311)</f>
        <v>1319155</v>
      </c>
      <c r="M312" s="539"/>
      <c r="N312" s="539"/>
    </row>
    <row r="313" spans="1:14" ht="13.5" thickTop="1" x14ac:dyDescent="0.2">
      <c r="A313" s="2261" t="s">
        <v>989</v>
      </c>
      <c r="B313" s="2262"/>
      <c r="C313" s="1628"/>
      <c r="D313" s="1628"/>
      <c r="E313" s="1628"/>
      <c r="F313" s="1628"/>
      <c r="G313" s="1628"/>
      <c r="H313" s="1628"/>
      <c r="I313" s="1628"/>
      <c r="J313" s="1628"/>
      <c r="K313" s="1647">
        <f>'Revenues 9-14'!H268-'Expenditures 15-22'!K312</f>
        <v>-857082</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4" t="s">
        <v>148</v>
      </c>
      <c r="B315" s="2275"/>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6" t="s">
        <v>892</v>
      </c>
      <c r="B317" s="2275"/>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c r="F320" s="1525"/>
      <c r="G320" s="1525"/>
      <c r="H320" s="1525"/>
      <c r="I320" s="1525"/>
      <c r="J320" s="1525"/>
      <c r="K320" s="1623">
        <f t="shared" ref="K320:K327" si="24">SUM(C320:J320)</f>
        <v>0</v>
      </c>
      <c r="L320" s="1525"/>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63" t="s">
        <v>989</v>
      </c>
      <c r="B343" s="2264"/>
      <c r="C343" s="1624"/>
      <c r="D343" s="1624"/>
      <c r="E343" s="1624"/>
      <c r="F343" s="1624"/>
      <c r="G343" s="1624"/>
      <c r="H343" s="1624"/>
      <c r="I343" s="1624"/>
      <c r="J343" s="1624"/>
      <c r="K343" s="1640">
        <f>'Revenues 9-14'!J268-'Expenditures 15-22'!K342</f>
        <v>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3" t="s">
        <v>960</v>
      </c>
      <c r="B345" s="2254"/>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77" t="s">
        <v>989</v>
      </c>
      <c r="B368" s="2278"/>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office/infopath/2007/PartnerControls"/>
    <ds:schemaRef ds:uri="6ce3111e-7420-4802-b50a-75d4e9a0b980"/>
    <ds:schemaRef ds:uri="http://schemas.microsoft.com/office/2006/documentManagement/types"/>
    <ds:schemaRef ds:uri="http://purl.org/dc/elements/1.1/"/>
    <ds:schemaRef ds:uri="http://purl.org/dc/dcmitype/"/>
    <ds:schemaRef ds:uri="http://purl.org/dc/terms/"/>
    <ds:schemaRef ds:uri="http://schemas.microsoft.com/office/2006/metadata/propertie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2020-10-26T16:17:07Z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