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2CEC827-3EF8-4193-B2F0-79DA0F4C269C}" xr6:coauthVersionLast="36" xr6:coauthVersionMax="36" xr10:uidLastSave="{00000000-0000-0000-0000-000000000000}"/>
  <bookViews>
    <workbookView xWindow="-105" yWindow="-105" windowWidth="23250" windowHeight="126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3)" sheetId="186"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9">' SEFA'!$B$1:$M$46</definedName>
    <definedName name="_xlnm.Print_Area" localSheetId="27">' SEFA (2)'!$B$1:$M$46</definedName>
    <definedName name="_xlnm.Print_Area" localSheetId="28">'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9">#REF!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9">#REF!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9">#REF!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9">#REF!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6" i="179" l="1"/>
  <c r="I25" i="179"/>
  <c r="I24" i="179"/>
  <c r="F18" i="179"/>
  <c r="I16" i="179"/>
  <c r="I18" i="179" s="1"/>
  <c r="F16" i="179"/>
  <c r="I24" i="186"/>
  <c r="I11" i="179"/>
  <c r="G11" i="179"/>
  <c r="F11" i="179"/>
  <c r="E11" i="179"/>
  <c r="L27" i="186"/>
  <c r="F24" i="186"/>
  <c r="I22" i="186"/>
  <c r="L22" i="186" s="1"/>
  <c r="F22" i="186"/>
  <c r="I14" i="186"/>
  <c r="F14" i="186"/>
  <c r="I23" i="185"/>
  <c r="G23" i="185"/>
  <c r="F23" i="185"/>
  <c r="E23" i="185"/>
  <c r="L19" i="185"/>
  <c r="I21" i="185"/>
  <c r="G21" i="185"/>
  <c r="L21" i="185" s="1"/>
  <c r="F21" i="185"/>
  <c r="E21" i="185"/>
  <c r="I17" i="185"/>
  <c r="G17" i="185"/>
  <c r="F17" i="185"/>
  <c r="E17" i="185"/>
  <c r="L24" i="186"/>
  <c r="L21" i="186"/>
  <c r="L20" i="186"/>
  <c r="L18" i="186"/>
  <c r="L16" i="186"/>
  <c r="L14" i="186"/>
  <c r="L13" i="186"/>
  <c r="L12" i="186"/>
  <c r="I9" i="186"/>
  <c r="G9" i="186"/>
  <c r="F9" i="186"/>
  <c r="E9" i="186"/>
  <c r="J8" i="186"/>
  <c r="H8" i="186"/>
  <c r="B4" i="186"/>
  <c r="L26" i="185"/>
  <c r="L20" i="185"/>
  <c r="L16" i="185"/>
  <c r="L15" i="185"/>
  <c r="L14" i="185"/>
  <c r="L13" i="185"/>
  <c r="L12" i="185"/>
  <c r="L11" i="185"/>
  <c r="I9" i="185"/>
  <c r="G9" i="185"/>
  <c r="F9" i="185"/>
  <c r="E9" i="185"/>
  <c r="J8" i="185"/>
  <c r="H8" i="185"/>
  <c r="B4" i="185"/>
  <c r="E27" i="8"/>
  <c r="C38" i="3"/>
  <c r="M19" i="3"/>
  <c r="M18" i="3"/>
  <c r="M17" i="3"/>
  <c r="L23" i="185" l="1"/>
  <c r="L17" i="185"/>
  <c r="I13" i="11"/>
  <c r="D13" i="11"/>
  <c r="D10" i="11"/>
  <c r="D8" i="11"/>
  <c r="C8" i="3" l="1"/>
  <c r="I75" i="29" l="1"/>
  <c r="C32" i="3" l="1"/>
  <c r="J31" i="8" l="1"/>
  <c r="C27" i="3" l="1"/>
  <c r="C9" i="3"/>
  <c r="C4" i="3"/>
  <c r="K4" i="3" l="1"/>
  <c r="F75" i="29" l="1"/>
  <c r="E75" i="29"/>
  <c r="D75" i="29"/>
  <c r="C75" i="29"/>
  <c r="C107" i="5"/>
  <c r="H171" i="29" l="1"/>
  <c r="C79"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B7885" i="106" l="1"/>
  <c r="D7885" i="106" s="1"/>
  <c r="B7884" i="106"/>
  <c r="B7883" i="106"/>
  <c r="B7882" i="106"/>
  <c r="D7882" i="106" s="1"/>
  <c r="D7884" i="106"/>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8" i="179" l="1"/>
  <c r="L16" i="179"/>
  <c r="L15" i="179"/>
  <c r="L14"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B5752" i="106"/>
  <c r="D5752" i="106" s="1"/>
  <c r="D24" i="37" l="1"/>
  <c r="B4270" i="106" s="1"/>
  <c r="D4270" i="106" s="1"/>
  <c r="G30" i="108"/>
  <c r="I210" i="29"/>
  <c r="B7071" i="106" s="1"/>
  <c r="D7071" i="106" s="1"/>
  <c r="F77" i="4"/>
  <c r="B3255" i="106" s="1"/>
  <c r="D3255" i="106" s="1"/>
  <c r="B7180" i="106"/>
  <c r="D7180" i="106" s="1"/>
  <c r="E63" i="184"/>
  <c r="N63" i="184" s="1"/>
  <c r="H28" i="118"/>
  <c r="H342" i="29"/>
  <c r="B7221" i="106" s="1"/>
  <c r="D7221" i="106" s="1"/>
  <c r="B7696" i="106"/>
  <c r="D7696" i="106" s="1"/>
  <c r="E66" i="184"/>
  <c r="N66" i="184" s="1"/>
  <c r="B7135" i="106"/>
  <c r="D7135" i="106" s="1"/>
  <c r="E58" i="184"/>
  <c r="N58" i="184" s="1"/>
  <c r="B7198" i="106"/>
  <c r="D7198" i="106" s="1"/>
  <c r="E65" i="184"/>
  <c r="N65" i="184" s="1"/>
  <c r="B7126" i="106"/>
  <c r="D7126" i="106" s="1"/>
  <c r="E57" i="184"/>
  <c r="B7078" i="106"/>
  <c r="D7078" i="106" s="1"/>
  <c r="H15" i="184"/>
  <c r="D31" i="108"/>
  <c r="E16" i="184"/>
  <c r="H16" i="184" s="1"/>
  <c r="G33" i="108"/>
  <c r="E17" i="184"/>
  <c r="H17" i="184" s="1"/>
  <c r="B7171" i="106"/>
  <c r="D7171" i="106" s="1"/>
  <c r="E62" i="184"/>
  <c r="N62" i="184" s="1"/>
  <c r="L22" i="37"/>
  <c r="B7162" i="106"/>
  <c r="D7162" i="106" s="1"/>
  <c r="E61" i="184"/>
  <c r="N61" i="184" s="1"/>
  <c r="D22" i="37"/>
  <c r="F64" i="34"/>
  <c r="B7153" i="106"/>
  <c r="D7153" i="106" s="1"/>
  <c r="E60" i="184"/>
  <c r="N60" i="184" s="1"/>
  <c r="B6289" i="106"/>
  <c r="D6289" i="106" s="1"/>
  <c r="B1274" i="106"/>
  <c r="D1274" i="106" s="1"/>
  <c r="B7189" i="106"/>
  <c r="D7189" i="106" s="1"/>
  <c r="E64" i="184"/>
  <c r="N64" i="184" s="1"/>
  <c r="H12" i="184"/>
  <c r="E19" i="18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D44" i="36" l="1"/>
  <c r="K342" i="29"/>
  <c r="F13" i="34" s="1"/>
  <c r="F41" i="108"/>
  <c r="G43" i="108" s="1"/>
  <c r="B7222" i="106"/>
  <c r="D7222" i="106" s="1"/>
  <c r="F76" i="34"/>
  <c r="B7887" i="106" s="1"/>
  <c r="D7887" i="106" s="1"/>
  <c r="L16" i="11"/>
  <c r="B2061" i="106" s="1"/>
  <c r="D2061" i="106" s="1"/>
  <c r="J151" i="29"/>
  <c r="B7052" i="106" s="1"/>
  <c r="D7052" i="106" s="1"/>
  <c r="B7220" i="106"/>
  <c r="D7220" i="106" s="1"/>
  <c r="F75" i="34"/>
  <c r="B7886" i="106" s="1"/>
  <c r="D7886" i="106" s="1"/>
  <c r="H151" i="29"/>
  <c r="B1273" i="106" s="1"/>
  <c r="D1273" i="106" s="1"/>
  <c r="L114" i="29"/>
  <c r="N57" i="184"/>
  <c r="N68" i="184" s="1"/>
  <c r="E68" i="184"/>
  <c r="B6216" i="106"/>
  <c r="D6216" i="106" s="1"/>
  <c r="K365" i="29"/>
  <c r="E367" i="29"/>
  <c r="B3636" i="106" s="1"/>
  <c r="D3636" i="106" s="1"/>
  <c r="B3635" i="106"/>
  <c r="B5527" i="106"/>
  <c r="D5527" i="106"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J20" i="4"/>
  <c r="B6230" i="106" s="1"/>
  <c r="D6230" i="106" s="1"/>
  <c r="B6223" i="106"/>
  <c r="D6223" i="106" s="1"/>
  <c r="J10" i="4"/>
  <c r="B6225" i="106" s="1"/>
  <c r="D6225" i="106" s="1"/>
  <c r="F77" i="34"/>
  <c r="B7834" i="106" s="1"/>
  <c r="D7834" i="106" s="1"/>
  <c r="K17" i="4"/>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<sst xmlns="http://schemas.openxmlformats.org/spreadsheetml/2006/main" count="5356" uniqueCount="2169">
  <si>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</si>
  <si>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</si>
  <si>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</si>
  <si>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</si>
  <si>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</si>
  <si>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</si>
  <si>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</si>
  <si>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</si>
  <si>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</si>
  <si>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</si>
  <si>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</si>
  <si>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</si>
  <si>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</si>
  <si>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</si>
  <si>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</si>
  <si>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</si>
  <si>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</si>
  <si>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</si>
  <si>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</si>
  <si>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</si>
  <si>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</si>
  <si>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</si>
  <si>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</si>
  <si>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</si>
  <si>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</si>
  <si>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</si>
  <si>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</si>
  <si>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</si>
  <si>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</si>
  <si>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</si>
  <si>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</si>
  <si>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</si>
  <si>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</si>
  <si>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</si>
  <si>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</si>
  <si>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</si>
  <si>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</si>
  <si>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</si>
  <si>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</si>
  <si>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</si>
  <si>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</si>
  <si>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</si>
  <si>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</si>
  <si>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</si>
  <si>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</si>
  <si>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</si>
  <si>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</si>
  <si>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</si>
  <si>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</si>
  <si>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</si>
  <si>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</si>
  <si>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</si>
  <si>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</si>
  <si>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</si>
  <si>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</si>
  <si>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</si>
  <si>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</si>
  <si>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</si>
  <si>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</si>
  <si>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</si>
  <si>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</si>
  <si>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</si>
  <si>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</si>
  <si>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</si>
  <si>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</si>
  <si>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</si>
  <si>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</si>
  <si>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</si>
  <si>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</si>
  <si>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</si>
  <si>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</si>
  <si>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</si>
  <si>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</si>
  <si>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</si>
  <si>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</si>
  <si>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</si>
  <si>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</si>
  <si>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</si>
  <si>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</si>
  <si>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</si>
  <si>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</si>
  <si>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</si>
  <si>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</si>
  <si>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</si>
  <si>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</si>
  <si>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</si>
  <si>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</si>
  <si>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</si>
  <si>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</si>
  <si>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</si>
  <si>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</si>
  <si>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</si>
  <si>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</si>
  <si>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</si>
  <si>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</si>
  <si>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</si>
  <si>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</si>
  <si>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</si>
  <si>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</si>
  <si>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</si>
  <si>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</si>
  <si>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</si>
  <si>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</si>
  <si>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</si>
  <si>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</si>
  <si>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</si>
  <si>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</si>
  <si>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</si>
  <si>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</si>
  <si>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</si>
  <si>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</si>
  <si>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</si>
  <si>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</si>
  <si>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</si>
  <si>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</si>
  <si>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</si>
  <si>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</si>
  <si>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</si>
  <si>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</si>
  <si>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</si>
  <si>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</si>
  <si>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</si>
  <si>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</si>
  <si>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</si>
  <si>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</si>
  <si>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</si>
  <si>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</si>
  <si>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</si>
  <si>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</si>
  <si>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</si>
  <si>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</si>
  <si>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</si>
  <si>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</si>
  <si>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</si>
  <si>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</si>
  <si>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</si>
  <si>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</si>
  <si>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</si>
  <si>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</si>
  <si>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</si>
  <si>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</si>
  <si>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</si>
  <si>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</si>
  <si>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</si>
  <si>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</si>
  <si>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</si>
  <si>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</si>
  <si>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</si>
  <si>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</si>
  <si>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</si>
  <si>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</si>
  <si>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</si>
  <si>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</si>
  <si>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</si>
  <si>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</si>
  <si>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</si>
  <si>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</si>
  <si>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</si>
  <si>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</si>
  <si>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</si>
  <si>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</si>
  <si>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</si>
  <si>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</si>
  <si>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</si>
  <si>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</si>
  <si>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</si>
  <si>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</si>
  <si>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</si>
  <si>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</si>
  <si>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</si>
  <si>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</si>
  <si>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</si>
  <si>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</si>
  <si>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</si>
  <si>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</si>
  <si>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</si>
  <si>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</si>
  <si>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</si>
  <si>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</si>
  <si>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</si>
  <si>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</si>
  <si>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</si>
  <si>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</si>
  <si>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</si>
  <si>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</si>
  <si>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</si>
  <si>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</si>
  <si>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</si>
  <si>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</si>
  <si>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</si>
  <si>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</si>
  <si>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</si>
  <si>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</si>
  <si>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</si>
  <si>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</si>
  <si>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</si>
  <si>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</si>
  <si>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</si>
  <si>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</si>
  <si>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</si>
  <si>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</si>
  <si>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</si>
  <si>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</si>
  <si>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</si>
  <si>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</si>
  <si>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</si>
  <si>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</si>
  <si>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</si>
  <si>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</si>
  <si>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</si>
  <si>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</si>
  <si>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</si>
  <si>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</si>
  <si>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</si>
  <si>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</si>
  <si>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</si>
  <si>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</si>
  <si>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</si>
  <si>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</si>
  <si>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</si>
  <si>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</si>
  <si>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</si>
  <si>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</si>
  <si>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</si>
  <si>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</si>
  <si>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</si>
  <si>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</si>
  <si>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</si>
  <si>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</si>
  <si>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</si>
  <si>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</si>
  <si>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</si>
  <si>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</si>
  <si>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</si>
  <si>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</si>
  <si>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</si>
  <si>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</si>
  <si>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</si>
  <si>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</si>
  <si>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</si>
  <si>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</si>
  <si>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</si>
  <si>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</si>
  <si>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</si>
  <si>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</si>
  <si>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</si>
  <si>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</si>
  <si>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</si>
  <si>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</si>
  <si>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</si>
  <si>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</si>
  <si>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</si>
  <si>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</si>
  <si>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</si>
  <si>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</si>
  <si>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</si>
  <si>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</si>
  <si>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</si>
  <si>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</si>
  <si>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</si>
  <si>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</si>
  <si>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</si>
  <si>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</si>
  <si>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</si>
  <si>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</si>
  <si>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</si>
  <si>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</si>
  <si>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</si>
  <si>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</si>
  <si>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</si>
  <si>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</si>
  <si>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</si>
  <si>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</si>
  <si>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</si>
  <si>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</si>
  <si>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</si>
  <si>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</si>
  <si>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</si>
  <si>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</si>
  <si>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</si>
  <si>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</si>
  <si>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</si>
  <si>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</si>
  <si>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</si>
  <si>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</si>
  <si>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</si>
  <si>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</si>
  <si>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</si>
  <si>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</si>
  <si>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</si>
  <si>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</si>
  <si>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</si>
  <si>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</si>
  <si>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</si>
  <si>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</si>
  <si>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</si>
  <si>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</si>
  <si>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</si>
  <si>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</si>
  <si>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</si>
  <si>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</si>
  <si>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</si>
  <si>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</si>
  <si>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</si>
  <si>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</si>
  <si>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</si>
  <si>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</si>
  <si>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</si>
  <si>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</si>
  <si>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</si>
  <si>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</si>
  <si>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</si>
  <si>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</si>
  <si>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</si>
  <si>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</si>
  <si>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</si>
  <si>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</si>
  <si>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</si>
  <si>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</si>
  <si>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</si>
  <si>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</si>
  <si>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</si>
  <si>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</si>
  <si>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</si>
  <si>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</si>
  <si>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</si>
  <si>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</si>
  <si>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</si>
  <si>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</si>
  <si>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</si>
  <si>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</si>
  <si>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</si>
  <si>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</si>
  <si>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</si>
  <si>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</si>
  <si>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</si>
  <si>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</si>
  <si>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</si>
  <si>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</si>
  <si>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</si>
  <si>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</si>
  <si>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</si>
  <si>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</si>
  <si>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</si>
  <si>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</si>
  <si>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</si>
  <si>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</si>
  <si>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</si>
  <si>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</si>
  <si>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</si>
  <si>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</si>
  <si>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</si>
  <si>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</si>
  <si>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</si>
  <si>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</si>
  <si>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</si>
  <si>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</si>
  <si>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</si>
  <si>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</si>
  <si>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</si>
  <si>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</si>
  <si>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</si>
  <si>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</si>
  <si>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</si>
  <si>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</si>
  <si>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</si>
  <si>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</si>
  <si>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</si>
  <si>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</si>
  <si>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</si>
  <si>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</si>
  <si>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</si>
  <si>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</si>
  <si>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</si>
  <si>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</si>
  <si>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</si>
  <si>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</si>
  <si>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</si>
  <si>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</si>
  <si>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</si>
  <si>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</si>
  <si>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</si>
  <si>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</si>
  <si>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</si>
  <si>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</si>
  <si>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</si>
  <si>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</si>
  <si>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</si>
  <si>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</si>
  <si>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</si>
  <si>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</si>
  <si>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</si>
  <si>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</si>
  <si>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</si>
  <si>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</si>
  <si>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</si>
  <si>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</si>
  <si>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</si>
  <si>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</si>
  <si>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</si>
  <si>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</si>
  <si>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</si>
  <si>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</si>
  <si>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</si>
  <si>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</si>
  <si>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</si>
  <si>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</si>
  <si>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</si>
  <si>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</si>
  <si>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</si>
  <si>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</si>
  <si>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</si>
  <si>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</si>
  <si>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</si>
  <si>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</si>
  <si>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</si>
  <si>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</si>
  <si>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</si>
  <si>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</si>
  <si>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</si>
  <si>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</si>
  <si>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</si>
  <si>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</si>
  <si>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</si>
  <si>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</si>
  <si>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</si>
  <si>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</si>
  <si>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</si>
  <si>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</si>
  <si>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</si>
  <si>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</si>
  <si>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</si>
  <si>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</si>
  <si>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</si>
  <si>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</si>
  <si>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</si>
  <si>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</si>
  <si>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</si>
  <si>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</si>
  <si>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</si>
  <si>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</si>
  <si>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</si>
  <si>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</si>
  <si>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</si>
  <si>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</si>
  <si>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</si>
  <si>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</si>
  <si>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</si>
  <si>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</si>
  <si>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</si>
  <si>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</si>
  <si>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</si>
  <si>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</si>
  <si>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</si>
  <si>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</si>
  <si>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</si>
  <si>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</si>
  <si>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</si>
  <si>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</si>
  <si>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</si>
  <si>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</si>
  <si>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</si>
  <si>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</si>
  <si>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</si>
  <si>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</si>
  <si>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</si>
  <si>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</si>
  <si>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</si>
  <si>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</si>
  <si>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</si>
  <si>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</si>
  <si>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</si>
  <si>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</si>
  <si>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</si>
  <si>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</si>
  <si>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</si>
  <si>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</si>
  <si>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</si>
  <si>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</si>
  <si>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</si>
  <si>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</si>
  <si>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</si>
  <si>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</si>
  <si>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</si>
  <si>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</si>
  <si>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</si>
  <si>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</si>
  <si>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</si>
  <si>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</si>
  <si>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</si>
  <si>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</si>
  <si>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</si>
  <si>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</si>
  <si>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</si>
  <si>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</si>
  <si>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</si>
  <si>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</si>
  <si>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</si>
  <si>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</si>
  <si>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</si>
  <si>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</si>
  <si>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</si>
  <si>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</si>
  <si>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</si>
  <si>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</si>
  <si>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</si>
  <si>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</si>
  <si>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</si>
  <si>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</si>
  <si>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</si>
  <si>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</si>
  <si>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</si>
  <si>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</si>
  <si>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</si>
  <si>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</si>
  <si>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</si>
  <si>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</si>
  <si>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</si>
  <si>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</si>
  <si>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</si>
  <si>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</si>
  <si>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</si>
  <si>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</si>
  <si>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</si>
  <si>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</si>
  <si>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</si>
  <si>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</si>
  <si>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</si>
  <si>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</si>
  <si>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</si>
  <si>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</si>
  <si>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</si>
  <si>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</si>
  <si>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</si>
  <si>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</si>
  <si>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</si>
  <si>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</si>
  <si>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</si>
  <si>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</si>
  <si>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</si>
  <si>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</si>
  <si>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</si>
  <si>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</si>
  <si>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</si>
  <si>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</si>
  <si>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</si>
  <si>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</si>
  <si>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</si>
  <si>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</si>
  <si>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</si>
  <si>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</si>
  <si>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</si>
  <si>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</si>
  <si>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</si>
  <si>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</si>
  <si>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</si>
  <si>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</si>
  <si>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</si>
  <si>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</si>
  <si>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</si>
  <si>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</si>
  <si>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</si>
  <si>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</si>
  <si>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</si>
  <si>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</si>
  <si>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</si>
  <si>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</si>
  <si>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</si>
  <si>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</si>
  <si>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</si>
  <si>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</si>
  <si>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</si>
  <si>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</si>
  <si>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</si>
  <si>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</si>
  <si>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</si>
  <si>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</si>
  <si>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</si>
  <si>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</si>
  <si>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</si>
  <si>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</si>
  <si>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</si>
  <si>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</si>
  <si>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</si>
  <si>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</si>
  <si>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</si>
  <si>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</si>
  <si>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</si>
  <si>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</si>
  <si>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</si>
  <si>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</si>
  <si>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</si>
  <si>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</si>
  <si>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</si>
  <si>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</si>
  <si>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</si>
  <si>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</si>
  <si>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</si>
  <si>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</si>
  <si>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</si>
  <si>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</si>
  <si>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</si>
  <si>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</si>
  <si>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</si>
  <si>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</si>
  <si>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</si>
  <si>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</si>
  <si>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</si>
  <si>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</si>
  <si>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</si>
  <si>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</si>
  <si>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</si>
  <si>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</si>
  <si>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</si>
  <si>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</si>
  <si>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</si>
  <si>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</si>
  <si>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</si>
  <si>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</si>
  <si>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</si>
  <si>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</si>
  <si>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</si>
  <si>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</si>
  <si>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</si>
  <si>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</si>
  <si>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</si>
  <si>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</si>
  <si>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</si>
  <si>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</si>
  <si>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</si>
  <si>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</si>
  <si>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</si>
  <si>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</si>
  <si>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</si>
  <si>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</si>
  <si>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</si>
  <si>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</si>
  <si>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</si>
  <si>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</si>
  <si>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</si>
  <si>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</si>
  <si>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</si>
  <si>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</si>
  <si>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</si>
  <si>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</si>
  <si>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</si>
  <si>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</si>
  <si>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</si>
  <si>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</si>
  <si>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</si>
  <si>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</si>
  <si>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</si>
  <si>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</si>
  <si>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</si>
  <si>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</si>
  <si>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</si>
  <si>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</si>
  <si>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</si>
  <si>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</si>
  <si>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</si>
  <si>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</si>
  <si>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</si>
  <si>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</si>
  <si>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</si>
  <si>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</si>
  <si>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</si>
  <si>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</si>
  <si>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</si>
  <si>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</si>
  <si>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</si>
  <si>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</si>
  <si>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</si>
  <si>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</si>
  <si>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</si>
  <si>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</si>
  <si>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</si>
  <si>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</si>
  <si>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</si>
  <si>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</si>
  <si>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</si>
  <si>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</si>
  <si>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</si>
  <si>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</si>
  <si>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</si>
  <si>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</si>
  <si>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</si>
  <si>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</si>
  <si>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</si>
  <si>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</si>
  <si>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</si>
  <si>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</si>
  <si>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</si>
  <si>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</si>
  <si>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</si>
  <si>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</si>
  <si>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</si>
  <si>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</si>
  <si>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</si>
  <si>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</si>
  <si>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</si>
  <si>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</si>
  <si>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</si>
  <si>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</si>
  <si>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</si>
  <si>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</si>
  <si>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</si>
  <si>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</si>
  <si>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</si>
  <si>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</si>
  <si>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</si>
  <si>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</si>
  <si>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</si>
  <si>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</si>
  <si>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</si>
  <si>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</si>
  <si>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</si>
  <si>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</si>
  <si>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</si>
  <si>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</si>
  <si>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</si>
  <si>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</si>
  <si>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</si>
  <si>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</si>
  <si>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</si>
  <si>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</si>
  <si>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</si>
  <si>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</si>
  <si>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</si>
  <si>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</si>
  <si>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</si>
  <si>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</si>
  <si>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</si>
  <si>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</si>
  <si>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</si>
  <si>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</si>
  <si>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</si>
  <si>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</si>
  <si>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</si>
  <si>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</si>
  <si>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</si>
  <si>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</si>
  <si>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</si>
  <si>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</si>
  <si>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</si>
  <si>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</si>
  <si>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</si>
  <si>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</si>
  <si>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</si>
  <si>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</si>
  <si>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</si>
  <si>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</si>
  <si>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</si>
  <si>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</si>
  <si>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</si>
  <si>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</si>
  <si>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</si>
  <si>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</si>
  <si>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</si>
  <si>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</si>
  <si>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</si>
  <si>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</si>
  <si>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</si>
  <si>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</si>
  <si>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</si>
  <si>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</si>
  <si>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</si>
  <si>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</si>
  <si>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</si>
  <si>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</si>
  <si>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</si>
  <si>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</si>
  <si>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</si>
  <si>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</si>
  <si>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</si>
  <si>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</si>
  <si>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</si>
  <si>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</si>
  <si>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</si>
  <si>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</si>
  <si>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</si>
  <si>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</si>
  <si>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</si>
  <si>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</si>
  <si>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</si>
  <si>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</si>
  <si>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</si>
  <si>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</si>
  <si>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</si>
  <si>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</si>
  <si>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</si>
  <si>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</si>
  <si>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</si>
  <si>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</si>
  <si>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</si>
  <si>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</si>
  <si>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</si>
  <si>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</si>
  <si>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</si>
  <si>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</si>
  <si>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</si>
  <si>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</si>
  <si>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</si>
  <si>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</si>
  <si>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</si>
  <si>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</si>
  <si>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</si>
  <si>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</si>
  <si>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</si>
  <si>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</si>
  <si>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</si>
  <si>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</si>
  <si>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</si>
  <si>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</si>
  <si>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</si>
  <si>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</si>
  <si>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</si>
  <si>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</si>
  <si>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</si>
  <si>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</si>
  <si>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</si>
  <si>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</si>
  <si>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</si>
  <si>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</si>
  <si>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</si>
  <si>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</si>
  <si>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</si>
  <si>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</si>
  <si>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</si>
  <si>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</si>
  <si>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</si>
  <si>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</si>
  <si>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</si>
  <si>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</si>
  <si>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</si>
  <si>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</si>
  <si>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</si>
  <si>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</si>
  <si>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</si>
  <si>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</si>
  <si>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</si>
  <si>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</si>
  <si>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</si>
  <si>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</si>
  <si>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</si>
  <si>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</si>
  <si>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</si>
  <si>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</si>
  <si>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</si>
  <si>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</si>
  <si>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</si>
  <si>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</si>
  <si>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</si>
  <si>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</si>
  <si>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</si>
  <si>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</si>
  <si>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</si>
  <si>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</si>
  <si>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</si>
  <si>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</si>
  <si>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</si>
  <si>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</si>
  <si>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</si>
  <si>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</si>
  <si>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</si>
  <si>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</si>
  <si>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</si>
  <si>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</si>
  <si>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</si>
  <si>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</si>
  <si>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</si>
  <si>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</si>
  <si>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</si>
  <si>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</si>
  <si>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</si>
  <si>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</si>
  <si>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</si>
  <si>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</si>
  <si>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</si>
  <si>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</si>
  <si>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</si>
  <si>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</si>
  <si>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</si>
  <si>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</si>
  <si>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</si>
  <si>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</si>
  <si>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</si>
  <si>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</si>
  <si>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</si>
  <si>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</si>
  <si>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</si>
  <si>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</si>
  <si>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</si>
  <si>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</si>
  <si>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</si>
  <si>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</si>
  <si>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</si>
  <si>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</si>
  <si>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</si>
  <si>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</si>
  <si>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</si>
  <si>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</si>
  <si>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</si>
  <si>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</si>
  <si>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</si>
  <si>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</si>
  <si>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</si>
  <si>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</si>
  <si>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</si>
  <si>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</si>
  <si>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</si>
  <si>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</si>
  <si>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</si>
  <si>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</si>
  <si>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</si>
  <si>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</si>
  <si>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</si>
  <si>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</si>
  <si>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</si>
  <si>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</si>
  <si>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</si>
  <si>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</si>
  <si>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</si>
  <si>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</si>
  <si>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</si>
  <si>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</si>
  <si>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</si>
  <si>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</si>
  <si>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</si>
  <si>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</si>
  <si>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</si>
  <si>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</si>
  <si>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</si>
  <si>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</si>
  <si>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</si>
  <si>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</si>
  <si>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</si>
  <si>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</si>
  <si>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</si>
  <si>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</si>
  <si>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</si>
  <si>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</si>
  <si>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</si>
  <si>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</si>
  <si>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</si>
  <si>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</si>
  <si>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</si>
  <si>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</si>
  <si>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</si>
  <si>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</si>
  <si>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</si>
  <si>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</si>
  <si>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</si>
  <si>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</si>
  <si>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</si>
  <si>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</si>
  <si>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</si>
  <si>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</si>
  <si>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</si>
  <si>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</si>
  <si>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</si>
  <si>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</si>
  <si>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</si>
  <si>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</si>
  <si>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</si>
  <si>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</si>
  <si>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</si>
  <si>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</si>
  <si>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</si>
  <si>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</si>
  <si>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</si>
  <si>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</si>
  <si>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</si>
  <si>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</si>
  <si>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</si>
  <si>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</si>
  <si>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</si>
  <si>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</si>
  <si>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</si>
  <si>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</si>
  <si>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</si>
  <si>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</si>
  <si>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</si>
  <si>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</si>
  <si>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</si>
  <si>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</si>
  <si>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</si>
  <si>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</si>
  <si>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</si>
  <si>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</si>
  <si>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</si>
  <si>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</si>
  <si>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</si>
  <si>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</si>
  <si>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</si>
  <si>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</si>
  <si>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</si>
  <si>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</si>
  <si>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</si>
  <si>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</si>
  <si>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</si>
  <si>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</si>
  <si>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</si>
  <si>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</si>
  <si>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</si>
  <si>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</si>
  <si>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</si>
  <si>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</si>
  <si>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</si>
  <si>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</si>
  <si>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</si>
  <si>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</si>
  <si>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</si>
  <si>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</si>
  <si>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</si>
  <si>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</si>
  <si>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</si>
  <si>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</si>
  <si>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</si>
  <si>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</si>
  <si>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</si>
  <si>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</si>
  <si>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</si>
  <si>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</si>
  <si>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</si>
  <si>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</si>
  <si>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</si>
  <si>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</si>
  <si>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</si>
  <si>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</si>
  <si>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</si>
  <si>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</si>
  <si>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</si>
  <si>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</si>
  <si>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</si>
  <si>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</si>
  <si>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</si>
  <si>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</si>
  <si>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</si>
  <si>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</si>
  <si>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</si>
  <si>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</si>
  <si>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</si>
  <si>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</si>
  <si>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</si>
  <si>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</si>
  <si>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</si>
  <si>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</si>
  <si>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</si>
  <si>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</si>
  <si>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</si>
  <si>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</si>
  <si>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</si>
  <si>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</si>
  <si>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</si>
  <si>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</si>
  <si>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</si>
  <si>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</si>
  <si>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</si>
  <si>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</si>
  <si>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</si>
  <si>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</si>
  <si>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</si>
  <si>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</si>
  <si>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</si>
  <si>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</si>
  <si>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</si>
  <si>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</si>
  <si>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</si>
  <si>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</si>
  <si>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</si>
  <si>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</si>
  <si>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</si>
  <si>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</si>
  <si>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</si>
  <si>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</si>
  <si>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</si>
  <si>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</si>
  <si>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</si>
  <si>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</si>
  <si>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</si>
  <si>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</si>
  <si>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</si>
  <si>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</si>
  <si>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</si>
  <si>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</si>
  <si>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</si>
  <si>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</si>
  <si>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</si>
  <si>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</si>
  <si>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</si>
  <si>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</si>
  <si>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</si>
  <si>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</si>
  <si>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</si>
  <si>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</si>
  <si>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</si>
  <si>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</si>
  <si>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</si>
  <si>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</si>
  <si>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</si>
  <si>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</si>
  <si>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</si>
  <si>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</si>
  <si>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</si>
  <si>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</si>
  <si>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</si>
  <si>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</si>
  <si>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</si>
  <si>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</si>
  <si>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</si>
  <si>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</si>
  <si>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</si>
  <si>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</si>
  <si>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</si>
  <si>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</si>
  <si>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</si>
  <si>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</si>
  <si>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</si>
  <si>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</si>
  <si>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</si>
  <si>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</si>
  <si>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</si>
  <si>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</si>
  <si>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</si>
  <si>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</si>
  <si>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</si>
  <si>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</si>
  <si>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</si>
  <si>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</si>
  <si>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</si>
  <si>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</si>
  <si>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</si>
  <si>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</si>
  <si>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</si>
  <si>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</si>
  <si>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</si>
  <si>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</si>
  <si>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</si>
  <si>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</si>
  <si>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</si>
  <si>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</si>
  <si>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</si>
  <si>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</si>
  <si>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</si>
  <si>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</si>
  <si>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</si>
  <si>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</si>
  <si>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</si>
  <si>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</si>
  <si>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</si>
  <si>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</si>
  <si>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</si>
  <si>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</si>
  <si>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</si>
  <si>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</si>
  <si>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</si>
  <si>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</si>
  <si>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</si>
  <si>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</si>
  <si>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</si>
  <si>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</si>
  <si>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</si>
  <si>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</si>
  <si>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</si>
  <si>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</si>
  <si>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</si>
  <si>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</si>
  <si>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</si>
  <si>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</si>
  <si>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</si>
  <si>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</si>
  <si>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</si>
  <si>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</si>
  <si>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</si>
  <si>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</si>
  <si>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</si>
  <si>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</si>
  <si>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</si>
  <si>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</si>
  <si>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</si>
  <si>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</si>
  <si>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</si>
  <si>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</si>
  <si>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</si>
  <si>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</si>
  <si>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</si>
  <si>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</si>
  <si>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</si>
  <si>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</si>
  <si>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</si>
  <si>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</si>
  <si>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</si>
  <si>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</si>
  <si>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</si>
  <si>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</si>
  <si>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</si>
  <si>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</si>
  <si>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</si>
  <si>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</si>
  <si>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</si>
  <si>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</si>
  <si>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</si>
  <si>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</si>
  <si>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</si>
  <si>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</si>
  <si>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</si>
  <si>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</si>
  <si>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</si>
  <si>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</si>
  <si>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</si>
  <si>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</si>
  <si>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</si>
  <si>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</si>
  <si>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</si>
  <si>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</si>
  <si>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</si>
  <si>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</si>
  <si>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</si>
  <si>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</si>
  <si>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</si>
  <si>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</si>
  <si>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</si>
  <si>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</si>
  <si>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</si>
  <si>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</si>
  <si>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</si>
  <si>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</si>
  <si>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</si>
  <si>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</si>
  <si>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</si>
  <si>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</si>
  <si>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</si>
  <si>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</si>
  <si>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</si>
  <si>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</si>
  <si>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</si>
  <si>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</si>
  <si>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</si>
  <si>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</si>
  <si>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</si>
  <si>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</si>
  <si>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</si>
  <si>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</si>
  <si>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</si>
  <si>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</si>
  <si>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</si>
  <si>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</si>
  <si>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</si>
  <si>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</si>
  <si>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</si>
  <si>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</si>
  <si>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</si>
  <si>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</si>
  <si>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</si>
  <si>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</si>
  <si>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</si>
  <si>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</si>
  <si>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</si>
  <si>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</si>
  <si>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</si>
  <si>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</si>
  <si>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</si>
  <si>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</si>
  <si>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</si>
  <si>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</si>
  <si>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</si>
  <si>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</si>
  <si>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</si>
  <si>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</si>
  <si>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</si>
  <si>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</si>
  <si>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</si>
  <si>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</si>
  <si>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</si>
  <si>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</si>
  <si>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</si>
  <si>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</si>
  <si>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</si>
  <si>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</si>
  <si>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</si>
  <si>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</si>
  <si>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</si>
  <si>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</si>
  <si>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</si>
  <si>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</si>
  <si>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</si>
  <si>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</si>
  <si>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</si>
  <si>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</si>
  <si>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</si>
  <si>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</si>
  <si>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</si>
  <si>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</si>
  <si>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</si>
  <si>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</si>
  <si>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</si>
  <si>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</si>
  <si>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</si>
  <si>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</si>
  <si>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</si>
  <si>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</si>
  <si>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</si>
  <si>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</si>
  <si>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</si>
  <si>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</si>
  <si>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</si>
  <si>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</si>
  <si>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</si>
  <si>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</si>
  <si>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</si>
  <si>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</si>
  <si>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</si>
  <si>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</si>
  <si>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</si>
  <si>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</si>
  <si>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</si>
  <si>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</si>
  <si>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</si>
  <si>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</si>
  <si>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</si>
  <si>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</si>
  <si>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</si>
  <si>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</si>
  <si>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</si>
  <si>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</si>
  <si>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</si>
  <si>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</si>
  <si>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</si>
  <si>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</si>
  <si>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</si>
  <si>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</si>
  <si>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</si>
  <si>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</si>
  <si>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</si>
  <si>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</si>
  <si>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</si>
  <si>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</si>
  <si>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</si>
  <si>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</si>
  <si>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</si>
  <si>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</si>
  <si>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</si>
  <si>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</si>
  <si>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</si>
  <si>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</si>
  <si>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</si>
  <si>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</si>
  <si>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</si>
  <si>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</si>
  <si>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</si>
  <si>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</si>
  <si>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</si>
  <si>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</si>
  <si>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</si>
  <si>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</si>
  <si>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</si>
  <si>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</si>
  <si>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</si>
  <si>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</si>
  <si>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</si>
  <si>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</si>
  <si>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</si>
  <si>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</si>
  <si>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</si>
  <si>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</si>
  <si>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</si>
  <si>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</si>
  <si>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</si>
  <si>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</si>
  <si>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</si>
  <si>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</si>
  <si>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</si>
  <si>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</si>
  <si>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</si>
  <si>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</si>
  <si>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</si>
  <si>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</si>
  <si>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</si>
  <si>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</si>
  <si>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</si>
  <si>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</si>
  <si>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</si>
  <si>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</si>
  <si>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</si>
  <si>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</si>
  <si>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</si>
  <si>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</si>
  <si>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</si>
  <si>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</si>
  <si>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</si>
  <si>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</si>
  <si>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</si>
  <si>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</si>
  <si>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</si>
  <si>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</si>
  <si>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</si>
  <si>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</si>
  <si>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</si>
  <si>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</si>
  <si>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</si>
  <si>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</si>
  <si>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</si>
  <si>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</si>
  <si>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</si>
  <si>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</si>
  <si>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</si>
  <si>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</si>
  <si>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</si>
  <si>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</si>
  <si>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</si>
  <si>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</si>
  <si>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</si>
  <si>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</si>
  <si>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</si>
  <si>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</si>
  <si>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</si>
  <si>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</si>
  <si>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</si>
  <si>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</si>
  <si>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</si>
  <si>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</si>
  <si>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</si>
  <si>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</si>
  <si>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</si>
  <si>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</si>
  <si>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</si>
  <si>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</si>
  <si>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</si>
  <si>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</si>
  <si>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</si>
  <si>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</si>
  <si>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</si>
  <si>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</si>
  <si>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</si>
  <si>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</si>
  <si>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</si>
  <si>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</si>
  <si>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</si>
  <si>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</si>
  <si>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</si>
  <si>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</si>
  <si>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</si>
  <si>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</si>
  <si>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</si>
  <si>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</si>
  <si>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</si>
  <si>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</si>
  <si>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</si>
  <si>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</si>
  <si>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</si>
  <si>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</si>
  <si>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</si>
  <si>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</si>
  <si>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</si>
  <si>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</si>
  <si>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</si>
  <si>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</si>
  <si>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</si>
  <si>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</si>
  <si>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</si>
  <si>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</si>
  <si>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</si>
  <si>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</si>
  <si>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</si>
  <si>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</si>
  <si>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</si>
  <si>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</si>
  <si>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</si>
  <si>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</si>
  <si>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</si>
  <si>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</si>
  <si>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</si>
  <si>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</si>
  <si>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</si>
  <si>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</si>
  <si>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</si>
  <si>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</si>
  <si>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</si>
  <si>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</si>
  <si>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</si>
  <si>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</si>
  <si>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</si>
  <si>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</si>
  <si>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</si>
  <si>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</si>
  <si>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</si>
  <si>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</si>
  <si>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</si>
  <si>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</si>
  <si>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</si>
  <si>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</si>
  <si>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</si>
  <si>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</si>
  <si>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</si>
  <si>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</si>
  <si>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</si>
  <si>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</si>
  <si>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</si>
  <si>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</si>
  <si>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</si>
  <si>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</si>
  <si>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</si>
  <si>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</si>
  <si>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</si>
  <si>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</si>
  <si>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</si>
  <si>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</si>
  <si>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</si>
  <si>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</si>
  <si>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</si>
  <si>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</si>
  <si>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</si>
  <si>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</si>
  <si>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</si>
  <si>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</si>
  <si>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</si>
  <si>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</si>
  <si>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</si>
  <si>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</si>
  <si>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</si>
  <si>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</si>
  <si>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</si>
  <si>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</si>
  <si>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</si>
  <si>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</si>
  <si>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</si>
  <si>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</si>
  <si>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</si>
  <si>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</si>
  <si>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</si>
  <si>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</si>
  <si>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</si>
  <si>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</si>
  <si>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</si>
  <si>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</si>
  <si>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</si>
  <si>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</si>
  <si>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</si>
  <si>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</si>
  <si>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</si>
  <si>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</si>
  <si>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</si>
  <si>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</si>
  <si>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</si>
  <si>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</si>
  <si>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</si>
  <si>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</si>
  <si>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</si>
  <si>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</si>
  <si>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</si>
  <si>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</si>
  <si>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</si>
  <si>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</si>
  <si>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</si>
  <si>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</si>
  <si>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</si>
  <si>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</si>
  <si>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</si>
  <si>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</si>
  <si>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</si>
  <si>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</si>
  <si>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</si>
  <si>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</si>
  <si>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</si>
  <si>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</si>
  <si>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</si>
  <si>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</si>
  <si>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</si>
  <si>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</si>
  <si>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</si>
  <si>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</si>
  <si>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</si>
  <si>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</si>
  <si>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</si>
  <si>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</si>
  <si>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</si>
  <si>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</si>
  <si>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</si>
  <si>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</si>
  <si>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</si>
  <si>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</si>
  <si>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</si>
  <si>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</si>
  <si>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</si>
  <si>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</si>
  <si>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</si>
  <si>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</si>
  <si>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</si>
  <si>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</si>
  <si>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</si>
  <si>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</si>
  <si>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</si>
  <si>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</si>
  <si>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</si>
  <si>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</si>
  <si>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</si>
  <si>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</si>
  <si>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</si>
  <si>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</si>
  <si>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</si>
  <si>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</si>
  <si>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</si>
  <si>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</si>
  <si>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</si>
  <si>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</si>
  <si>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</si>
  <si>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</si>
  <si>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</si>
  <si>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</si>
  <si>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</si>
  <si>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</si>
  <si>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</si>
  <si>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</si>
  <si>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</si>
  <si>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</si>
  <si>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</si>
  <si>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</si>
  <si>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</si>
  <si>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</si>
  <si>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</si>
  <si>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</si>
  <si>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</si>
  <si>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</si>
  <si>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</si>
  <si>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</si>
  <si>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</si>
  <si>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</si>
  <si>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</si>
  <si>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</si>
  <si>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</si>
  <si>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</si>
  <si>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</si>
  <si>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</si>
  <si>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</si>
  <si>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</si>
  <si>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</si>
  <si>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</si>
  <si>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</si>
  <si>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</si>
  <si>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</si>
  <si>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</si>
  <si>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</si>
  <si>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</si>
  <si>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</si>
  <si>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</si>
  <si>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</si>
  <si>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</si>
  <si>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</si>
  <si>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</si>
  <si>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</si>
  <si>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</si>
  <si>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</si>
  <si>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</si>
  <si>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</si>
  <si>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</si>
  <si>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</si>
  <si>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</si>
  <si>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</si>
  <si>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</si>
  <si>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</si>
  <si>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</si>
  <si>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</si>
  <si>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</si>
  <si>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</si>
  <si>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</si>
  <si>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</si>
  <si>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</si>
  <si>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</si>
  <si>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</si>
  <si>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</si>
  <si>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</si>
  <si>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</si>
  <si>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</si>
  <si>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</si>
  <si>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</si>
  <si>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</si>
  <si>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</si>
  <si>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</si>
  <si>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</si>
  <si>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</si>
  <si>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</si>
  <si>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</si>
  <si>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</si>
  <si>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</si>
  <si>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</si>
  <si>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</si>
  <si>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</si>
  <si>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</si>
  <si>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</si>
  <si>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</si>
  <si>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</si>
  <si>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</si>
  <si>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</si>
  <si>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</si>
  <si>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</si>
  <si>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</si>
  <si>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</si>
  <si>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</si>
  <si>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</si>
  <si>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</si>
  <si>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</si>
  <si>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</si>
  <si>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</si>
  <si>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</si>
  <si>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</si>
  <si>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</si>
  <si>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</si>
  <si>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</si>
  <si>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</si>
  <si>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</si>
  <si>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</si>
  <si>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</si>
  <si>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</si>
  <si>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</si>
  <si>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</si>
  <si>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</si>
  <si>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</si>
  <si>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</si>
  <si>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</si>
  <si>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</si>
  <si>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</si>
  <si>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</si>
  <si>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</si>
  <si>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</si>
  <si>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</si>
  <si>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</si>
  <si>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</si>
  <si>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</si>
  <si>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</si>
  <si>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</si>
  <si>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</si>
  <si>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</si>
  <si>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</si>
  <si>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</si>
  <si>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</si>
  <si>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</si>
  <si>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</si>
  <si>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</si>
  <si>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</si>
  <si>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</si>
  <si>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</si>
  <si>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</si>
  <si>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</si>
  <si>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</si>
  <si>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</si>
  <si>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</si>
  <si>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</si>
  <si>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</si>
  <si>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</si>
  <si>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</si>
  <si>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</si>
  <si>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</si>
  <si>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</si>
  <si>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</si>
  <si>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</si>
  <si>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</si>
  <si>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</si>
  <si>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</si>
  <si>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</si>
  <si>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</si>
  <si>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</si>
  <si>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</si>
  <si>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</si>
  <si>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</si>
  <si>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</si>
  <si>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</si>
  <si>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</si>
  <si>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</si>
  <si>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</si>
  <si>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</si>
  <si>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</si>
  <si>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</si>
  <si>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</si>
  <si>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</si>
  <si>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</si>
  <si>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</si>
  <si>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</si>
  <si>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</si>
  <si>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</si>
  <si>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</si>
  <si>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</si>
  <si>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</si>
  <si>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</si>
  <si>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</si>
  <si>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</si>
  <si>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</si>
  <si>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</si>
  <si>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</si>
  <si>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</si>
  <si>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</si>
  <si>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</si>
  <si>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</si>
  <si>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</si>
  <si>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</si>
  <si>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</si>
  <si>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</si>
  <si>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</si>
  <si>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</si>
  <si>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</si>
  <si>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</si>
  <si>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</si>
  <si>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</si>
  <si>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</si>
  <si>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</si>
  <si>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</si>
  <si>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</si>
  <si>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</si>
  <si>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</si>
  <si>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</si>
  <si>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</si>
  <si>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</si>
  <si>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</si>
  <si>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</si>
  <si>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</si>
  <si>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</si>
  <si>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</si>
  <si>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</si>
  <si>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</si>
  <si>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</si>
  <si>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</si>
  <si>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</si>
  <si>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</si>
  <si>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</si>
  <si>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</si>
  <si>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</si>
  <si>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</si>
  <si>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</si>
  <si>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</si>
  <si>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</si>
  <si>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</si>
  <si>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</si>
  <si>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</si>
  <si>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</si>
  <si>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</si>
  <si>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</si>
  <si>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</si>
  <si>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</si>
  <si>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</si>
  <si>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</si>
  <si>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</si>
  <si>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</si>
  <si>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</si>
  <si>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</si>
  <si>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</si>
  <si>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</si>
  <si>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</si>
  <si>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</si>
  <si>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</si>
  <si>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</si>
  <si>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</si>
  <si>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</si>
  <si>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</si>
  <si>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</si>
  <si>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</si>
  <si>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</si>
  <si>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</si>
  <si>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</si>
  <si>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</si>
  <si>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</si>
  <si>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</si>
  <si>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</si>
  <si>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</si>
  <si>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</si>
  <si>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</si>
  <si>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</si>
  <si>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</si>
  <si>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</si>
  <si>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</si>
  <si>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</si>
  <si>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</si>
  <si>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</si>
  <si>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</si>
  <si>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</si>
  <si>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</si>
  <si>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</si>
  <si>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</si>
  <si>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</si>
  <si>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</si>
  <si>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</si>
  <si>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</si>
  <si>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</si>
  <si>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</si>
  <si>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</si>
  <si>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</si>
  <si>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</si>
  <si>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</si>
  <si>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</si>
  <si>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</si>
  <si>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</si>
  <si>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</si>
  <si>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</si>
  <si>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</si>
  <si>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</si>
  <si>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</si>
  <si>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</si>
  <si>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</si>
  <si>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</si>
  <si>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</si>
  <si>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</si>
  <si>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</si>
  <si>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</si>
  <si>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</si>
  <si>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</si>
  <si>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</si>
  <si>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</si>
  <si>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</si>
  <si>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</si>
  <si>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</si>
  <si>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</si>
  <si>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</si>
  <si>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</si>
  <si>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</si>
  <si>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</si>
  <si>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</si>
  <si>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</si>
  <si>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</si>
  <si>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</si>
  <si>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</si>
  <si>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</si>
  <si>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</si>
  <si>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</si>
  <si>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</si>
  <si>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</si>
  <si>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</si>
  <si>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</si>
  <si>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</si>
  <si>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</si>
  <si>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</si>
  <si>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</si>
  <si>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</si>
  <si>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</si>
  <si>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</si>
  <si>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</si>
  <si>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</si>
  <si>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</si>
  <si>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</si>
  <si>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</si>
  <si>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</si>
  <si>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</si>
  <si>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</si>
  <si>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</si>
  <si>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</si>
  <si>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</si>
  <si>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</si>
  <si>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</si>
  <si>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</si>
  <si>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</si>
  <si>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</si>
  <si>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</si>
  <si>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</si>
  <si>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</si>
  <si>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</si>
  <si>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</si>
  <si>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</si>
  <si>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</si>
  <si>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</si>
  <si>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</si>
  <si>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</si>
  <si>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</si>
  <si>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</si>
  <si>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</si>
  <si>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</si>
  <si>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</si>
  <si>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</si>
  <si>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</si>
  <si>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</si>
  <si>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</si>
  <si>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</si>
  <si>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</si>
  <si>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</si>
  <si>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</si>
  <si>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</si>
  <si>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</si>
  <si>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</si>
  <si>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</si>
  <si>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</si>
  <si>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</si>
  <si>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</si>
  <si>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</si>
  <si>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</si>
  <si>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</si>
  <si>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</si>
  <si>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</si>
  <si>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</si>
  <si>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</si>
  <si>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</si>
  <si>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</si>
  <si>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</si>
  <si>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</si>
  <si>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</si>
  <si>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</si>
  <si>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</si>
  <si>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</si>
  <si>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</si>
  <si>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</si>
  <si>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</si>
  <si>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</si>
  <si>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</si>
  <si>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</si>
  <si>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</si>
  <si>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</si>
  <si>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</si>
  <si>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</si>
  <si>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</si>
  <si>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</si>
  <si>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</si>
  <si>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</si>
  <si>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</si>
  <si>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</si>
  <si>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</si>
  <si>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</si>
  <si>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</si>
  <si>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</si>
  <si>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</si>
  <si>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</si>
  <si>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</si>
  <si>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</si>
  <si>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</si>
  <si>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</si>
  <si>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</si>
  <si>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</si>
  <si>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</si>
  <si>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</si>
  <si>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</si>
  <si>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</si>
  <si>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</si>
  <si>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</si>
  <si>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</si>
  <si>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</si>
  <si>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</si>
  <si>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</si>
  <si>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</si>
  <si>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</si>
  <si>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</si>
  <si>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</si>
  <si>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</si>
  <si>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</si>
  <si>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</si>
  <si>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</si>
  <si>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</si>
  <si>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</si>
  <si>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</si>
  <si>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</si>
  <si>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</si>
  <si>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</si>
  <si>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</si>
  <si>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</si>
  <si>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</si>
  <si>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</si>
  <si>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Montgomery</t>
  </si>
  <si>
    <t>1311 Vandalia Road</t>
  </si>
  <si>
    <t>dpowell@hillsboroschools.net</t>
  </si>
  <si>
    <t>Hillsboro</t>
  </si>
  <si>
    <t>David Powell</t>
  </si>
  <si>
    <t>217-532-2942</t>
  </si>
  <si>
    <t>217-532-3137</t>
  </si>
  <si>
    <t>Scheffel Boyle</t>
  </si>
  <si>
    <t>Dale Holtmann</t>
  </si>
  <si>
    <t>222 East Main Street</t>
  </si>
  <si>
    <t>Belleville</t>
  </si>
  <si>
    <t>IL</t>
  </si>
  <si>
    <t>618-277-8100</t>
  </si>
  <si>
    <t>618-233-6334</t>
  </si>
  <si>
    <t>065-026956</t>
  </si>
  <si>
    <t>dale.holtmann@scheffelboyle.com</t>
  </si>
  <si>
    <t>General Obligation School Bonds</t>
  </si>
  <si>
    <t>General Obligation Bonds</t>
  </si>
  <si>
    <t>Working Cash Bonds</t>
  </si>
  <si>
    <t>Fayette Bond Vocational System</t>
  </si>
  <si>
    <t>Federal Lunch Program FY 20</t>
  </si>
  <si>
    <t>Federal Lunch Program FY 19</t>
  </si>
  <si>
    <t>Federal Breakfast Program FY 20</t>
  </si>
  <si>
    <t>Federal Breakfast Program FY 19</t>
  </si>
  <si>
    <t>20-4210-00</t>
  </si>
  <si>
    <t>19-4210-00</t>
  </si>
  <si>
    <t>20-4220-00</t>
  </si>
  <si>
    <t>19-4220-00</t>
  </si>
  <si>
    <t>N/A</t>
  </si>
  <si>
    <t>Summer Food Program</t>
  </si>
  <si>
    <t>20-4225-00</t>
  </si>
  <si>
    <t>Total Child Nutrition Cluster</t>
  </si>
  <si>
    <t xml:space="preserve">                Total Child Nutrition Cluster</t>
  </si>
  <si>
    <t>Child and Adult Care Food Program FY 20</t>
  </si>
  <si>
    <t>Child and Adult Care Food Program FY 19</t>
  </si>
  <si>
    <t>20-4226-00</t>
  </si>
  <si>
    <t>19-4226-00</t>
  </si>
  <si>
    <t xml:space="preserve">                Total Child and Adult Care Food Program</t>
  </si>
  <si>
    <t>Medicaid Matching</t>
  </si>
  <si>
    <t>20-4991-00</t>
  </si>
  <si>
    <t>Title I - Low Income FY 20</t>
  </si>
  <si>
    <t>Title I - School Improvement &amp; Accountability FY 20</t>
  </si>
  <si>
    <t>20-4300-00</t>
  </si>
  <si>
    <t>20-4331-00</t>
  </si>
  <si>
    <t>Total Title I Cluster</t>
  </si>
  <si>
    <t xml:space="preserve">                       Total Title I Cluster</t>
  </si>
  <si>
    <t>Title II - Teacher Quality FY 20</t>
  </si>
  <si>
    <t>20-493200</t>
  </si>
  <si>
    <t>Elementary and Secondary School Emergency Relief Grant</t>
  </si>
  <si>
    <t>84.425D</t>
  </si>
  <si>
    <t>20-4998-00</t>
  </si>
  <si>
    <t>(M) Federal Special Education Preschool</t>
  </si>
  <si>
    <t xml:space="preserve">                   Total Federal Special Education Cluster</t>
  </si>
  <si>
    <t>20-4600-00</t>
  </si>
  <si>
    <t>20-4620-00</t>
  </si>
  <si>
    <t>Perkins</t>
  </si>
  <si>
    <t>20-4745-00</t>
  </si>
  <si>
    <t>TOTAL FEDERAL FINANCIAL ASSISTANCE - CASH</t>
  </si>
  <si>
    <t>NONCASH FEDERAL ASSISTANCE DIVISION OF FISCAL SERVICES - FOOD DISTRIBUTION PROGRAM</t>
  </si>
  <si>
    <t xml:space="preserve">Commodities at Market Value </t>
  </si>
  <si>
    <t>Department of Defense - Fresh Fruits and Vegetables</t>
  </si>
  <si>
    <t>TOTAL NONCASH FEDERAL ASST DIVISION OF FIS SVCS - FOOD DIST PROGRAM - CHILD NUTRITION CLUSTER</t>
  </si>
  <si>
    <t>Total Special Education Cluster</t>
  </si>
  <si>
    <t>No payments to subrecipients</t>
  </si>
  <si>
    <t>The accompanying Schedule of Expenditures of Federal Awards includes the federal grant activity of Hillsboro CUSD 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</si>
  <si>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Hillsboro CUSD 3 provided federal awards to subrecipients as follows:</t>
  </si>
  <si>
    <t>None</t>
  </si>
  <si>
    <r>
      <t xml:space="preserve">The following amounts were expended in the form of non-cash assistance by </t>
    </r>
    <r>
      <rPr>
        <b/>
        <sz val="9"/>
        <rFont val="Calibri"/>
        <family val="2"/>
        <scheme val="minor"/>
      </rPr>
      <t>Hillsboro CUSD 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</si>
  <si>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</si>
  <si>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x</t>
  </si>
  <si>
    <t>84.027/84.173</t>
  </si>
  <si>
    <t>Federal Special Education Cluster</t>
  </si>
  <si>
    <t>Per Illinois State statutes, 105 ILCS 5/17-1, the District is required to spend within its approved budget.</t>
  </si>
  <si>
    <t>After completing the audit, it was noted that the District overexpended its budgets in the Capital Projects Fund and the Debt Service Fund.</t>
  </si>
  <si>
    <t>2019-001</t>
  </si>
  <si>
    <t>Overexpenditure of Budget</t>
  </si>
  <si>
    <t>overbudget.</t>
  </si>
  <si>
    <t xml:space="preserve">In the current year, the Capital Projects Fund and </t>
  </si>
  <si>
    <t>the Debt Service Fund are overbudget.</t>
  </si>
  <si>
    <t>The District was not in compliance by overexpending its budget for the year.</t>
  </si>
  <si>
    <t>The Capital Projects Fund was overbudget due to an increase in repairs to the buildings.    The Debt Service Fund was overbudget to the bond issuance costs.</t>
  </si>
  <si>
    <t>To adopt a reasonable budget and monitor spending throughout the year.</t>
  </si>
  <si>
    <t>Management will adopt a reasonable budget and monitor spending throughout the year.</t>
  </si>
  <si>
    <t>Total budget for the Capital Projects Fund was $575,000 and total expenditures were $820,906.  The District overexpended the budget by $245,906.   Total budget for the Debt Service Fund was  $1,543,750 and total expenditures were $1,576,827.  The District overexpended the budget by $33,077.</t>
  </si>
  <si>
    <t>In the prior year, the Capital Projects Fund was</t>
  </si>
  <si>
    <t>US DEPARTMENT OF AGRICULTURE - PASS- THROUGH ILLINOIS STATE BOARD OF EDUCATION</t>
  </si>
  <si>
    <t>TOTAL US DEPARTMENT OF AGRICULTURE - PASS- THROUGH ILLINOIS STATE BOARD OF EDUCATION</t>
  </si>
  <si>
    <t>US DEPT OF HEALTH AND HUMAN SERVICES - PASS- THROUGH IL DEPT OF HEALTHCARE AND FAM SVCS</t>
  </si>
  <si>
    <t>US DEPARTMENT OF EDUCATION - PASS-THROUGH ILLINOIS STATE BOARD OF EDUCATION</t>
  </si>
  <si>
    <t>(M) Federal Special Education IDEA Flow-Through</t>
  </si>
  <si>
    <t>US DEPARTMENT OF EDUCATION - PASS-THROUGH BOND FAYETTE VOCATIONAL SYSTEM</t>
  </si>
  <si>
    <t>TOTAL FEDERAL FINANCIAL ASSISTANCE - CASH AND NONCASH</t>
  </si>
  <si>
    <t>Mid State Special Services Cooperative</t>
  </si>
  <si>
    <t>ED-Support Services - General Administration</t>
  </si>
  <si>
    <t>ED-Support Services - Business</t>
  </si>
  <si>
    <t>Kohl Warehouse</t>
  </si>
  <si>
    <t>Page10, Account 1690, Other Food Service - $20,476</t>
  </si>
  <si>
    <t xml:space="preserve">   Educational Fund - Vending machine sales and rebates</t>
  </si>
  <si>
    <t>Page 10, Account 1999, Other Local Revenue</t>
  </si>
  <si>
    <t xml:space="preserve">   Educational Fund - $663,619 - $453,473 Child Care Revenue,  $21,258 TIF Revenue, $104,473 Fund Balance transfer from Mid State; $41,440 </t>
  </si>
  <si>
    <t xml:space="preserve">   reimbursement of expenses; $42,975 miscellaneous revenue</t>
  </si>
  <si>
    <t xml:space="preserve">   Operations and Maintenance - $412 of miscellaneous revenue</t>
  </si>
  <si>
    <t xml:space="preserve">   Debt Service - $1500 - Debt issue refund</t>
  </si>
  <si>
    <t xml:space="preserve">   Transporation - $42,929 - fees for sports transporation and Pre K transportation</t>
  </si>
  <si>
    <t xml:space="preserve">   Tort - $2,245 - reimbursment of workers comp insurance</t>
  </si>
  <si>
    <t xml:space="preserve">   Educational Fund  - $1,130 - Library Grant</t>
  </si>
  <si>
    <t xml:space="preserve">   Educational Fund - $32,418 - Title I School Accountability</t>
  </si>
  <si>
    <t xml:space="preserve">   Educational Fund - $16,629 Perkins</t>
  </si>
  <si>
    <t>Page 12, Account 3999, Other Restricted Revenue from State Sources</t>
  </si>
  <si>
    <t>Page 13, Account 4399, Title I - Other</t>
  </si>
  <si>
    <t>Page 13, Account 4799, CTE Other</t>
  </si>
  <si>
    <t>Page 14, Account 4998 - Other Restricted Revenue from Federal Sources</t>
  </si>
  <si>
    <t xml:space="preserve">   Educational Fund - $8,642 CARES Act grant</t>
  </si>
  <si>
    <t xml:space="preserve">Page 15, Account 2190, Other Support Services Pupils, </t>
  </si>
  <si>
    <t xml:space="preserve">   Educational Fund - Technology support salaries, benefits and supplies</t>
  </si>
  <si>
    <t>Page 18, Account 5400, Debt Service Other</t>
  </si>
  <si>
    <t xml:space="preserve">   Debt Service Fund - Copier payments and debt issuance costs</t>
  </si>
  <si>
    <t>Page 19, Account 2190, Other Support Services Pupils</t>
  </si>
  <si>
    <t xml:space="preserve">   Municipal Retirement Fund - Technology benefits</t>
  </si>
  <si>
    <t xml:space="preserve">   Hillsboro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</si>
</sst>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88" fillId="0" borderId="0" xfId="0"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0" xr:uid="{B11596BD-F7BC-43B6-AF2F-E17665FC1169}"/>
    <cellStyle name="Normal 3 2 2 3" xfId="25" xr:uid="{FE6EDE95-087D-4858-87EA-1DD64D9480FF}"/>
    <cellStyle name="Normal 3 2 3" xfId="27" xr:uid="{91E862AA-76AB-4AA6-9582-B4D80FBE808F}"/>
    <cellStyle name="Normal 3 2 4" xfId="22" xr:uid="{4F61B4E6-AE49-44ED-A97F-9D02CAA7E5A8}"/>
    <cellStyle name="Normal 3 3" xfId="26" xr:uid="{CD05A387-2294-4D6F-99B6-5F2BF0BE8EAE}"/>
    <cellStyle name="Normal 3 4" xfId="21" xr:uid="{6CB3C561-941F-47B2-BFEB-B68EF7834A1A}"/>
    <cellStyle name="Normal 4" xfId="16" xr:uid="{00000000-0005-0000-0000-000008000000}"/>
    <cellStyle name="Normal 4 2" xfId="28" xr:uid="{8F722F51-4F3B-42C0-BE51-77EB952E7421}"/>
    <cellStyle name="Normal 4 3" xfId="23" xr:uid="{590AE0DE-D51B-4BC7-A4A9-AF99755E7AE9}"/>
    <cellStyle name="Normal 5" xfId="17" xr:uid="{00000000-0005-0000-0000-000009000000}"/>
    <cellStyle name="Normal 5 2" xfId="19" xr:uid="{00000000-0005-0000-0000-00000A000000}"/>
    <cellStyle name="Normal 5 2 2" xfId="29" xr:uid="{0D373AFD-E769-42EF-B058-D99DE3B3597D}"/>
    <cellStyle name="Normal 5 3" xfId="24" xr:uid="{7EF06948-4BAE-4243-96F6-798F392C862B}"/>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911802</xdr:colOff>
          <xdr:row>6</xdr:row>
          <xdr:rowOff>53686</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605270</xdr:colOff>
          <xdr:row>5</xdr:row>
          <xdr:rowOff>12989</xdr:rowOff>
        </xdr:from>
        <xdr:to>
          <xdr:col>4</xdr:col>
          <xdr:colOff>297007</xdr:colOff>
          <xdr:row>9</xdr:row>
          <xdr:rowOff>61480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2000</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2048</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101">
        <v>3068003026</v>
      </c>
      <c r="B13" s="2102"/>
      <c r="C13" s="2102"/>
      <c r="D13" s="2102"/>
      <c r="E13" s="2102"/>
      <c r="F13" s="2102"/>
      <c r="G13" s="2102"/>
      <c r="H13" s="2103"/>
      <c r="I13" s="31"/>
      <c r="J13" s="30"/>
      <c r="K13" s="28"/>
      <c r="L13" s="30"/>
      <c r="M13" s="30"/>
      <c r="N13" s="30"/>
      <c r="O13" s="30"/>
      <c r="P13" s="30"/>
      <c r="Q13" s="30"/>
      <c r="R13" s="30"/>
      <c r="S13" s="30"/>
      <c r="T13" s="2107" t="s">
        <v>2056</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2049</v>
      </c>
      <c r="B15" s="2105"/>
      <c r="C15" s="2105"/>
      <c r="D15" s="2105"/>
      <c r="E15" s="2105"/>
      <c r="F15" s="2105"/>
      <c r="G15" s="2105"/>
      <c r="H15" s="2106"/>
      <c r="T15" s="2111" t="s">
        <v>2057</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2168</v>
      </c>
      <c r="B17" s="2075"/>
      <c r="C17" s="2075"/>
      <c r="D17" s="2075"/>
      <c r="E17" s="2075"/>
      <c r="F17" s="2075"/>
      <c r="G17" s="2075"/>
      <c r="H17" s="2100"/>
      <c r="T17" s="2118" t="s">
        <v>2058</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2050</v>
      </c>
      <c r="B19" s="2060"/>
      <c r="C19" s="2060"/>
      <c r="D19" s="2060"/>
      <c r="E19" s="2060"/>
      <c r="F19" s="2060"/>
      <c r="G19" s="2060"/>
      <c r="H19" s="2040"/>
      <c r="I19" s="30"/>
      <c r="J19" s="96"/>
      <c r="K19" s="40"/>
      <c r="L19" s="38"/>
      <c r="M19" s="109" t="s">
        <v>312</v>
      </c>
      <c r="P19" s="27"/>
      <c r="Q19" s="27"/>
      <c r="R19" s="27"/>
      <c r="S19" s="31"/>
      <c r="T19" s="2104" t="s">
        <v>2059</v>
      </c>
      <c r="U19" s="2039"/>
      <c r="V19" s="2039"/>
      <c r="W19" s="2040"/>
      <c r="X19" s="2116" t="s">
        <v>2060</v>
      </c>
      <c r="Y19" s="2117"/>
      <c r="Z19" s="2114">
        <v>62220</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2052</v>
      </c>
      <c r="B21" s="2039"/>
      <c r="C21" s="2039"/>
      <c r="D21" s="2039"/>
      <c r="E21" s="2039"/>
      <c r="F21" s="2039"/>
      <c r="G21" s="2039"/>
      <c r="H21" s="2040"/>
      <c r="I21" s="2094" t="s">
        <v>673</v>
      </c>
      <c r="J21" s="2089"/>
      <c r="K21" s="2089"/>
      <c r="L21" s="2089"/>
      <c r="M21" s="2089"/>
      <c r="N21" s="2089"/>
      <c r="O21" s="2089"/>
      <c r="P21" s="2089"/>
      <c r="Q21" s="2089"/>
      <c r="R21" s="2089"/>
      <c r="S21" s="2095"/>
      <c r="T21" s="2129" t="s">
        <v>2061</v>
      </c>
      <c r="U21" s="2130"/>
      <c r="V21" s="2130"/>
      <c r="W21" s="2130"/>
      <c r="X21" s="2135" t="s">
        <v>2062</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2051</v>
      </c>
      <c r="B23" s="2092"/>
      <c r="C23" s="2092"/>
      <c r="D23" s="2092"/>
      <c r="E23" s="2092"/>
      <c r="F23" s="2092"/>
      <c r="G23" s="2092"/>
      <c r="H23" s="2093"/>
      <c r="T23" s="2074" t="s">
        <v>2063</v>
      </c>
      <c r="U23" s="2128"/>
      <c r="V23" s="2128"/>
      <c r="W23" s="2128"/>
      <c r="X23" s="2132">
        <v>44469</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62049</v>
      </c>
      <c r="B25" s="2039"/>
      <c r="C25" s="2039"/>
      <c r="D25" s="2039"/>
      <c r="E25" s="2039"/>
      <c r="F25" s="2039"/>
      <c r="G25" s="2039"/>
      <c r="H25" s="2040"/>
      <c r="I25" s="110"/>
      <c r="J25" s="2063"/>
      <c r="K25" s="2063"/>
      <c r="L25" s="2063"/>
      <c r="M25" s="2063"/>
      <c r="N25" s="2063"/>
      <c r="O25" s="2063"/>
      <c r="P25" s="2063"/>
      <c r="Q25" s="2063"/>
      <c r="R25" s="2063"/>
      <c r="S25" s="2064"/>
      <c r="T25" s="2125" t="s">
        <v>2064</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2053</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2051</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2054</v>
      </c>
      <c r="B42" s="2058"/>
      <c r="C42" s="2059"/>
      <c r="D42" s="2057" t="s">
        <v>2055</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7" colorId="8" zoomScale="110" zoomScaleNormal="110" workbookViewId="0">
      <selection activeCell="P68" sqref="P6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3869576</v>
      </c>
      <c r="C4" s="1722"/>
      <c r="D4" s="1723">
        <f>B4-C4</f>
        <v>3869576</v>
      </c>
      <c r="E4" s="1722">
        <v>4101594</v>
      </c>
      <c r="F4" s="1723">
        <f>E4-C4</f>
        <v>4101594</v>
      </c>
    </row>
    <row r="5" spans="1:8" ht="13.7" customHeight="1" x14ac:dyDescent="0.2">
      <c r="A5" s="579" t="s">
        <v>865</v>
      </c>
      <c r="B5" s="1724">
        <f>'Revenues 9-14'!D5</f>
        <v>799749</v>
      </c>
      <c r="C5" s="1664"/>
      <c r="D5" s="1725">
        <f t="shared" ref="D5:D18" si="0">B5-C5</f>
        <v>799749</v>
      </c>
      <c r="E5" s="1664">
        <v>854506</v>
      </c>
      <c r="F5" s="1725">
        <f>E5-C5</f>
        <v>854506</v>
      </c>
    </row>
    <row r="6" spans="1:8" ht="13.7" customHeight="1" x14ac:dyDescent="0.2">
      <c r="A6" s="579" t="s">
        <v>408</v>
      </c>
      <c r="B6" s="1724">
        <f>'Revenues 9-14'!E5</f>
        <v>1487572</v>
      </c>
      <c r="C6" s="1664"/>
      <c r="D6" s="1725">
        <f t="shared" si="0"/>
        <v>1487572</v>
      </c>
      <c r="E6" s="1664">
        <v>1490381</v>
      </c>
      <c r="F6" s="1725">
        <f t="shared" ref="F6:F18" si="1">E6-C6</f>
        <v>1490381</v>
      </c>
    </row>
    <row r="7" spans="1:8" ht="13.7" customHeight="1" x14ac:dyDescent="0.2">
      <c r="A7" s="579" t="s">
        <v>154</v>
      </c>
      <c r="B7" s="1724">
        <f>'Revenues 9-14'!F5</f>
        <v>319911</v>
      </c>
      <c r="C7" s="1664"/>
      <c r="D7" s="1725">
        <f t="shared" si="0"/>
        <v>319911</v>
      </c>
      <c r="E7" s="1664">
        <v>341803</v>
      </c>
      <c r="F7" s="1725">
        <f t="shared" si="1"/>
        <v>341803</v>
      </c>
    </row>
    <row r="8" spans="1:8" ht="13.7" customHeight="1" x14ac:dyDescent="0.2">
      <c r="A8" s="579" t="s">
        <v>1169</v>
      </c>
      <c r="B8" s="1724">
        <f>'Revenues 9-14'!G5</f>
        <v>450250</v>
      </c>
      <c r="C8" s="1664"/>
      <c r="D8" s="1725">
        <f t="shared" si="0"/>
        <v>450250</v>
      </c>
      <c r="E8" s="1664">
        <v>454686</v>
      </c>
      <c r="F8" s="1725">
        <f t="shared" si="1"/>
        <v>454686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79992</v>
      </c>
      <c r="C10" s="1664"/>
      <c r="D10" s="1725">
        <f t="shared" si="0"/>
        <v>79992</v>
      </c>
      <c r="E10" s="1664">
        <v>85451</v>
      </c>
      <c r="F10" s="1725">
        <f t="shared" si="1"/>
        <v>85451</v>
      </c>
    </row>
    <row r="11" spans="1:8" x14ac:dyDescent="0.2">
      <c r="A11" s="579" t="s">
        <v>406</v>
      </c>
      <c r="B11" s="1724">
        <f>'Revenues 9-14'!J5</f>
        <v>774710</v>
      </c>
      <c r="C11" s="1664"/>
      <c r="D11" s="1725">
        <f t="shared" si="0"/>
        <v>774710</v>
      </c>
      <c r="E11" s="1664">
        <v>751111</v>
      </c>
      <c r="F11" s="1725">
        <f t="shared" si="1"/>
        <v>751111</v>
      </c>
    </row>
    <row r="12" spans="1:8" ht="13.7" customHeight="1" x14ac:dyDescent="0.2">
      <c r="A12" s="579" t="s">
        <v>156</v>
      </c>
      <c r="B12" s="1724">
        <f>'Revenues 9-14'!K5</f>
        <v>79992</v>
      </c>
      <c r="C12" s="1664"/>
      <c r="D12" s="1725">
        <f t="shared" si="0"/>
        <v>79992</v>
      </c>
      <c r="E12" s="1664">
        <v>85451</v>
      </c>
      <c r="F12" s="1725">
        <f t="shared" si="1"/>
        <v>85451</v>
      </c>
    </row>
    <row r="13" spans="1:8" ht="13.7" customHeight="1" x14ac:dyDescent="0.2">
      <c r="A13" s="579" t="s">
        <v>930</v>
      </c>
      <c r="B13" s="1724">
        <f>SUM('Revenues 9-14'!C6:D6)</f>
        <v>79992</v>
      </c>
      <c r="C13" s="1664"/>
      <c r="D13" s="1725">
        <f t="shared" si="0"/>
        <v>79992</v>
      </c>
      <c r="E13" s="1664">
        <v>85451</v>
      </c>
      <c r="F13" s="1725">
        <f t="shared" si="1"/>
        <v>85451</v>
      </c>
    </row>
    <row r="14" spans="1:8" ht="13.7" customHeight="1" x14ac:dyDescent="0.2">
      <c r="A14" s="579" t="s">
        <v>407</v>
      </c>
      <c r="B14" s="1724">
        <f>SUM('Revenues 9-14'!C7:D7,'Revenues 9-14'!F7:H7)</f>
        <v>63976</v>
      </c>
      <c r="C14" s="1664"/>
      <c r="D14" s="1725">
        <f t="shared" si="0"/>
        <v>63976</v>
      </c>
      <c r="E14" s="1664">
        <v>68367</v>
      </c>
      <c r="F14" s="1725">
        <f t="shared" si="1"/>
        <v>68367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371375</v>
      </c>
      <c r="C16" s="1664"/>
      <c r="D16" s="1725">
        <f t="shared" si="0"/>
        <v>371375</v>
      </c>
      <c r="E16" s="1664">
        <v>395600</v>
      </c>
      <c r="F16" s="1725">
        <f t="shared" si="1"/>
        <v>395600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8377095</v>
      </c>
      <c r="C19" s="1726">
        <f>SUM(C4:C18)</f>
        <v>0</v>
      </c>
      <c r="D19" s="1726">
        <f>SUM(D4:D18)</f>
        <v>8377095</v>
      </c>
      <c r="E19" s="1726">
        <f>SUM(E4:E18)</f>
        <v>8714401</v>
      </c>
      <c r="F19" s="1726">
        <f>SUM(F4:F18)</f>
        <v>8714401</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P68" sqref="P6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1776</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2003</v>
      </c>
      <c r="B24" s="2305"/>
      <c r="C24" s="2299"/>
      <c r="D24" s="2300"/>
      <c r="E24" s="2300"/>
      <c r="F24" s="2301"/>
    </row>
    <row r="25" spans="1:11" ht="13.5" thickBot="1" x14ac:dyDescent="0.25">
      <c r="A25" s="2306" t="s">
        <v>2004</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v>390878</v>
      </c>
      <c r="D27" s="1664"/>
      <c r="E27" s="1664">
        <f>139686+8805</f>
        <v>148491</v>
      </c>
      <c r="F27" s="1732">
        <f>SUM(C27+D27)-E27</f>
        <v>242387</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40878</v>
      </c>
      <c r="C31" s="1734">
        <v>875000</v>
      </c>
      <c r="D31" s="1735">
        <v>4</v>
      </c>
      <c r="E31" s="1734">
        <v>300000</v>
      </c>
      <c r="F31" s="1734"/>
      <c r="G31" s="1734"/>
      <c r="H31" s="1734">
        <v>95000</v>
      </c>
      <c r="I31" s="1736">
        <f>((E31+F31)-H31)+G31</f>
        <v>205000</v>
      </c>
      <c r="J31" s="1734">
        <f>205000-78692</f>
        <v>126308</v>
      </c>
      <c r="K31" s="596"/>
    </row>
    <row r="32" spans="1:11" ht="12" customHeight="1" x14ac:dyDescent="0.2">
      <c r="A32" s="594" t="s">
        <v>2066</v>
      </c>
      <c r="B32" s="595">
        <v>41799</v>
      </c>
      <c r="C32" s="1734">
        <v>5325000</v>
      </c>
      <c r="D32" s="1735">
        <v>4</v>
      </c>
      <c r="E32" s="1734">
        <v>2675000</v>
      </c>
      <c r="F32" s="1734"/>
      <c r="G32" s="1734"/>
      <c r="H32" s="1734">
        <v>200000</v>
      </c>
      <c r="I32" s="1736">
        <f>((E32+F32)-H32)+G32</f>
        <v>2475000</v>
      </c>
      <c r="J32" s="1734">
        <v>2475000</v>
      </c>
      <c r="K32" s="596"/>
    </row>
    <row r="33" spans="1:11" ht="12" customHeight="1" x14ac:dyDescent="0.2">
      <c r="A33" s="594" t="s">
        <v>2066</v>
      </c>
      <c r="B33" s="595">
        <v>42585</v>
      </c>
      <c r="C33" s="1734">
        <v>2000000</v>
      </c>
      <c r="D33" s="1735">
        <v>1</v>
      </c>
      <c r="E33" s="1734">
        <v>1130000</v>
      </c>
      <c r="F33" s="1734"/>
      <c r="G33" s="1734"/>
      <c r="H33" s="1734">
        <v>510000</v>
      </c>
      <c r="I33" s="1736">
        <f t="shared" ref="I33:I48" si="1">((E33+F33)-H33)+G33</f>
        <v>620000</v>
      </c>
      <c r="J33" s="1734">
        <v>620000</v>
      </c>
      <c r="K33" s="596"/>
    </row>
    <row r="34" spans="1:11" ht="12" customHeight="1" x14ac:dyDescent="0.2">
      <c r="A34" s="594" t="s">
        <v>2066</v>
      </c>
      <c r="B34" s="595">
        <v>43097</v>
      </c>
      <c r="C34" s="1734">
        <v>1836000</v>
      </c>
      <c r="D34" s="1735">
        <v>3</v>
      </c>
      <c r="E34" s="1734">
        <v>1240000</v>
      </c>
      <c r="F34" s="1734"/>
      <c r="G34" s="1734"/>
      <c r="H34" s="1734">
        <v>520000</v>
      </c>
      <c r="I34" s="1736">
        <f t="shared" si="1"/>
        <v>720000</v>
      </c>
      <c r="J34" s="1734">
        <v>720000</v>
      </c>
      <c r="K34" s="597"/>
    </row>
    <row r="35" spans="1:11" ht="12" customHeight="1" x14ac:dyDescent="0.2">
      <c r="A35" s="594" t="s">
        <v>2067</v>
      </c>
      <c r="B35" s="595">
        <v>43986</v>
      </c>
      <c r="C35" s="1737">
        <v>2374000</v>
      </c>
      <c r="D35" s="1735">
        <v>1</v>
      </c>
      <c r="E35" s="1737"/>
      <c r="F35" s="1737">
        <v>2374000</v>
      </c>
      <c r="G35" s="1737"/>
      <c r="H35" s="1737"/>
      <c r="I35" s="1736">
        <f t="shared" si="1"/>
        <v>2374000</v>
      </c>
      <c r="J35" s="1737">
        <v>2374000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12410000</v>
      </c>
      <c r="D49" s="1742"/>
      <c r="E49" s="1736">
        <f t="shared" ref="E49:J49" si="2">SUM(E31:E48)</f>
        <v>5345000</v>
      </c>
      <c r="F49" s="1736">
        <f t="shared" si="2"/>
        <v>2374000</v>
      </c>
      <c r="G49" s="1736">
        <f t="shared" si="2"/>
        <v>0</v>
      </c>
      <c r="H49" s="1736">
        <f t="shared" si="2"/>
        <v>1325000</v>
      </c>
      <c r="I49" s="1736">
        <f t="shared" si="2"/>
        <v>6394000</v>
      </c>
      <c r="J49" s="1736">
        <f t="shared" si="2"/>
        <v>6315308</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P68" sqref="P6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1786</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v>976844</v>
      </c>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63976</v>
      </c>
      <c r="I5" s="1750"/>
      <c r="J5" s="1751"/>
      <c r="K5" s="1751"/>
    </row>
    <row r="6" spans="1:11" x14ac:dyDescent="0.2">
      <c r="A6" s="625" t="s">
        <v>715</v>
      </c>
      <c r="B6" s="626"/>
      <c r="C6" s="626"/>
      <c r="D6" s="626"/>
      <c r="E6" s="627"/>
      <c r="F6" s="628" t="s">
        <v>844</v>
      </c>
      <c r="G6" s="1744"/>
      <c r="H6" s="1744"/>
      <c r="I6" s="1744"/>
      <c r="J6" s="1745">
        <v>3385</v>
      </c>
      <c r="K6" s="1745"/>
    </row>
    <row r="7" spans="1:11" x14ac:dyDescent="0.2">
      <c r="A7" s="629" t="s">
        <v>244</v>
      </c>
      <c r="B7" s="630"/>
      <c r="C7" s="630"/>
      <c r="D7" s="630"/>
      <c r="E7" s="631"/>
      <c r="F7" s="622" t="s">
        <v>845</v>
      </c>
      <c r="G7" s="1746"/>
      <c r="H7" s="1746"/>
      <c r="I7" s="1746"/>
      <c r="J7" s="1752"/>
      <c r="K7" s="1745">
        <v>6300</v>
      </c>
    </row>
    <row r="8" spans="1:11" x14ac:dyDescent="0.2">
      <c r="A8" s="629" t="s">
        <v>342</v>
      </c>
      <c r="B8" s="630"/>
      <c r="C8" s="630"/>
      <c r="D8" s="630"/>
      <c r="E8" s="631"/>
      <c r="F8" s="622" t="s">
        <v>846</v>
      </c>
      <c r="G8" s="1753"/>
      <c r="H8" s="1753"/>
      <c r="I8" s="1753"/>
      <c r="J8" s="1745">
        <v>1074084</v>
      </c>
      <c r="K8" s="1748"/>
    </row>
    <row r="9" spans="1:11" x14ac:dyDescent="0.2">
      <c r="A9" s="629" t="s">
        <v>137</v>
      </c>
      <c r="B9" s="630"/>
      <c r="C9" s="630"/>
      <c r="D9" s="630"/>
      <c r="E9" s="631"/>
      <c r="F9" s="628" t="s">
        <v>848</v>
      </c>
      <c r="G9" s="1753"/>
      <c r="H9" s="1749"/>
      <c r="I9" s="1749"/>
      <c r="J9" s="1752"/>
      <c r="K9" s="1745">
        <v>11251</v>
      </c>
    </row>
    <row r="10" spans="1:11" x14ac:dyDescent="0.2">
      <c r="A10" s="2323" t="s">
        <v>1787</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63976</v>
      </c>
      <c r="I12" s="1755">
        <f>SUM(I5:I11)</f>
        <v>0</v>
      </c>
      <c r="J12" s="1755">
        <f>SUM(J5:J11)</f>
        <v>1077469</v>
      </c>
      <c r="K12" s="1755">
        <f>SUM(K5:K11)</f>
        <v>17551</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63976</v>
      </c>
      <c r="I14" s="1749"/>
      <c r="J14" s="1751"/>
      <c r="K14" s="1745">
        <v>17551</v>
      </c>
    </row>
    <row r="15" spans="1:11" x14ac:dyDescent="0.2">
      <c r="A15" s="2324" t="s">
        <v>4</v>
      </c>
      <c r="B15" s="2324"/>
      <c r="C15" s="2324"/>
      <c r="D15" s="2324"/>
      <c r="E15" s="2325"/>
      <c r="F15" s="635" t="s">
        <v>850</v>
      </c>
      <c r="G15" s="1749"/>
      <c r="H15" s="1744"/>
      <c r="I15" s="1744"/>
      <c r="J15" s="1745">
        <v>820906</v>
      </c>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1783</v>
      </c>
      <c r="B19" s="2332"/>
      <c r="C19" s="2332"/>
      <c r="D19" s="2332"/>
      <c r="E19" s="2333"/>
      <c r="F19" s="635" t="s">
        <v>927</v>
      </c>
      <c r="G19" s="1753"/>
      <c r="H19" s="1753"/>
      <c r="I19" s="1753"/>
      <c r="J19" s="1745"/>
      <c r="K19" s="1763"/>
    </row>
    <row r="20" spans="1:15" x14ac:dyDescent="0.2">
      <c r="A20" s="2334" t="s">
        <v>1788</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1789</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63976</v>
      </c>
      <c r="I23" s="1755">
        <f>SUM(I14:I16,I21,I22)</f>
        <v>0</v>
      </c>
      <c r="J23" s="1755">
        <f>SUM(J14:J16,J21,J22)</f>
        <v>820906</v>
      </c>
      <c r="K23" s="1755">
        <f>SUM(K14:K16,K21,K22)</f>
        <v>17551</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1233407</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1233407</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P68" sqref="P6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509730</v>
      </c>
      <c r="D5" s="1770"/>
      <c r="E5" s="1770"/>
      <c r="F5" s="1765">
        <f>(C5+D5)-E5</f>
        <v>509730</v>
      </c>
      <c r="G5" s="676"/>
      <c r="H5" s="680"/>
      <c r="I5" s="680"/>
      <c r="J5" s="680"/>
      <c r="K5" s="637"/>
      <c r="L5" s="1442">
        <f>F5-K5</f>
        <v>509730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16927524</v>
      </c>
      <c r="D8" s="1771">
        <f>20700+30244+28488+45487</f>
        <v>124919</v>
      </c>
      <c r="E8" s="1771"/>
      <c r="F8" s="1765">
        <f>(C8+D8)-E8</f>
        <v>17052443</v>
      </c>
      <c r="G8" s="681">
        <v>50</v>
      </c>
      <c r="H8" s="619">
        <v>7070580</v>
      </c>
      <c r="I8" s="619">
        <v>337555</v>
      </c>
      <c r="J8" s="619"/>
      <c r="K8" s="1442">
        <f>(H8+I8)-J8</f>
        <v>7408135</v>
      </c>
      <c r="L8" s="1442">
        <f>F8-K8</f>
        <v>9644308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3885830</v>
      </c>
      <c r="D10" s="1772">
        <f>7040+39073+16688</f>
        <v>62801</v>
      </c>
      <c r="E10" s="1772">
        <v>50000</v>
      </c>
      <c r="F10" s="1773">
        <f>(C10+D10)-E10</f>
        <v>3898631</v>
      </c>
      <c r="G10" s="681">
        <v>20</v>
      </c>
      <c r="H10" s="683">
        <v>2555967</v>
      </c>
      <c r="I10" s="683">
        <v>149557</v>
      </c>
      <c r="J10" s="683">
        <v>50000</v>
      </c>
      <c r="K10" s="1442">
        <f>(H10+I10)-J10</f>
        <v>2655524</v>
      </c>
      <c r="L10" s="1442">
        <f>F10-K10</f>
        <v>1243107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945924</v>
      </c>
      <c r="D12" s="1771">
        <v>20912</v>
      </c>
      <c r="E12" s="1771"/>
      <c r="F12" s="1765">
        <f>(C12+D12)-E12</f>
        <v>966836</v>
      </c>
      <c r="G12" s="681">
        <v>10</v>
      </c>
      <c r="H12" s="619">
        <v>584915</v>
      </c>
      <c r="I12" s="619">
        <v>58666</v>
      </c>
      <c r="J12" s="619"/>
      <c r="K12" s="1442">
        <f>(H12+I12)-J12</f>
        <v>643581</v>
      </c>
      <c r="L12" s="1442">
        <f>F12-K12</f>
        <v>323255</v>
      </c>
    </row>
    <row r="13" spans="1:14" ht="14.25" thickTop="1" thickBot="1" x14ac:dyDescent="0.25">
      <c r="A13" s="684" t="s">
        <v>1112</v>
      </c>
      <c r="B13" s="679">
        <v>252</v>
      </c>
      <c r="C13" s="1771">
        <v>3039071</v>
      </c>
      <c r="D13" s="1771">
        <f>26500+5920</f>
        <v>32420</v>
      </c>
      <c r="E13" s="1771"/>
      <c r="F13" s="1765">
        <f>(C13+D13)-E13</f>
        <v>3071491</v>
      </c>
      <c r="G13" s="681">
        <v>5</v>
      </c>
      <c r="H13" s="619">
        <v>2660071</v>
      </c>
      <c r="I13" s="619">
        <f>143823+13276</f>
        <v>157099</v>
      </c>
      <c r="J13" s="619"/>
      <c r="K13" s="1442">
        <f>(H13+I13)-J13</f>
        <v>2817170</v>
      </c>
      <c r="L13" s="1442">
        <f>F13-K13</f>
        <v>254321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149565</v>
      </c>
      <c r="E15" s="1771"/>
      <c r="F15" s="1765">
        <f>(C15+D15)-E15</f>
        <v>149565</v>
      </c>
      <c r="G15" s="685" t="s">
        <v>857</v>
      </c>
      <c r="H15" s="632"/>
      <c r="I15" s="632"/>
      <c r="J15" s="632"/>
      <c r="K15" s="632"/>
      <c r="L15" s="1442">
        <f>F15-K15</f>
        <v>149565</v>
      </c>
    </row>
    <row r="16" spans="1:14" ht="15" customHeight="1" thickTop="1" thickBot="1" x14ac:dyDescent="0.25">
      <c r="A16" s="1438" t="s">
        <v>638</v>
      </c>
      <c r="B16" s="1439">
        <v>200</v>
      </c>
      <c r="C16" s="1765">
        <f>SUM(C3,C5:C6,C8:C10,C12:C15)</f>
        <v>25308079</v>
      </c>
      <c r="D16" s="1765">
        <f>SUM(D3,D5:D6,D8:D10,D12:D15)</f>
        <v>390617</v>
      </c>
      <c r="E16" s="1765">
        <f>SUM(E3,E5:E6,E8:E10,E12:E15)</f>
        <v>50000</v>
      </c>
      <c r="F16" s="1765">
        <f>SUM(F3,F5:F6,F8:F10,F12:F15)</f>
        <v>25648696</v>
      </c>
      <c r="G16" s="681"/>
      <c r="H16" s="1435">
        <f>SUM(H3,H6,H8:H10,H12:H14,)</f>
        <v>12871533</v>
      </c>
      <c r="I16" s="1435">
        <f>SUM(I3,I6,I8:I10,I12:I14,)</f>
        <v>702877</v>
      </c>
      <c r="J16" s="1435">
        <f>SUM(J3,J6,J8:J10,J12:J14,)</f>
        <v>50000</v>
      </c>
      <c r="K16" s="1435">
        <f>(H16+I16)-J16</f>
        <v>13524410</v>
      </c>
      <c r="L16" s="1435">
        <f>F16-K16</f>
        <v>12124286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411410</v>
      </c>
      <c r="G17" s="676">
        <v>10</v>
      </c>
      <c r="H17" s="621"/>
      <c r="I17" s="1442">
        <f>F17/G17</f>
        <v>41141</v>
      </c>
      <c r="J17" s="621"/>
      <c r="K17" s="638"/>
      <c r="L17" s="638"/>
    </row>
    <row r="18" spans="1:12" ht="14.25" thickTop="1" thickBot="1" x14ac:dyDescent="0.25">
      <c r="A18" s="1440" t="s">
        <v>680</v>
      </c>
      <c r="B18" s="1441"/>
      <c r="C18" s="623"/>
      <c r="D18" s="623"/>
      <c r="E18" s="623"/>
      <c r="F18" s="686"/>
      <c r="G18" s="687"/>
      <c r="H18" s="624"/>
      <c r="I18" s="1435">
        <f>SUM(I16,I17)</f>
        <v>744018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P68" sqref="P6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14366133</v>
      </c>
      <c r="G8" s="701"/>
    </row>
    <row r="9" spans="1:9" x14ac:dyDescent="0.2">
      <c r="A9" s="705" t="s">
        <v>457</v>
      </c>
      <c r="B9" s="706" t="s">
        <v>1845</v>
      </c>
      <c r="C9" s="707"/>
      <c r="D9" s="705" t="s">
        <v>498</v>
      </c>
      <c r="E9" s="704"/>
      <c r="F9" s="1775">
        <f>'Expenditures 15-22'!K151</f>
        <v>1207675</v>
      </c>
      <c r="G9" s="708"/>
    </row>
    <row r="10" spans="1:9" x14ac:dyDescent="0.2">
      <c r="A10" s="705" t="s">
        <v>496</v>
      </c>
      <c r="B10" s="706" t="s">
        <v>1846</v>
      </c>
      <c r="C10" s="707"/>
      <c r="D10" s="705" t="s">
        <v>498</v>
      </c>
      <c r="E10" s="704"/>
      <c r="F10" s="1775">
        <f>'Expenditures 15-22'!K174</f>
        <v>1576827</v>
      </c>
      <c r="G10" s="708"/>
    </row>
    <row r="11" spans="1:9" x14ac:dyDescent="0.2">
      <c r="A11" s="705" t="s">
        <v>458</v>
      </c>
      <c r="B11" s="706" t="s">
        <v>1847</v>
      </c>
      <c r="C11" s="707"/>
      <c r="D11" s="705" t="s">
        <v>498</v>
      </c>
      <c r="E11" s="704"/>
      <c r="F11" s="1775">
        <f>'Expenditures 15-22'!K210</f>
        <v>917546</v>
      </c>
      <c r="G11" s="708"/>
    </row>
    <row r="12" spans="1:9" x14ac:dyDescent="0.2">
      <c r="A12" s="705" t="s">
        <v>459</v>
      </c>
      <c r="B12" s="706" t="s">
        <v>1848</v>
      </c>
      <c r="C12" s="707"/>
      <c r="D12" s="705" t="s">
        <v>498</v>
      </c>
      <c r="E12" s="704"/>
      <c r="F12" s="1775">
        <f>'Expenditures 15-22'!K295</f>
        <v>895639</v>
      </c>
      <c r="G12" s="708"/>
    </row>
    <row r="13" spans="1:9" x14ac:dyDescent="0.2">
      <c r="A13" s="705" t="s">
        <v>106</v>
      </c>
      <c r="B13" s="706" t="s">
        <v>1849</v>
      </c>
      <c r="C13" s="707"/>
      <c r="D13" s="705" t="s">
        <v>498</v>
      </c>
      <c r="E13" s="704"/>
      <c r="F13" s="1775">
        <f>'Expenditures 15-22'!K342</f>
        <v>741742</v>
      </c>
      <c r="G13" s="709"/>
    </row>
    <row r="14" spans="1:9" ht="12" customHeight="1" thickBot="1" x14ac:dyDescent="0.25">
      <c r="A14" s="1443"/>
      <c r="B14" s="1444"/>
      <c r="C14" s="1445"/>
      <c r="D14" s="1446" t="s">
        <v>498</v>
      </c>
      <c r="E14" s="1447" t="s">
        <v>952</v>
      </c>
      <c r="F14" s="1776">
        <f>SUM(F8:F13)</f>
        <v>19705562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444166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231590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699022</v>
      </c>
      <c r="G52" s="701"/>
    </row>
    <row r="53" spans="1:7" x14ac:dyDescent="0.2">
      <c r="A53" s="705" t="s">
        <v>456</v>
      </c>
      <c r="B53" s="705" t="s">
        <v>1458</v>
      </c>
      <c r="C53" s="724">
        <f>'Expenditures 15-22'!B102</f>
        <v>4000</v>
      </c>
      <c r="D53" s="723" t="str">
        <f>'Expenditures 15-22'!A102</f>
        <v>Total Payments to Other Govt Units</v>
      </c>
      <c r="E53" s="704"/>
      <c r="F53" s="1782">
        <f>'Expenditures 15-22'!K102</f>
        <v>823073</v>
      </c>
      <c r="G53" s="701"/>
    </row>
    <row r="54" spans="1:7" x14ac:dyDescent="0.2">
      <c r="A54" s="705" t="s">
        <v>456</v>
      </c>
      <c r="B54" s="705" t="s">
        <v>1459</v>
      </c>
      <c r="C54" s="724" t="s">
        <v>975</v>
      </c>
      <c r="D54" s="720" t="s">
        <v>1086</v>
      </c>
      <c r="E54" s="704"/>
      <c r="F54" s="1782">
        <f>'Expenditures 15-22'!G114</f>
        <v>5920</v>
      </c>
      <c r="G54" s="701"/>
    </row>
    <row r="55" spans="1:7" x14ac:dyDescent="0.2">
      <c r="A55" s="705" t="s">
        <v>456</v>
      </c>
      <c r="B55" s="705" t="s">
        <v>1460</v>
      </c>
      <c r="C55" s="724" t="s">
        <v>975</v>
      </c>
      <c r="D55" s="720" t="s">
        <v>288</v>
      </c>
      <c r="E55" s="704"/>
      <c r="F55" s="1782">
        <f>'Expenditures 15-22'!I114</f>
        <v>87789</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1325000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139686</v>
      </c>
      <c r="G64" s="701"/>
    </row>
    <row r="65" spans="1:9" x14ac:dyDescent="0.2">
      <c r="A65" s="705" t="s">
        <v>458</v>
      </c>
      <c r="B65" s="705" t="s">
        <v>1858</v>
      </c>
      <c r="C65" s="721" t="s">
        <v>975</v>
      </c>
      <c r="D65" s="720" t="s">
        <v>1086</v>
      </c>
      <c r="E65" s="704"/>
      <c r="F65" s="1782">
        <f>'Expenditures 15-22'!G210</f>
        <v>26500</v>
      </c>
      <c r="G65" s="701"/>
    </row>
    <row r="66" spans="1:9" x14ac:dyDescent="0.2">
      <c r="A66" s="705" t="s">
        <v>458</v>
      </c>
      <c r="B66" s="705" t="s">
        <v>1859</v>
      </c>
      <c r="C66" s="721" t="s">
        <v>975</v>
      </c>
      <c r="D66" s="720" t="s">
        <v>288</v>
      </c>
      <c r="E66" s="704"/>
      <c r="F66" s="1782">
        <f>'Expenditures 15-22'!I210</f>
        <v>2531</v>
      </c>
      <c r="G66" s="701"/>
    </row>
    <row r="67" spans="1:9" x14ac:dyDescent="0.2">
      <c r="A67" s="705" t="s">
        <v>459</v>
      </c>
      <c r="B67" s="705" t="s">
        <v>1860</v>
      </c>
      <c r="C67" s="721" t="str">
        <f>'Expenditures 15-22'!B216</f>
        <v>1125</v>
      </c>
      <c r="D67" s="727" t="str">
        <f>'Expenditures 15-22'!A216</f>
        <v>Pre-K Programs</v>
      </c>
      <c r="E67" s="704"/>
      <c r="F67" s="1782">
        <f>'Expenditures 15-22'!K216</f>
        <v>28548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100117</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14702</v>
      </c>
      <c r="G76" s="703"/>
    </row>
    <row r="77" spans="1:9" ht="12" thickBot="1" x14ac:dyDescent="0.25">
      <c r="A77" s="1443"/>
      <c r="B77" s="1448"/>
      <c r="C77" s="1445"/>
      <c r="D77" s="1449" t="s">
        <v>2008</v>
      </c>
      <c r="E77" s="1447" t="s">
        <v>952</v>
      </c>
      <c r="F77" s="1787">
        <f>SUM(F18:F76)</f>
        <v>3928644</v>
      </c>
      <c r="G77" s="701"/>
    </row>
    <row r="78" spans="1:9" s="728" customFormat="1" ht="12" customHeight="1" thickTop="1" thickBot="1" x14ac:dyDescent="0.25">
      <c r="A78" s="1450"/>
      <c r="B78" s="1448"/>
      <c r="C78" s="1445"/>
      <c r="D78" s="1449" t="s">
        <v>2009</v>
      </c>
      <c r="E78" s="1447"/>
      <c r="F78" s="1788">
        <f>(F14-F77)</f>
        <v>15776918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1558.6</v>
      </c>
      <c r="G79" s="733"/>
      <c r="H79" s="705"/>
      <c r="I79" s="705"/>
    </row>
    <row r="80" spans="1:9" s="728" customFormat="1" ht="12" customHeight="1" thickBot="1" x14ac:dyDescent="0.25">
      <c r="A80" s="1452"/>
      <c r="B80" s="1448"/>
      <c r="C80" s="1445"/>
      <c r="D80" s="1449" t="s">
        <v>2010</v>
      </c>
      <c r="E80" s="1447" t="s">
        <v>952</v>
      </c>
      <c r="F80" s="1790">
        <f>IF(F79&gt;0,F78/F79," Complete Line 79")</f>
        <v>10122.49326318491</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241142</v>
      </c>
      <c r="G95" s="745"/>
    </row>
    <row r="96" spans="1:7" x14ac:dyDescent="0.2">
      <c r="A96" s="741" t="s">
        <v>139</v>
      </c>
      <c r="B96" s="741" t="s">
        <v>174</v>
      </c>
      <c r="C96" s="743">
        <v>1700</v>
      </c>
      <c r="D96" s="751" t="str">
        <f>'Revenues 9-14'!A82</f>
        <v>Total District/School Activity Income</v>
      </c>
      <c r="E96" s="739"/>
      <c r="F96" s="1793">
        <f>SUM('Revenues 9-14'!C82,'Revenues 9-14'!D82)</f>
        <v>39086</v>
      </c>
      <c r="G96" s="745"/>
    </row>
    <row r="97" spans="1:7" x14ac:dyDescent="0.2">
      <c r="A97" s="741" t="s">
        <v>456</v>
      </c>
      <c r="B97" s="741" t="s">
        <v>175</v>
      </c>
      <c r="C97" s="743">
        <f>'Revenues 9-14'!B84</f>
        <v>1811</v>
      </c>
      <c r="D97" s="744" t="str">
        <f>'Revenues 9-14'!A84</f>
        <v>Rentals - Regular Textbooks</v>
      </c>
      <c r="E97" s="739"/>
      <c r="F97" s="1793">
        <f>'Revenues 9-14'!C84</f>
        <v>104558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1905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211753</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27079</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4380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11251</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493836</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1130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378496</v>
      </c>
      <c r="G126" s="763"/>
    </row>
    <row r="127" spans="1:7" x14ac:dyDescent="0.2">
      <c r="A127" s="760" t="s">
        <v>663</v>
      </c>
      <c r="B127" s="760" t="s">
        <v>1928</v>
      </c>
      <c r="C127" s="765">
        <v>4300</v>
      </c>
      <c r="D127" s="766" t="str">
        <f>'Revenues 9-14'!A204</f>
        <v>Total Title I</v>
      </c>
      <c r="E127" s="739"/>
      <c r="F127" s="1793">
        <f>SUM('Revenues 9-14'!C204,'Revenues 9-14'!D204,'Revenues 9-14'!F204,'Revenues 9-14'!G204)</f>
        <v>440917</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404118</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16629</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88132</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22909</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3854</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8642</v>
      </c>
      <c r="G171" s="760"/>
    </row>
    <row r="172" spans="1:7" x14ac:dyDescent="0.2">
      <c r="A172" s="1529" t="s">
        <v>5</v>
      </c>
      <c r="B172" s="1530" t="s">
        <v>1882</v>
      </c>
      <c r="C172" s="1531">
        <v>3100</v>
      </c>
      <c r="D172" s="1532" t="s">
        <v>1884</v>
      </c>
      <c r="E172" s="739"/>
      <c r="F172" s="1794">
        <v>289868</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2789685</v>
      </c>
    </row>
    <row r="176" spans="1:7" ht="12" customHeight="1" x14ac:dyDescent="0.2">
      <c r="A176" s="1443"/>
      <c r="B176" s="1453"/>
      <c r="C176" s="1454"/>
      <c r="D176" s="1455" t="s">
        <v>2011</v>
      </c>
      <c r="E176" s="1456"/>
      <c r="F176" s="1793">
        <f>'PCTC-OEPP 27-28'!F78-F175</f>
        <v>12987233</v>
      </c>
    </row>
    <row r="177" spans="1:9" ht="12" customHeight="1" x14ac:dyDescent="0.2">
      <c r="A177" s="1443"/>
      <c r="B177" s="1453"/>
      <c r="C177" s="1454"/>
      <c r="D177" s="1455" t="s">
        <v>1791</v>
      </c>
      <c r="E177" s="1456"/>
      <c r="F177" s="1793">
        <f>'Cap Outlay Deprec 26'!I18</f>
        <v>744018</v>
      </c>
    </row>
    <row r="178" spans="1:9" ht="12" customHeight="1" x14ac:dyDescent="0.2">
      <c r="A178" s="1443"/>
      <c r="B178" s="1453"/>
      <c r="C178" s="1454"/>
      <c r="D178" s="1455" t="s">
        <v>2012</v>
      </c>
      <c r="E178" s="1456"/>
      <c r="F178" s="1793">
        <f>F176+F177</f>
        <v>13731251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1558.6</v>
      </c>
      <c r="G179" s="763"/>
      <c r="I179" s="701"/>
    </row>
    <row r="180" spans="1:9" ht="12" customHeight="1" thickBot="1" x14ac:dyDescent="0.25">
      <c r="A180" s="1443"/>
      <c r="B180" s="1457"/>
      <c r="C180" s="1454"/>
      <c r="D180" s="1455" t="s">
        <v>2014</v>
      </c>
      <c r="E180" s="1456" t="s">
        <v>1528</v>
      </c>
      <c r="F180" s="1798">
        <f>F178/F179</f>
        <v>8809.9903759784429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topLeftCell="A4" zoomScaleNormal="100" workbookViewId="0">
      <selection activeCell="P68" sqref="P6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867" t="s">
        <v>1793</v>
      </c>
      <c r="B6" s="1868"/>
      <c r="C6" s="1869"/>
      <c r="D6" s="1869"/>
      <c r="E6" s="1869"/>
      <c r="F6" s="1870"/>
    </row>
    <row r="7" spans="1:6" ht="47.25" customHeight="1" x14ac:dyDescent="0.25">
      <c r="A7" s="2384" t="s">
        <v>1982</v>
      </c>
      <c r="B7" s="2385"/>
      <c r="C7" s="2385"/>
      <c r="D7" s="2385"/>
      <c r="E7" s="2385"/>
      <c r="F7" s="238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73" t="s">
        <v>1979</v>
      </c>
      <c r="B12" s="1874"/>
      <c r="C12" s="1875"/>
      <c r="D12" s="1875"/>
      <c r="E12" s="1875"/>
      <c r="F12" s="1876"/>
    </row>
    <row r="13" spans="1:6" ht="17.25" customHeight="1" x14ac:dyDescent="0.25">
      <c r="A13" s="2384" t="s">
        <v>1980</v>
      </c>
      <c r="B13" s="2385"/>
      <c r="C13" s="2385"/>
      <c r="D13" s="2385"/>
      <c r="E13" s="2385"/>
      <c r="F13" s="2386"/>
    </row>
    <row r="14" spans="1:6" ht="15" customHeight="1" x14ac:dyDescent="0.25">
      <c r="A14" s="1873" t="s">
        <v>1797</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2142</v>
      </c>
      <c r="B18" s="1908">
        <v>102300300</v>
      </c>
      <c r="C18" s="2036" t="s">
        <v>2056</v>
      </c>
      <c r="D18" s="1886">
        <v>15500</v>
      </c>
      <c r="E18" s="1906">
        <f t="shared" ref="E18:E81" si="0">IF(D18&lt;25000,D18,"25,000")</f>
        <v>15500</v>
      </c>
      <c r="F18" s="1906" t="str">
        <f t="shared" ref="F18:F81" si="1">IF(D18&gt;=25000,(D18-E18),"0")</f>
        <v>0</v>
      </c>
      <c r="G18" s="1887"/>
    </row>
    <row r="19" spans="1:7" x14ac:dyDescent="0.25">
      <c r="A19" s="2035" t="s">
        <v>2143</v>
      </c>
      <c r="B19" s="1908">
        <v>102560400</v>
      </c>
      <c r="C19" s="2036" t="s">
        <v>2144</v>
      </c>
      <c r="D19" s="1886">
        <v>222394</v>
      </c>
      <c r="E19" s="1906" t="str">
        <f t="shared" si="0"/>
        <v>25,000</v>
      </c>
      <c r="F19" s="1906">
        <f t="shared" si="1"/>
        <v>197394</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237894</v>
      </c>
      <c r="E142" s="1893">
        <f>SUM(E18:E141)</f>
        <v>15500</v>
      </c>
      <c r="F142" s="1894">
        <f>SUM(F18:F141)</f>
        <v>197394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P68" sqref="P6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311487</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57640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10088675</v>
      </c>
      <c r="F19" s="1802"/>
      <c r="G19" s="1804">
        <f>'Expenditures 15-22'!K33-SUM('Expenditures 15-22'!G33,'Expenditures 15-22'!I33)+'Expenditures 15-22'!D229</f>
        <v>10088675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568334</v>
      </c>
      <c r="F21" s="1805"/>
      <c r="G21" s="1808">
        <f>'Expenditures 15-22'!K42-SUM('Expenditures 15-22'!G42,'Expenditures 15-22'!I42)+'Expenditures 15-22'!K120-SUM('Expenditures 15-22'!G120,'Expenditures 15-22'!I120)+'Expenditures 15-22'!K180-SUM('Expenditures 15-22'!G180,'Expenditures 15-22'!I180)+'Expenditures 15-22'!D238</f>
        <v>568334</v>
      </c>
      <c r="H21" s="817"/>
      <c r="I21" s="157"/>
    </row>
    <row r="22" spans="1:9" s="542" customFormat="1" ht="12" customHeight="1" x14ac:dyDescent="0.2">
      <c r="A22" s="824" t="s">
        <v>560</v>
      </c>
      <c r="B22" s="825"/>
      <c r="C22" s="823">
        <v>2200</v>
      </c>
      <c r="D22" s="1805"/>
      <c r="E22" s="1807">
        <f>'Expenditures 15-22'!K47-SUM('Expenditures 15-22'!G47,'Expenditures 15-22'!I47)+'Expenditures 15-22'!D243</f>
        <v>300164</v>
      </c>
      <c r="F22" s="1805"/>
      <c r="G22" s="1808">
        <f>'Expenditures 15-22'!K47-SUM('Expenditures 15-22'!G47,'Expenditures 15-22'!I47)+'Expenditures 15-22'!D243</f>
        <v>300164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1155878</v>
      </c>
      <c r="F23" s="1805"/>
      <c r="G23" s="1807">
        <f>'Expenditures 15-22'!K53-SUM('Expenditures 15-22'!G53,'Expenditures 15-22'!I53)+'Expenditures 15-22'!D257+'Expenditures 15-22'!K330-SUM('Expenditures 15-22'!G330,'Expenditures 15-22'!I330)</f>
        <v>1155878</v>
      </c>
      <c r="H23" s="817"/>
      <c r="I23" s="157"/>
    </row>
    <row r="24" spans="1:9" s="542" customFormat="1" ht="12" customHeight="1" x14ac:dyDescent="0.2">
      <c r="A24" s="824" t="s">
        <v>562</v>
      </c>
      <c r="B24" s="825"/>
      <c r="C24" s="823">
        <v>2400</v>
      </c>
      <c r="D24" s="1805"/>
      <c r="E24" s="1807">
        <f>'Expenditures 15-22'!K57-SUM('Expenditures 15-22'!G57,'Expenditures 15-22'!I57)+'Expenditures 15-22'!D261</f>
        <v>901937</v>
      </c>
      <c r="F24" s="1805"/>
      <c r="G24" s="1808">
        <f>'Expenditures 15-22'!K57-SUM('Expenditures 15-22'!G57,'Expenditures 15-22'!I57)+'Expenditures 15-22'!D261</f>
        <v>901937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184798</v>
      </c>
      <c r="E27" s="1807">
        <f>E8</f>
        <v>0</v>
      </c>
      <c r="F27" s="1807">
        <f>'Expenditures 15-22'!K60-SUM('Expenditures 15-22'!G60,'Expenditures 15-22'!I60)+'Expenditures 15-22'!D264-E8</f>
        <v>184798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1349347</v>
      </c>
      <c r="F28" s="1809">
        <f>'Expenditures 15-22'!K61-SUM('Expenditures 15-22'!G61,'Expenditures 15-22'!I61)+'Expenditures 15-22'!K124-SUM('Expenditures 15-22'!G124,'Expenditures 15-22'!I124)+'Expenditures 15-22'!D266-E9</f>
        <v>1349347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919841</v>
      </c>
      <c r="F29" s="1805"/>
      <c r="G29" s="1808">
        <f>'Expenditures 15-22'!K62-SUM('Expenditures 15-22'!G62,'Expenditures 15-22'!I62)+'Expenditures 15-22'!K125-SUM('Expenditures 15-22'!G125,'Expenditures 15-22'!I125)+'Expenditures 15-22'!K182-SUM('Expenditures 15-22'!G182,'Expenditures 15-22'!I182)+'Expenditures 15-22'!D267</f>
        <v>919841</v>
      </c>
      <c r="H29" s="815"/>
    </row>
    <row r="30" spans="1:9" ht="12" customHeight="1" x14ac:dyDescent="0.2">
      <c r="A30" s="824" t="s">
        <v>100</v>
      </c>
      <c r="B30" s="827"/>
      <c r="C30" s="823">
        <v>2560</v>
      </c>
      <c r="D30" s="1805"/>
      <c r="E30" s="1807">
        <f>'Expenditures 15-22'!K63-SUM('Expenditures 15-22'!G63,'Expenditures 15-22'!I63)+'Expenditures 15-22'!D268-E10</f>
        <v>440854</v>
      </c>
      <c r="F30" s="1805"/>
      <c r="G30" s="1807">
        <f>'Expenditures 15-22'!K63-SUM('Expenditures 15-22'!G63,'Expenditures 15-22'!I63)+'Expenditures 15-22'!D268-E10</f>
        <v>440854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799139</v>
      </c>
      <c r="F39" s="1805"/>
      <c r="G39" s="1807">
        <f>'Expenditures 15-22'!K75-SUM('Expenditures 15-22'!G75,'Expenditures 15-22'!I75)+'Expenditures 15-22'!K130-SUM('Expenditures 15-22'!G130,'Expenditures 15-22'!I130)+'Expenditures 15-22'!K185-SUM('Expenditures 15-22'!G185,'Expenditures 15-22'!I185)+'Expenditures 15-22'!D280</f>
        <v>799139</v>
      </c>
    </row>
    <row r="40" spans="1:7" ht="12" customHeight="1" x14ac:dyDescent="0.2">
      <c r="A40" s="820" t="s">
        <v>1795</v>
      </c>
      <c r="B40" s="821"/>
      <c r="C40" s="823"/>
      <c r="D40" s="1805"/>
      <c r="E40" s="1809">
        <f>-'Contracts Paid in CY 29'!F142</f>
        <v>-197394</v>
      </c>
      <c r="F40" s="1805"/>
      <c r="G40" s="1809">
        <f>-'Contracts Paid in CY 29'!F142</f>
        <v>-197394</v>
      </c>
    </row>
    <row r="41" spans="1:7" ht="12" customHeight="1" x14ac:dyDescent="0.2">
      <c r="A41" s="828" t="s">
        <v>155</v>
      </c>
      <c r="B41" s="829"/>
      <c r="C41" s="830"/>
      <c r="D41" s="1809">
        <f>SUM(D19:D39)</f>
        <v>184798</v>
      </c>
      <c r="E41" s="1809">
        <f>SUM(E19:E40)</f>
        <v>16326775</v>
      </c>
      <c r="F41" s="1809">
        <f>SUM(F19:F39)</f>
        <v>1534145</v>
      </c>
      <c r="G41" s="1809">
        <f>SUM(G19:G40)</f>
        <v>14977428</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184798</v>
      </c>
      <c r="F43" s="1458" t="s">
        <v>470</v>
      </c>
      <c r="G43" s="1810">
        <f>F41</f>
        <v>1534145</v>
      </c>
    </row>
    <row r="44" spans="1:7" ht="12" customHeight="1" x14ac:dyDescent="0.2">
      <c r="A44" s="817"/>
      <c r="B44" s="157"/>
      <c r="C44" s="831"/>
      <c r="D44" s="1458" t="s">
        <v>471</v>
      </c>
      <c r="E44" s="1810">
        <f>E41</f>
        <v>16326775</v>
      </c>
      <c r="F44" s="1458" t="s">
        <v>471</v>
      </c>
      <c r="G44" s="1810">
        <f>G41</f>
        <v>14977428</v>
      </c>
    </row>
    <row r="45" spans="1:7" ht="12" customHeight="1" x14ac:dyDescent="0.2">
      <c r="A45" s="817"/>
      <c r="B45" s="157"/>
      <c r="C45" s="157"/>
      <c r="D45" s="1459" t="s">
        <v>999</v>
      </c>
      <c r="E45" s="1811">
        <f>(E43/E44)</f>
        <v>1.131870807308853E-2</v>
      </c>
      <c r="F45" s="1459" t="s">
        <v>999</v>
      </c>
      <c r="G45" s="1811">
        <f>(G43/G44)</f>
        <v>0.1024304707056512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P68" sqref="P6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Hillsboro CUSD 3</v>
      </c>
      <c r="D6" s="2416"/>
      <c r="E6" s="2416"/>
      <c r="F6" s="1482"/>
      <c r="G6" s="1507"/>
      <c r="L6" s="1507"/>
      <c r="M6" s="1855"/>
      <c r="N6" s="1855"/>
      <c r="O6" s="1855"/>
    </row>
    <row r="7" spans="1:15" ht="11.25" customHeight="1" thickBot="1" x14ac:dyDescent="0.3">
      <c r="A7" s="1480"/>
      <c r="B7" s="1481"/>
      <c r="C7" s="2417">
        <f>COVER!A13</f>
        <v>3068003026</v>
      </c>
      <c r="D7" s="2417"/>
      <c r="E7" s="2417"/>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c r="F26" s="1497" t="s">
        <v>2141</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2048</v>
      </c>
      <c r="D31" s="1495" t="s">
        <v>2048</v>
      </c>
      <c r="E31" s="1498"/>
      <c r="F31" s="1497" t="s">
        <v>2068</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7" zoomScaleNormal="100" workbookViewId="0">
      <selection activeCell="P68" sqref="P68"/>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Hillsboro CUSD 3</v>
      </c>
      <c r="K6" s="2438"/>
      <c r="L6" s="2452"/>
      <c r="M6" s="838"/>
      <c r="N6" s="1998"/>
    </row>
    <row r="7" spans="1:14" x14ac:dyDescent="0.2">
      <c r="A7" s="2453" t="s">
        <v>864</v>
      </c>
      <c r="B7" s="2454"/>
      <c r="C7" s="2454"/>
      <c r="D7" s="2454"/>
      <c r="E7" s="2455"/>
      <c r="F7" s="839"/>
      <c r="G7" s="838"/>
      <c r="H7" s="838"/>
      <c r="I7" s="1924" t="s">
        <v>369</v>
      </c>
      <c r="J7" s="2440">
        <f>COVER!A13</f>
        <v>3068003026</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182914</v>
      </c>
      <c r="F12" s="1942"/>
      <c r="G12" s="1968">
        <f>G68</f>
        <v>0</v>
      </c>
      <c r="H12" s="1944">
        <f t="shared" ref="H12:H18" si="0">SUM(E12:G12)</f>
        <v>182914</v>
      </c>
      <c r="I12" s="1943">
        <v>0</v>
      </c>
      <c r="J12" s="1942"/>
      <c r="K12" s="1943"/>
      <c r="L12" s="1944">
        <f t="shared" ref="L12:L18" si="1">SUM(I12:K12)</f>
        <v>0</v>
      </c>
      <c r="M12" s="838"/>
      <c r="N12" s="1998"/>
    </row>
    <row r="13" spans="1:14" x14ac:dyDescent="0.2">
      <c r="A13" s="2003">
        <v>2</v>
      </c>
      <c r="B13" s="1940" t="s">
        <v>42</v>
      </c>
      <c r="C13" s="842"/>
      <c r="D13" s="1941">
        <v>2330</v>
      </c>
      <c r="E13" s="1944">
        <f>'Expenditures 15-22'!K51</f>
        <v>42376</v>
      </c>
      <c r="F13" s="1942"/>
      <c r="G13" s="1968">
        <f>H68</f>
        <v>0</v>
      </c>
      <c r="H13" s="1944">
        <f t="shared" si="0"/>
        <v>42376</v>
      </c>
      <c r="I13" s="1943">
        <v>0</v>
      </c>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225290</v>
      </c>
      <c r="F19" s="1950">
        <f t="shared" si="2"/>
        <v>0</v>
      </c>
      <c r="G19" s="1950">
        <f t="shared" ref="G19" si="3">SUM(G12:G17)-G18</f>
        <v>0</v>
      </c>
      <c r="H19" s="1950">
        <f t="shared" si="2"/>
        <v>225290</v>
      </c>
      <c r="I19" s="1950">
        <f t="shared" si="2"/>
        <v>0</v>
      </c>
      <c r="J19" s="1950">
        <f t="shared" si="2"/>
        <v>0</v>
      </c>
      <c r="K19" s="1950">
        <f t="shared" si="2"/>
        <v>0</v>
      </c>
      <c r="L19" s="1950">
        <f t="shared" si="2"/>
        <v>0</v>
      </c>
      <c r="M19" s="838"/>
      <c r="N19" s="1998"/>
    </row>
    <row r="20" spans="1:14" ht="13.5" thickTop="1" x14ac:dyDescent="0.2">
      <c r="A20" s="2003">
        <v>9</v>
      </c>
      <c r="B20" s="2462" t="s">
        <v>2018</v>
      </c>
      <c r="C20" s="2462"/>
      <c r="D20" s="246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2021</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2022</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2023</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2024</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35" t="s">
        <v>2026</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Hillsboro CUSD 3</v>
      </c>
      <c r="M52" s="2438"/>
      <c r="N52" s="2439"/>
    </row>
    <row r="53" spans="1:14" x14ac:dyDescent="0.2">
      <c r="A53" s="1982"/>
      <c r="B53" s="1983"/>
      <c r="C53" s="1983"/>
      <c r="D53" s="1983"/>
      <c r="E53" s="1983"/>
      <c r="F53" s="1983"/>
      <c r="G53" s="1983"/>
      <c r="H53" s="1983"/>
      <c r="I53" s="1983"/>
      <c r="J53" s="1983"/>
      <c r="K53" s="1924" t="s">
        <v>369</v>
      </c>
      <c r="L53" s="2440">
        <f>J7</f>
        <v>3068003026</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2027</v>
      </c>
      <c r="H55" s="2444"/>
      <c r="I55" s="2444"/>
      <c r="J55" s="2444"/>
      <c r="K55" s="2444"/>
      <c r="L55" s="2444"/>
      <c r="M55" s="2444"/>
      <c r="N55" s="2445"/>
    </row>
    <row r="56" spans="1:14" ht="63.75" x14ac:dyDescent="0.2">
      <c r="A56" s="2446" t="s">
        <v>2028</v>
      </c>
      <c r="B56" s="2447"/>
      <c r="C56" s="244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2038</v>
      </c>
      <c r="B58" s="2427"/>
      <c r="C58" s="2427"/>
      <c r="D58" s="1967">
        <v>2362</v>
      </c>
      <c r="E58" s="1977">
        <f>'Expenditures 15-22'!K320</f>
        <v>66905</v>
      </c>
      <c r="F58" s="1972"/>
      <c r="G58" s="2031"/>
      <c r="H58" s="2032"/>
      <c r="I58" s="2032"/>
      <c r="J58" s="2032"/>
      <c r="K58" s="2032"/>
      <c r="L58" s="2032"/>
      <c r="M58" s="2032"/>
      <c r="N58" s="1975" t="str">
        <f>IF((SUM(G58:M58))=E58,SUM(G58:M58),"Column N does not agree with Column E")</f>
        <v>Column N does not agree with Column E</v>
      </c>
    </row>
    <row r="59" spans="1:14" ht="24.75" customHeight="1" x14ac:dyDescent="0.2">
      <c r="A59" s="2420" t="s">
        <v>297</v>
      </c>
      <c r="B59" s="2421"/>
      <c r="C59" s="2421"/>
      <c r="D59" s="1967">
        <v>2363</v>
      </c>
      <c r="E59" s="1977">
        <f>'Expenditures 15-22'!K321</f>
        <v>499</v>
      </c>
      <c r="F59" s="1972"/>
      <c r="G59" s="2031"/>
      <c r="H59" s="2032"/>
      <c r="I59" s="2032"/>
      <c r="J59" s="2032"/>
      <c r="K59" s="2032"/>
      <c r="L59" s="2032"/>
      <c r="M59" s="2032"/>
      <c r="N59" s="1975" t="str">
        <f>IF((SUM(G59:M59))=E59,SUM(G59:M59),"Column N does not agree with Column E")</f>
        <v>Column N does not agree with Column E</v>
      </c>
    </row>
    <row r="60" spans="1:14" ht="24" customHeight="1" x14ac:dyDescent="0.2">
      <c r="A60" s="2420" t="s">
        <v>236</v>
      </c>
      <c r="B60" s="2421"/>
      <c r="C60" s="2421"/>
      <c r="D60" s="1967">
        <v>2364</v>
      </c>
      <c r="E60" s="1977">
        <f>'Expenditures 15-22'!K322</f>
        <v>112949</v>
      </c>
      <c r="F60" s="1972"/>
      <c r="G60" s="2031"/>
      <c r="H60" s="2032"/>
      <c r="I60" s="2032"/>
      <c r="J60" s="2032"/>
      <c r="K60" s="2032"/>
      <c r="L60" s="2032"/>
      <c r="M60" s="2032"/>
      <c r="N60" s="1975" t="str">
        <f t="shared" ref="N60:N67" si="4">IF((SUM(G60:M60))=E60,SUM(G60:M60),"Column N does not agree with Column E")</f>
        <v>Column N does not agree with Column E</v>
      </c>
    </row>
    <row r="61" spans="1:14" ht="24.75" customHeight="1" x14ac:dyDescent="0.2">
      <c r="A61" s="2420" t="s">
        <v>697</v>
      </c>
      <c r="B61" s="2421"/>
      <c r="C61" s="2421"/>
      <c r="D61" s="1967">
        <v>2365</v>
      </c>
      <c r="E61" s="1977">
        <f>'Expenditures 15-22'!K323</f>
        <v>528099</v>
      </c>
      <c r="F61" s="1972"/>
      <c r="G61" s="2031"/>
      <c r="H61" s="2032"/>
      <c r="I61" s="2032"/>
      <c r="J61" s="2032"/>
      <c r="K61" s="2032"/>
      <c r="L61" s="2032"/>
      <c r="M61" s="2032"/>
      <c r="N61" s="1975" t="str">
        <f t="shared" si="4"/>
        <v>Column N does not agree with Column E</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29146</v>
      </c>
      <c r="F63" s="1972"/>
      <c r="G63" s="2031"/>
      <c r="H63" s="2032"/>
      <c r="I63" s="2032"/>
      <c r="J63" s="2032"/>
      <c r="K63" s="2032"/>
      <c r="L63" s="2032"/>
      <c r="M63" s="2032"/>
      <c r="N63" s="1975" t="str">
        <f t="shared" si="4"/>
        <v>Column N does not agree with Column E</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4144</v>
      </c>
      <c r="F65" s="1972"/>
      <c r="G65" s="2031"/>
      <c r="H65" s="2032"/>
      <c r="I65" s="2032"/>
      <c r="J65" s="2032"/>
      <c r="K65" s="2032"/>
      <c r="L65" s="2032"/>
      <c r="M65" s="2032"/>
      <c r="N65" s="1975" t="str">
        <f t="shared" si="4"/>
        <v>Column N does not agree with Column E</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2039</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741742</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7" zoomScale="110" zoomScaleNormal="110" workbookViewId="0">
      <selection activeCell="B26" sqref="B2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ht="15.75" x14ac:dyDescent="0.25">
      <c r="A5" s="847"/>
      <c r="B5" s="2037" t="s">
        <v>2145</v>
      </c>
    </row>
    <row r="6" spans="1:2" x14ac:dyDescent="0.2">
      <c r="A6" s="847"/>
      <c r="B6" s="307" t="s">
        <v>2146</v>
      </c>
    </row>
    <row r="7" spans="1:2" x14ac:dyDescent="0.2">
      <c r="A7" s="847"/>
    </row>
    <row r="8" spans="1:2" x14ac:dyDescent="0.2">
      <c r="A8" s="847"/>
      <c r="B8" s="307" t="s">
        <v>2147</v>
      </c>
    </row>
    <row r="9" spans="1:2" x14ac:dyDescent="0.2">
      <c r="A9" s="848"/>
      <c r="B9" s="307" t="s">
        <v>2148</v>
      </c>
    </row>
    <row r="10" spans="1:2" x14ac:dyDescent="0.2">
      <c r="A10" s="848"/>
      <c r="B10" s="307" t="s">
        <v>2149</v>
      </c>
    </row>
    <row r="11" spans="1:2" x14ac:dyDescent="0.2">
      <c r="A11" s="848"/>
    </row>
    <row r="12" spans="1:2" x14ac:dyDescent="0.2">
      <c r="A12" s="848"/>
      <c r="B12" s="307" t="s">
        <v>2150</v>
      </c>
    </row>
    <row r="13" spans="1:2" x14ac:dyDescent="0.2">
      <c r="A13" s="848"/>
    </row>
    <row r="14" spans="1:2" x14ac:dyDescent="0.2">
      <c r="A14" s="848"/>
      <c r="B14" s="307" t="s">
        <v>2151</v>
      </c>
    </row>
    <row r="15" spans="1:2" x14ac:dyDescent="0.2">
      <c r="A15" s="848"/>
    </row>
    <row r="16" spans="1:2" x14ac:dyDescent="0.2">
      <c r="A16" s="848"/>
      <c r="B16" s="307" t="s">
        <v>2152</v>
      </c>
    </row>
    <row r="17" spans="1:2" x14ac:dyDescent="0.2">
      <c r="A17" s="848"/>
    </row>
    <row r="18" spans="1:2" x14ac:dyDescent="0.2">
      <c r="A18" s="848"/>
      <c r="B18" s="307" t="s">
        <v>2153</v>
      </c>
    </row>
    <row r="19" spans="1:2" x14ac:dyDescent="0.2">
      <c r="A19" s="848"/>
    </row>
    <row r="20" spans="1:2" x14ac:dyDescent="0.2">
      <c r="A20" s="848"/>
      <c r="B20" s="307" t="s">
        <v>2157</v>
      </c>
    </row>
    <row r="21" spans="1:2" x14ac:dyDescent="0.2">
      <c r="A21" s="848"/>
      <c r="B21" s="307" t="s">
        <v>2154</v>
      </c>
    </row>
    <row r="22" spans="1:2" x14ac:dyDescent="0.2">
      <c r="A22" s="848"/>
    </row>
    <row r="23" spans="1:2" x14ac:dyDescent="0.2">
      <c r="A23" s="848"/>
      <c r="B23" s="307" t="s">
        <v>2158</v>
      </c>
    </row>
    <row r="24" spans="1:2" ht="26.45" customHeight="1" x14ac:dyDescent="0.2">
      <c r="A24" s="848"/>
      <c r="B24" s="307" t="s">
        <v>2155</v>
      </c>
    </row>
    <row r="25" spans="1:2" x14ac:dyDescent="0.2">
      <c r="A25" s="848"/>
    </row>
    <row r="26" spans="1:2" x14ac:dyDescent="0.2">
      <c r="A26" s="848"/>
      <c r="B26" s="307" t="s">
        <v>2159</v>
      </c>
    </row>
    <row r="27" spans="1:2" x14ac:dyDescent="0.2">
      <c r="A27" s="848"/>
      <c r="B27" s="307" t="s">
        <v>2156</v>
      </c>
    </row>
    <row r="28" spans="1:2" x14ac:dyDescent="0.2">
      <c r="A28" s="848"/>
    </row>
    <row r="29" spans="1:2" x14ac:dyDescent="0.2">
      <c r="A29" s="848"/>
      <c r="B29" s="307" t="s">
        <v>2160</v>
      </c>
    </row>
    <row r="30" spans="1:2" x14ac:dyDescent="0.2">
      <c r="A30" s="848"/>
      <c r="B30" s="307" t="s">
        <v>2161</v>
      </c>
    </row>
    <row r="31" spans="1:2" x14ac:dyDescent="0.2">
      <c r="A31" s="848"/>
    </row>
    <row r="32" spans="1:2" x14ac:dyDescent="0.2">
      <c r="A32" s="848"/>
      <c r="B32" s="307" t="s">
        <v>2162</v>
      </c>
    </row>
    <row r="33" spans="1:2" x14ac:dyDescent="0.2">
      <c r="A33" s="848"/>
      <c r="B33" s="307" t="s">
        <v>2163</v>
      </c>
    </row>
    <row r="34" spans="1:2" x14ac:dyDescent="0.2">
      <c r="A34" s="848"/>
    </row>
    <row r="35" spans="1:2" x14ac:dyDescent="0.2">
      <c r="A35" s="848"/>
      <c r="B35" s="307" t="s">
        <v>2164</v>
      </c>
    </row>
    <row r="36" spans="1:2" x14ac:dyDescent="0.2">
      <c r="A36" s="848"/>
      <c r="B36" s="307" t="s">
        <v>2165</v>
      </c>
    </row>
    <row r="37" spans="1:2" x14ac:dyDescent="0.2">
      <c r="A37" s="848"/>
    </row>
    <row r="38" spans="1:2" x14ac:dyDescent="0.2">
      <c r="A38" s="848"/>
      <c r="B38" s="307" t="s">
        <v>2166</v>
      </c>
    </row>
    <row r="39" spans="1:2" x14ac:dyDescent="0.2">
      <c r="A39" s="848"/>
      <c r="B39" s="307" t="s">
        <v>2167</v>
      </c>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Hillsboro CUSD 3</v>
      </c>
    </row>
    <row r="65" spans="2:2" x14ac:dyDescent="0.2">
      <c r="B65" s="849">
        <f>COVER!A13</f>
        <v>3068003026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P68" sqref="P6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P68" sqref="P6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6" sqref="D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3</xdr:col>
                <xdr:colOff>0</xdr:colOff>
                <xdr:row>5</xdr:row>
                <xdr:rowOff>0</xdr:rowOff>
              </from>
              <to>
                <xdr:col>4</xdr:col>
                <xdr:colOff>304800</xdr:colOff>
                <xdr:row>9</xdr:row>
                <xdr:rowOff>38100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0" zoomScale="110" zoomScaleNormal="110" workbookViewId="0">
      <selection activeCell="P68" sqref="P6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1969</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13915715</v>
      </c>
      <c r="C8" s="1813">
        <f>'Acct Summary 7-8'!D8</f>
        <v>1202772</v>
      </c>
      <c r="D8" s="1813">
        <f>'Acct Summary 7-8'!F8</f>
        <v>857348</v>
      </c>
      <c r="E8" s="1813">
        <f>'Acct Summary 7-8'!I8</f>
        <v>85030</v>
      </c>
      <c r="F8" s="1813">
        <f>SUM(B8:E8)</f>
        <v>16060865</v>
      </c>
    </row>
    <row r="9" spans="1:8" s="858" customFormat="1" ht="14.25" customHeight="1" thickBot="1" x14ac:dyDescent="0.25">
      <c r="A9" s="857" t="s">
        <v>1353</v>
      </c>
      <c r="B9" s="1814">
        <f>'Acct Summary 7-8'!C17</f>
        <v>14366133</v>
      </c>
      <c r="C9" s="1814">
        <f>'Acct Summary 7-8'!D17</f>
        <v>1207675</v>
      </c>
      <c r="D9" s="1814">
        <f>'Acct Summary 7-8'!F17</f>
        <v>917546</v>
      </c>
      <c r="E9" s="1813"/>
      <c r="F9" s="1813">
        <f>SUM(B9:E9)</f>
        <v>16491354</v>
      </c>
    </row>
    <row r="10" spans="1:8" s="858" customFormat="1" ht="14.25" thickTop="1" thickBot="1" x14ac:dyDescent="0.25">
      <c r="A10" s="859" t="s">
        <v>1354</v>
      </c>
      <c r="B10" s="1815">
        <f>(B8-B9)</f>
        <v>-450418</v>
      </c>
      <c r="C10" s="1815">
        <f>(C8-C9)</f>
        <v>-4903</v>
      </c>
      <c r="D10" s="1815">
        <f>(D8-D9)</f>
        <v>-60198</v>
      </c>
      <c r="E10" s="1814">
        <f>(E8-E9)</f>
        <v>85030</v>
      </c>
      <c r="F10" s="1816">
        <f>SUM(F8-F9)</f>
        <v>-430489</v>
      </c>
    </row>
    <row r="11" spans="1:8" s="858" customFormat="1" ht="14.25" thickTop="1" thickBot="1" x14ac:dyDescent="0.25">
      <c r="A11" s="860" t="s">
        <v>1900</v>
      </c>
      <c r="B11" s="1817">
        <f>'Acct Summary 7-8'!C81</f>
        <v>1266913</v>
      </c>
      <c r="C11" s="1817">
        <f>'Acct Summary 7-8'!D81</f>
        <v>3094</v>
      </c>
      <c r="D11" s="1817">
        <f>'Acct Summary 7-8'!F81</f>
        <v>244434</v>
      </c>
      <c r="E11" s="1817">
        <f>'Acct Summary 7-8'!I81</f>
        <v>3604512</v>
      </c>
      <c r="F11" s="1818">
        <f>SUM(B11:E11)</f>
        <v>5118953</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P68" sqref="P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ENTER BUDGET DATA!</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3068003026</v>
      </c>
      <c r="E2" s="1542">
        <v>2020</v>
      </c>
      <c r="F2" s="1542">
        <v>1</v>
      </c>
      <c r="G2" s="1899">
        <v>101000300</v>
      </c>
    </row>
    <row r="3" spans="1:7" ht="15" x14ac:dyDescent="0.25">
      <c r="A3" t="s">
        <v>950</v>
      </c>
      <c r="B3" s="135" t="str">
        <f>COVER!A15</f>
        <v>Montgomery</v>
      </c>
      <c r="E3" s="1830" t="s">
        <v>1968</v>
      </c>
      <c r="F3" s="1830" t="s">
        <v>1967</v>
      </c>
      <c r="G3" s="1899">
        <v>101000400</v>
      </c>
    </row>
    <row r="4" spans="1:7" ht="15" x14ac:dyDescent="0.25">
      <c r="A4" t="s">
        <v>1000</v>
      </c>
      <c r="B4" s="135" t="str">
        <f>COVER!A17</f>
        <v xml:space="preserve">   Hillsboro CUSD 3</v>
      </c>
      <c r="E4" s="1828">
        <v>44119</v>
      </c>
      <c r="F4" s="1829">
        <v>44151</v>
      </c>
      <c r="G4" s="1899">
        <v>101000600</v>
      </c>
    </row>
    <row r="5" spans="1:7" ht="15" x14ac:dyDescent="0.25">
      <c r="A5" t="s">
        <v>699</v>
      </c>
      <c r="B5" s="135" t="str">
        <f>COVER!A38</f>
        <v>David Powell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065-026956</v>
      </c>
      <c r="G15" s="1899">
        <v>402100400</v>
      </c>
    </row>
    <row r="16" spans="1:7" ht="15" x14ac:dyDescent="0.25">
      <c r="A16" t="s">
        <v>419</v>
      </c>
      <c r="B16" s="135" t="str">
        <f>COVER!T13</f>
        <v>Scheffel Boyle</v>
      </c>
      <c r="G16" s="1899">
        <v>402100600</v>
      </c>
    </row>
    <row r="17" spans="1:7" ht="15" x14ac:dyDescent="0.25">
      <c r="A17" t="s">
        <v>878</v>
      </c>
      <c r="B17" s="135" t="str">
        <f>COVER!T15</f>
        <v>Dale Holtmann</v>
      </c>
      <c r="G17" s="1899">
        <v>402100800</v>
      </c>
    </row>
    <row r="18" spans="1:7" ht="15" x14ac:dyDescent="0.25">
      <c r="A18" t="s">
        <v>1140</v>
      </c>
      <c r="B18" s="135" t="str">
        <f>COVER!T17</f>
        <v>222 East Main Street</v>
      </c>
      <c r="G18" s="1899">
        <v>102200300</v>
      </c>
    </row>
    <row r="19" spans="1:7" ht="15" x14ac:dyDescent="0.25">
      <c r="A19" t="s">
        <v>880</v>
      </c>
      <c r="B19" s="135" t="str">
        <f>COVER!T25</f>
        <v>dale.holtmann@scheffelboyle.com</v>
      </c>
      <c r="G19" s="1899">
        <v>102200400</v>
      </c>
    </row>
    <row r="20" spans="1:7" ht="15" x14ac:dyDescent="0.25">
      <c r="A20" t="s">
        <v>881</v>
      </c>
      <c r="B20" s="135" t="str">
        <f>COVER!T19</f>
        <v>Belleville</v>
      </c>
      <c r="G20" s="1899">
        <v>102200600</v>
      </c>
    </row>
    <row r="21" spans="1:7" ht="15" x14ac:dyDescent="0.25">
      <c r="A21" t="s">
        <v>476</v>
      </c>
      <c r="B21" s="135" t="str">
        <f>COVER!X19</f>
        <v>IL</v>
      </c>
      <c r="G21" s="1899">
        <v>102200800</v>
      </c>
    </row>
    <row r="22" spans="1:7" ht="15" x14ac:dyDescent="0.25">
      <c r="A22" t="s">
        <v>882</v>
      </c>
      <c r="B22" s="135">
        <f>COVER!Z19</f>
        <v>62220</v>
      </c>
      <c r="G22" s="1899">
        <v>102300300</v>
      </c>
    </row>
    <row r="23" spans="1:7" ht="15" x14ac:dyDescent="0.25">
      <c r="A23" t="s">
        <v>1142</v>
      </c>
      <c r="B23" s="135" t="str">
        <f>COVER!T21</f>
        <v>618-277-8100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4255412</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77111</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6810896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937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4360971</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5543983</v>
      </c>
      <c r="C91" s="2" t="s">
        <v>569</v>
      </c>
      <c r="D91" s="2" t="str">
        <f t="shared" si="0"/>
        <v>Error?</v>
      </c>
      <c r="G91" s="1899">
        <v>102640400</v>
      </c>
    </row>
    <row r="92" spans="1:7" ht="15" x14ac:dyDescent="0.25">
      <c r="A92" s="5">
        <v>31</v>
      </c>
      <c r="B92" s="1832">
        <f>'Assets-Liab 5-6'!C39</f>
        <v>928420</v>
      </c>
      <c r="D92" s="2" t="str">
        <f t="shared" si="0"/>
        <v>Error?</v>
      </c>
      <c r="G92" s="1899">
        <v>102640600</v>
      </c>
    </row>
    <row r="93" spans="1:7" ht="15" x14ac:dyDescent="0.25">
      <c r="A93" s="5">
        <v>32</v>
      </c>
      <c r="B93" s="1832">
        <f>'Assets-Liab 5-6'!C41</f>
        <v>6810896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854506</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889203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854506</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886109</v>
      </c>
      <c r="C122" s="2" t="s">
        <v>569</v>
      </c>
      <c r="D122" s="2" t="str">
        <f t="shared" si="0"/>
        <v>Error?</v>
      </c>
      <c r="G122" s="1899">
        <v>203000300</v>
      </c>
    </row>
    <row r="123" spans="1:7" ht="15" x14ac:dyDescent="0.25">
      <c r="A123" s="5">
        <v>62</v>
      </c>
      <c r="B123" s="1832">
        <f>'Assets-Liab 5-6'!D39</f>
        <v>3094</v>
      </c>
      <c r="D123" s="2" t="str">
        <f t="shared" si="0"/>
        <v>Error?</v>
      </c>
      <c r="G123" s="1899">
        <v>203000400</v>
      </c>
    </row>
    <row r="124" spans="1:7" ht="15" x14ac:dyDescent="0.25">
      <c r="A124" s="5">
        <v>63</v>
      </c>
      <c r="B124" s="1832">
        <f>'Assets-Liab 5-6'!D41</f>
        <v>889203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1490382</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1569074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1490382</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1490382</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1569074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341803</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592321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160</v>
      </c>
      <c r="D164" s="2" t="str">
        <f t="shared" si="1"/>
        <v>Error?</v>
      </c>
    </row>
    <row r="165" spans="1:4" x14ac:dyDescent="0.2">
      <c r="A165" s="10">
        <v>104</v>
      </c>
      <c r="B165" s="1832"/>
      <c r="D165" s="2" t="str">
        <f t="shared" si="1"/>
        <v>OK</v>
      </c>
    </row>
    <row r="166" spans="1:4" x14ac:dyDescent="0.2">
      <c r="A166" s="5">
        <v>105</v>
      </c>
      <c r="B166" s="1832">
        <f>'Assets-Liab 5-6'!F32</f>
        <v>341803</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347887</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592321</v>
      </c>
      <c r="C171" s="2" t="s">
        <v>569</v>
      </c>
      <c r="D171" s="2" t="str">
        <f t="shared" si="1"/>
        <v>Error?</v>
      </c>
    </row>
    <row r="172" spans="1:4" x14ac:dyDescent="0.2">
      <c r="A172" s="10">
        <v>111</v>
      </c>
      <c r="B172" s="1832"/>
      <c r="D172" s="2" t="str">
        <f t="shared" si="1"/>
        <v>OK</v>
      </c>
    </row>
    <row r="173" spans="1:4" x14ac:dyDescent="0.2">
      <c r="A173" s="5">
        <v>112</v>
      </c>
      <c r="B173" s="1832">
        <f>'Assets-Liab 5-6'!G6</f>
        <v>850285</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1402159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850285</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850285</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1402159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1412655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85088</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179248</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1412655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509730</v>
      </c>
      <c r="D273" s="2" t="str">
        <f t="shared" si="3"/>
        <v>Error?</v>
      </c>
    </row>
    <row r="274" spans="1:4" x14ac:dyDescent="0.2">
      <c r="A274" s="5">
        <v>213</v>
      </c>
      <c r="B274" s="1832">
        <f>'Assets-Liab 5-6'!M17</f>
        <v>9644308</v>
      </c>
      <c r="D274" s="2" t="str">
        <f t="shared" si="3"/>
        <v>Error?</v>
      </c>
    </row>
    <row r="275" spans="1:4" x14ac:dyDescent="0.2">
      <c r="A275" s="5">
        <v>214</v>
      </c>
      <c r="B275" s="1832">
        <f>'Assets-Liab 5-6'!M18</f>
        <v>1243107</v>
      </c>
      <c r="D275" s="2" t="str">
        <f t="shared" si="3"/>
        <v>Error?</v>
      </c>
    </row>
    <row r="276" spans="1:4" x14ac:dyDescent="0.2">
      <c r="A276" s="5">
        <v>215</v>
      </c>
      <c r="B276" s="1832">
        <f>'Assets-Liab 5-6'!M19</f>
        <v>577576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12124286</v>
      </c>
      <c r="C279" s="2" t="s">
        <v>569</v>
      </c>
      <c r="D279" s="2" t="str">
        <f t="shared" si="3"/>
        <v>Error?</v>
      </c>
    </row>
    <row r="280" spans="1:4" x14ac:dyDescent="0.2">
      <c r="A280" s="5">
        <v>219</v>
      </c>
      <c r="B280" s="1832">
        <f>'Assets-Liab 5-6'!M40</f>
        <v>12124286</v>
      </c>
      <c r="D280" s="2" t="str">
        <f t="shared" si="3"/>
        <v>Error?</v>
      </c>
    </row>
    <row r="281" spans="1:4" x14ac:dyDescent="0.2">
      <c r="A281" s="5">
        <v>220</v>
      </c>
      <c r="B281" s="1832">
        <f>'Assets-Liab 5-6'!M41</f>
        <v>12124286</v>
      </c>
      <c r="C281" s="2" t="s">
        <v>569</v>
      </c>
      <c r="D281" s="2" t="str">
        <f t="shared" si="3"/>
        <v>Error?</v>
      </c>
    </row>
    <row r="282" spans="1:4" x14ac:dyDescent="0.2">
      <c r="A282" s="5">
        <v>221</v>
      </c>
      <c r="B282" s="1832">
        <f>'Assets-Liab 5-6'!N21</f>
        <v>78692</v>
      </c>
      <c r="D282" s="2" t="str">
        <f t="shared" si="3"/>
        <v>Error?</v>
      </c>
    </row>
    <row r="283" spans="1:4" x14ac:dyDescent="0.2">
      <c r="A283" s="5">
        <v>222</v>
      </c>
      <c r="B283" s="1832">
        <f>'Assets-Liab 5-6'!N22</f>
        <v>6315308</v>
      </c>
      <c r="D283" s="2" t="str">
        <f t="shared" si="3"/>
        <v>Error?</v>
      </c>
    </row>
    <row r="284" spans="1:4" x14ac:dyDescent="0.2">
      <c r="A284" s="5">
        <v>223</v>
      </c>
      <c r="B284" s="1832">
        <f>'Assets-Liab 5-6'!N23</f>
        <v>6394000</v>
      </c>
      <c r="C284" s="2" t="s">
        <v>569</v>
      </c>
      <c r="D284" s="2" t="str">
        <f t="shared" si="3"/>
        <v>Error?</v>
      </c>
    </row>
    <row r="285" spans="1:4" x14ac:dyDescent="0.2">
      <c r="A285" s="5">
        <v>224</v>
      </c>
      <c r="B285" s="1832">
        <f>'Assets-Liab 5-6'!N36</f>
        <v>6394000</v>
      </c>
      <c r="D285" s="2" t="str">
        <f t="shared" si="3"/>
        <v>Error?</v>
      </c>
    </row>
    <row r="286" spans="1:4" x14ac:dyDescent="0.2">
      <c r="A286" s="10">
        <v>225</v>
      </c>
      <c r="B286" s="1832"/>
      <c r="D286" s="2" t="str">
        <f t="shared" si="3"/>
        <v>OK</v>
      </c>
    </row>
    <row r="287" spans="1:4" x14ac:dyDescent="0.2">
      <c r="A287" s="5">
        <v>226</v>
      </c>
      <c r="B287" s="1832">
        <f>'Assets-Liab 5-6'!N37</f>
        <v>6394000</v>
      </c>
      <c r="C287" s="2" t="s">
        <v>569</v>
      </c>
      <c r="D287" s="2" t="str">
        <f t="shared" si="3"/>
        <v>Error?</v>
      </c>
    </row>
    <row r="288" spans="1:4" x14ac:dyDescent="0.2">
      <c r="A288" s="5">
        <v>227</v>
      </c>
      <c r="B288" s="1832">
        <f>'Assets-Liab 5-6'!N41</f>
        <v>6394000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36955</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2374000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4859151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286632</v>
      </c>
      <c r="D717" s="2" t="str">
        <f t="shared" si="10"/>
        <v>Error?</v>
      </c>
    </row>
    <row r="718" spans="1:4" x14ac:dyDescent="0.2">
      <c r="A718" s="5">
        <v>657</v>
      </c>
      <c r="B718" s="1832">
        <f>'Expenditures 15-22'!C14</f>
        <v>153963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7394125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213858</v>
      </c>
      <c r="D722" s="2" t="str">
        <f t="shared" si="10"/>
        <v>Error?</v>
      </c>
    </row>
    <row r="723" spans="1:4" x14ac:dyDescent="0.2">
      <c r="A723" s="5">
        <v>662</v>
      </c>
      <c r="B723" s="1832">
        <f>'Expenditures 15-22'!C38</f>
        <v>69970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102854</v>
      </c>
      <c r="D726" s="2" t="str">
        <f t="shared" si="10"/>
        <v>Error?</v>
      </c>
    </row>
    <row r="727" spans="1:4" x14ac:dyDescent="0.2">
      <c r="A727" s="5">
        <v>666</v>
      </c>
      <c r="B727" s="1832">
        <f>'Expenditures 15-22'!C42</f>
        <v>386682</v>
      </c>
      <c r="C727" s="2" t="s">
        <v>569</v>
      </c>
      <c r="D727" s="2" t="str">
        <f t="shared" si="10"/>
        <v>Error?</v>
      </c>
    </row>
    <row r="728" spans="1:4" x14ac:dyDescent="0.2">
      <c r="A728" s="5">
        <v>667</v>
      </c>
      <c r="B728" s="1832">
        <f>'Expenditures 15-22'!C44</f>
        <v>142360</v>
      </c>
      <c r="D728" s="2" t="str">
        <f t="shared" si="10"/>
        <v>Error?</v>
      </c>
    </row>
    <row r="729" spans="1:4" x14ac:dyDescent="0.2">
      <c r="A729" s="5">
        <v>668</v>
      </c>
      <c r="B729" s="1832">
        <f>'Expenditures 15-22'!C45</f>
        <v>70380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212740</v>
      </c>
      <c r="C731" s="2" t="s">
        <v>569</v>
      </c>
      <c r="D731" s="2" t="str">
        <f t="shared" si="10"/>
        <v>Error?</v>
      </c>
    </row>
    <row r="732" spans="1:4" x14ac:dyDescent="0.2">
      <c r="A732" s="5">
        <v>671</v>
      </c>
      <c r="B732" s="1832">
        <f>'Expenditures 15-22'!C49</f>
        <v>17653</v>
      </c>
      <c r="D732" s="2" t="str">
        <f t="shared" si="10"/>
        <v>Error?</v>
      </c>
    </row>
    <row r="733" spans="1:4" x14ac:dyDescent="0.2">
      <c r="A733" s="5">
        <v>672</v>
      </c>
      <c r="B733" s="1832">
        <f>'Expenditures 15-22'!C50</f>
        <v>151921</v>
      </c>
      <c r="D733" s="2" t="str">
        <f t="shared" si="10"/>
        <v>Error?</v>
      </c>
    </row>
    <row r="734" spans="1:4" x14ac:dyDescent="0.2">
      <c r="A734" s="5">
        <v>673</v>
      </c>
      <c r="B734" s="1832">
        <f>'Expenditures 15-22'!C53</f>
        <v>205107</v>
      </c>
      <c r="C734" s="2" t="s">
        <v>569</v>
      </c>
      <c r="D734" s="2" t="str">
        <f t="shared" si="10"/>
        <v>Error?</v>
      </c>
    </row>
    <row r="735" spans="1:4" x14ac:dyDescent="0.2">
      <c r="A735" s="5">
        <v>674</v>
      </c>
      <c r="B735" s="1832">
        <f>'Expenditures 15-22'!C55</f>
        <v>595491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595491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118560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50750</v>
      </c>
      <c r="D741" s="2" t="str">
        <f t="shared" si="10"/>
        <v>Error?</v>
      </c>
    </row>
    <row r="742" spans="1:4" x14ac:dyDescent="0.2">
      <c r="A742" s="5">
        <v>681</v>
      </c>
      <c r="B742" s="1832">
        <f>'Expenditures 15-22'!C63</f>
        <v>367147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536457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1936477</v>
      </c>
      <c r="C755" s="2" t="s">
        <v>569</v>
      </c>
      <c r="D755" s="2" t="str">
        <f t="shared" si="10"/>
        <v>Error?</v>
      </c>
    </row>
    <row r="756" spans="1:4" x14ac:dyDescent="0.2">
      <c r="A756" s="5">
        <v>695</v>
      </c>
      <c r="B756" s="1832">
        <f>'Expenditures 15-22'!C75</f>
        <v>573247</v>
      </c>
      <c r="D756" s="2" t="str">
        <f t="shared" si="10"/>
        <v>Error?</v>
      </c>
    </row>
    <row r="757" spans="1:4" x14ac:dyDescent="0.2">
      <c r="A757" s="5">
        <v>696</v>
      </c>
      <c r="B757" s="1832">
        <f>'Expenditures 15-22'!C114</f>
        <v>9903849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1229932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57366</v>
      </c>
      <c r="D775" s="2" t="str">
        <f t="shared" si="11"/>
        <v>Error?</v>
      </c>
    </row>
    <row r="776" spans="1:4" x14ac:dyDescent="0.2">
      <c r="A776" s="5">
        <v>715</v>
      </c>
      <c r="B776" s="1832">
        <f>'Expenditures 15-22'!D14</f>
        <v>10629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1628489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50642</v>
      </c>
      <c r="D780" s="2" t="str">
        <f t="shared" si="11"/>
        <v>Error?</v>
      </c>
    </row>
    <row r="781" spans="1:4" x14ac:dyDescent="0.2">
      <c r="A781" s="5">
        <v>720</v>
      </c>
      <c r="B781" s="1832">
        <f>'Expenditures 15-22'!D38</f>
        <v>15477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11355</v>
      </c>
      <c r="D784" s="2" t="str">
        <f t="shared" si="11"/>
        <v>Error?</v>
      </c>
    </row>
    <row r="785" spans="1:4" x14ac:dyDescent="0.2">
      <c r="A785" s="5">
        <v>724</v>
      </c>
      <c r="B785" s="1832">
        <f>'Expenditures 15-22'!D42</f>
        <v>77474</v>
      </c>
      <c r="C785" s="2" t="s">
        <v>569</v>
      </c>
      <c r="D785" s="2" t="str">
        <f t="shared" si="11"/>
        <v>Error?</v>
      </c>
    </row>
    <row r="786" spans="1:4" x14ac:dyDescent="0.2">
      <c r="A786" s="5">
        <v>725</v>
      </c>
      <c r="B786" s="1832">
        <f>'Expenditures 15-22'!D44</f>
        <v>38943</v>
      </c>
      <c r="D786" s="2" t="str">
        <f t="shared" si="11"/>
        <v>Error?</v>
      </c>
    </row>
    <row r="787" spans="1:4" x14ac:dyDescent="0.2">
      <c r="A787" s="5">
        <v>726</v>
      </c>
      <c r="B787" s="1832">
        <f>'Expenditures 15-22'!D45</f>
        <v>16819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55762</v>
      </c>
      <c r="C789" s="2" t="s">
        <v>569</v>
      </c>
      <c r="D789" s="2" t="str">
        <f t="shared" si="11"/>
        <v>Error?</v>
      </c>
    </row>
    <row r="790" spans="1:4" x14ac:dyDescent="0.2">
      <c r="A790" s="5">
        <v>729</v>
      </c>
      <c r="B790" s="1832">
        <f>'Expenditures 15-22'!D49</f>
        <v>832</v>
      </c>
      <c r="D790" s="2" t="str">
        <f t="shared" si="11"/>
        <v>Error?</v>
      </c>
    </row>
    <row r="791" spans="1:4" x14ac:dyDescent="0.2">
      <c r="A791" s="5">
        <v>730</v>
      </c>
      <c r="B791" s="1832">
        <f>'Expenditures 15-22'!D50</f>
        <v>23161</v>
      </c>
      <c r="D791" s="2" t="str">
        <f t="shared" si="11"/>
        <v>Error?</v>
      </c>
    </row>
    <row r="792" spans="1:4" x14ac:dyDescent="0.2">
      <c r="A792" s="5">
        <v>731</v>
      </c>
      <c r="B792" s="1832">
        <f>'Expenditures 15-22'!D53</f>
        <v>28180</v>
      </c>
      <c r="C792" s="2" t="s">
        <v>569</v>
      </c>
      <c r="D792" s="2" t="str">
        <f t="shared" si="11"/>
        <v>Error?</v>
      </c>
    </row>
    <row r="793" spans="1:4" x14ac:dyDescent="0.2">
      <c r="A793" s="5">
        <v>732</v>
      </c>
      <c r="B793" s="1832">
        <f>'Expenditures 15-22'!D55</f>
        <v>114096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114096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21961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234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22195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297707</v>
      </c>
      <c r="C813" s="2" t="s">
        <v>569</v>
      </c>
      <c r="D813" s="2" t="str">
        <f t="shared" si="11"/>
        <v>Error?</v>
      </c>
    </row>
    <row r="814" spans="1:4" x14ac:dyDescent="0.2">
      <c r="A814" s="5">
        <v>753</v>
      </c>
      <c r="B814" s="1832">
        <f>'Expenditures 15-22'!D75</f>
        <v>68157</v>
      </c>
      <c r="D814" s="2" t="str">
        <f t="shared" si="11"/>
        <v>Error?</v>
      </c>
    </row>
    <row r="815" spans="1:4" x14ac:dyDescent="0.2">
      <c r="A815" s="5">
        <v>754</v>
      </c>
      <c r="B815" s="1832">
        <f>'Expenditures 15-22'!D114</f>
        <v>1994353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58098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1330</v>
      </c>
      <c r="D833" s="2" t="str">
        <f t="shared" si="12"/>
        <v>Error?</v>
      </c>
    </row>
    <row r="834" spans="1:4" x14ac:dyDescent="0.2">
      <c r="A834" s="5">
        <v>773</v>
      </c>
      <c r="B834" s="1832">
        <f>'Expenditures 15-22'!E14</f>
        <v>25220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88800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285</v>
      </c>
      <c r="D838" s="2" t="str">
        <f t="shared" si="12"/>
        <v>Error?</v>
      </c>
    </row>
    <row r="839" spans="1:4" x14ac:dyDescent="0.2">
      <c r="A839" s="5">
        <v>778</v>
      </c>
      <c r="B839" s="1832">
        <f>'Expenditures 15-22'!E38</f>
        <v>4137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2866</v>
      </c>
      <c r="D842" s="2" t="str">
        <f t="shared" si="12"/>
        <v>Error?</v>
      </c>
    </row>
    <row r="843" spans="1:4" x14ac:dyDescent="0.2">
      <c r="A843" s="5">
        <v>782</v>
      </c>
      <c r="B843" s="1832">
        <f>'Expenditures 15-22'!E42</f>
        <v>7288</v>
      </c>
      <c r="C843" s="2" t="s">
        <v>569</v>
      </c>
      <c r="D843" s="2" t="str">
        <f t="shared" si="12"/>
        <v>Error?</v>
      </c>
    </row>
    <row r="844" spans="1:4" x14ac:dyDescent="0.2">
      <c r="A844" s="5">
        <v>783</v>
      </c>
      <c r="B844" s="1832">
        <f>'Expenditures 15-22'!E44</f>
        <v>18555</v>
      </c>
      <c r="D844" s="2" t="str">
        <f t="shared" si="12"/>
        <v>Error?</v>
      </c>
    </row>
    <row r="845" spans="1:4" x14ac:dyDescent="0.2">
      <c r="A845" s="5">
        <v>784</v>
      </c>
      <c r="B845" s="1832">
        <f>'Expenditures 15-22'!E45</f>
        <v>4758</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23313</v>
      </c>
      <c r="C847" s="2" t="s">
        <v>569</v>
      </c>
      <c r="D847" s="2" t="str">
        <f t="shared" si="12"/>
        <v>Error?</v>
      </c>
    </row>
    <row r="848" spans="1:4" x14ac:dyDescent="0.2">
      <c r="A848" s="5">
        <v>787</v>
      </c>
      <c r="B848" s="1832">
        <f>'Expenditures 15-22'!E49</f>
        <v>82685</v>
      </c>
      <c r="D848" s="2" t="str">
        <f t="shared" si="12"/>
        <v>Error?</v>
      </c>
    </row>
    <row r="849" spans="1:4" x14ac:dyDescent="0.2">
      <c r="A849" s="5">
        <v>788</v>
      </c>
      <c r="B849" s="1832">
        <f>'Expenditures 15-22'!E50</f>
        <v>3437</v>
      </c>
      <c r="D849" s="2" t="str">
        <f t="shared" si="12"/>
        <v>Error?</v>
      </c>
    </row>
    <row r="850" spans="1:4" x14ac:dyDescent="0.2">
      <c r="A850" s="5">
        <v>789</v>
      </c>
      <c r="B850" s="1832">
        <f>'Expenditures 15-22'!E53</f>
        <v>88122</v>
      </c>
      <c r="C850" s="2" t="s">
        <v>569</v>
      </c>
      <c r="D850" s="2" t="str">
        <f t="shared" si="12"/>
        <v>Error?</v>
      </c>
    </row>
    <row r="851" spans="1:4" x14ac:dyDescent="0.2">
      <c r="A851" s="5">
        <v>790</v>
      </c>
      <c r="B851" s="1832">
        <f>'Expenditures 15-22'!E55</f>
        <v>137922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137922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11964</v>
      </c>
      <c r="D855" s="2" t="str">
        <f t="shared" si="12"/>
        <v>Error?</v>
      </c>
    </row>
    <row r="856" spans="1:4" x14ac:dyDescent="0.2">
      <c r="A856" s="5">
        <v>795</v>
      </c>
      <c r="B856" s="1832">
        <f>'Expenditures 15-22'!E61</f>
        <v>13756</v>
      </c>
      <c r="D856" s="2" t="str">
        <f t="shared" si="12"/>
        <v>Error?</v>
      </c>
    </row>
    <row r="857" spans="1:4" x14ac:dyDescent="0.2">
      <c r="A857" s="5">
        <v>796</v>
      </c>
      <c r="B857" s="1832">
        <f>'Expenditures 15-22'!E62</f>
        <v>16404</v>
      </c>
      <c r="D857" s="2" t="str">
        <f t="shared" si="12"/>
        <v>Error?</v>
      </c>
    </row>
    <row r="858" spans="1:4" x14ac:dyDescent="0.2">
      <c r="A858" s="5">
        <v>797</v>
      </c>
      <c r="B858" s="1832">
        <f>'Expenditures 15-22'!E63</f>
        <v>4273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46397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303042</v>
      </c>
      <c r="C871" s="2" t="s">
        <v>569</v>
      </c>
      <c r="D871" s="2" t="str">
        <f t="shared" si="12"/>
        <v>Error?</v>
      </c>
    </row>
    <row r="872" spans="1:4" x14ac:dyDescent="0.2">
      <c r="A872" s="5">
        <v>811</v>
      </c>
      <c r="B872" s="1832">
        <f>'Expenditures 15-22'!E75</f>
        <v>23153</v>
      </c>
      <c r="D872" s="2" t="str">
        <f t="shared" si="12"/>
        <v>Error?</v>
      </c>
    </row>
    <row r="873" spans="1:4" x14ac:dyDescent="0.2">
      <c r="A873" s="5">
        <v>812</v>
      </c>
      <c r="B873" s="1832">
        <f>'Expenditures 15-22'!E114</f>
        <v>415695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342499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15994</v>
      </c>
      <c r="D891" s="2" t="str">
        <f t="shared" si="12"/>
        <v>Error?</v>
      </c>
    </row>
    <row r="892" spans="1:4" x14ac:dyDescent="0.2">
      <c r="A892" s="5">
        <v>831</v>
      </c>
      <c r="B892" s="1832">
        <f>'Expenditures 15-22'!F14</f>
        <v>22240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437604</v>
      </c>
      <c r="C894" s="2" t="s">
        <v>569</v>
      </c>
      <c r="D894" s="2" t="str">
        <f t="shared" si="12"/>
        <v>Error?</v>
      </c>
    </row>
    <row r="895" spans="1:4" x14ac:dyDescent="0.2">
      <c r="A895" s="5">
        <v>834</v>
      </c>
      <c r="B895" s="1832">
        <f>'Expenditures 15-22'!F36</f>
        <v>557</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2754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45681</v>
      </c>
      <c r="D900" s="2" t="str">
        <f t="shared" si="13"/>
        <v>Error?</v>
      </c>
    </row>
    <row r="901" spans="1:4" x14ac:dyDescent="0.2">
      <c r="A901" s="5">
        <v>840</v>
      </c>
      <c r="B901" s="1832">
        <f>'Expenditures 15-22'!F42</f>
        <v>48992</v>
      </c>
      <c r="C901" s="2" t="s">
        <v>569</v>
      </c>
      <c r="D901" s="2" t="str">
        <f t="shared" si="13"/>
        <v>Error?</v>
      </c>
    </row>
    <row r="902" spans="1:4" x14ac:dyDescent="0.2">
      <c r="A902" s="5">
        <v>841</v>
      </c>
      <c r="B902" s="1832">
        <f>'Expenditures 15-22'!F44</f>
        <v>832</v>
      </c>
      <c r="D902" s="2" t="str">
        <f t="shared" si="13"/>
        <v>Error?</v>
      </c>
    </row>
    <row r="903" spans="1:4" x14ac:dyDescent="0.2">
      <c r="A903" s="5">
        <v>842</v>
      </c>
      <c r="B903" s="1832">
        <f>'Expenditures 15-22'!F45</f>
        <v>3832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4664</v>
      </c>
      <c r="C905" s="2" t="s">
        <v>569</v>
      </c>
      <c r="D905" s="2" t="str">
        <f t="shared" si="13"/>
        <v>Error?</v>
      </c>
    </row>
    <row r="906" spans="1:4" x14ac:dyDescent="0.2">
      <c r="A906" s="5">
        <v>845</v>
      </c>
      <c r="B906" s="1832">
        <f>'Expenditures 15-22'!F49</f>
        <v>2163</v>
      </c>
      <c r="D906" s="2" t="str">
        <f t="shared" si="13"/>
        <v>Error?</v>
      </c>
    </row>
    <row r="907" spans="1:4" x14ac:dyDescent="0.2">
      <c r="A907" s="5">
        <v>846</v>
      </c>
      <c r="B907" s="1832">
        <f>'Expenditures 15-22'!F50</f>
        <v>2367</v>
      </c>
      <c r="D907" s="2" t="str">
        <f t="shared" si="13"/>
        <v>Error?</v>
      </c>
    </row>
    <row r="908" spans="1:4" x14ac:dyDescent="0.2">
      <c r="A908" s="5">
        <v>847</v>
      </c>
      <c r="B908" s="1832">
        <f>'Expenditures 15-22'!F53</f>
        <v>5186</v>
      </c>
      <c r="C908" s="2" t="s">
        <v>569</v>
      </c>
      <c r="D908" s="2" t="str">
        <f t="shared" si="13"/>
        <v>Error?</v>
      </c>
    </row>
    <row r="909" spans="1:4" x14ac:dyDescent="0.2">
      <c r="A909" s="5">
        <v>848</v>
      </c>
      <c r="B909" s="1832">
        <f>'Expenditures 15-22'!F55</f>
        <v>5713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5713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7125</v>
      </c>
      <c r="D913" s="2" t="str">
        <f t="shared" si="13"/>
        <v>Error?</v>
      </c>
    </row>
    <row r="914" spans="1:4" x14ac:dyDescent="0.2">
      <c r="A914" s="5">
        <v>853</v>
      </c>
      <c r="B914" s="1832">
        <f>'Expenditures 15-22'!F61</f>
        <v>32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311487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318644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383199</v>
      </c>
      <c r="C929" s="2" t="s">
        <v>569</v>
      </c>
      <c r="D929" s="2" t="str">
        <f t="shared" si="13"/>
        <v>Error?</v>
      </c>
    </row>
    <row r="930" spans="1:4" x14ac:dyDescent="0.2">
      <c r="A930" s="5">
        <v>869</v>
      </c>
      <c r="B930" s="1832">
        <f>'Expenditures 15-22'!F75</f>
        <v>34425</v>
      </c>
      <c r="D930" s="2" t="str">
        <f t="shared" si="13"/>
        <v>Error?</v>
      </c>
    </row>
    <row r="931" spans="1:4" x14ac:dyDescent="0.2">
      <c r="A931" s="5">
        <v>870</v>
      </c>
      <c r="B931" s="1832">
        <f>'Expenditures 15-22'!F114</f>
        <v>855228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5920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5920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5920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5920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3370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1594</v>
      </c>
      <c r="D1007" s="2" t="str">
        <f t="shared" si="14"/>
        <v>Error?</v>
      </c>
    </row>
    <row r="1008" spans="1:4" x14ac:dyDescent="0.2">
      <c r="A1008" s="5">
        <v>947</v>
      </c>
      <c r="B1008" s="1832">
        <f>'Expenditures 15-22'!H14</f>
        <v>8354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248218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146</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146</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27508</v>
      </c>
      <c r="D1022" s="2" t="str">
        <f t="shared" si="14"/>
        <v>Error?</v>
      </c>
    </row>
    <row r="1023" spans="1:4" x14ac:dyDescent="0.2">
      <c r="A1023" s="5">
        <v>962</v>
      </c>
      <c r="B1023" s="1832">
        <f>'Expenditures 15-22'!H50</f>
        <v>2028</v>
      </c>
      <c r="D1023" s="2" t="str">
        <f t="shared" ref="D1023:D1086" si="15">IF(ISBLANK(B1023),"OK",IF(A1023-B1023=0,"OK","Error?"))</f>
        <v>Error?</v>
      </c>
    </row>
    <row r="1024" spans="1:4" x14ac:dyDescent="0.2">
      <c r="A1024" s="5">
        <v>963</v>
      </c>
      <c r="B1024" s="1832">
        <f>'Expenditures 15-22'!H53</f>
        <v>29536</v>
      </c>
      <c r="C1024" s="2" t="s">
        <v>569</v>
      </c>
      <c r="D1024" s="2" t="str">
        <f t="shared" si="15"/>
        <v>Error?</v>
      </c>
    </row>
    <row r="1025" spans="1:4" x14ac:dyDescent="0.2">
      <c r="A1025" s="5">
        <v>964</v>
      </c>
      <c r="B1025" s="1832">
        <f>'Expenditures 15-22'!H55</f>
        <v>2633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2633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340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13</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353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32668</v>
      </c>
      <c r="C1045" s="2" t="s">
        <v>569</v>
      </c>
      <c r="D1045" s="2" t="str">
        <f t="shared" si="15"/>
        <v>Error?</v>
      </c>
    </row>
    <row r="1046" spans="1:5" x14ac:dyDescent="0.2">
      <c r="A1046" s="5">
        <v>985</v>
      </c>
      <c r="B1046" s="1832">
        <f>'Expenditures 15-22'!H75</f>
        <v>40</v>
      </c>
      <c r="D1046" s="2" t="str">
        <f t="shared" si="15"/>
        <v>Error?</v>
      </c>
    </row>
    <row r="1047" spans="1:5" x14ac:dyDescent="0.2">
      <c r="A1047" s="5">
        <v>986</v>
      </c>
      <c r="B1047" s="1832">
        <f>'Expenditures 15-22'!H102</f>
        <v>822373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1103299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6517371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387879</v>
      </c>
      <c r="C1105" s="2" t="s">
        <v>569</v>
      </c>
      <c r="D1105" s="2" t="str">
        <f t="shared" si="16"/>
        <v>Error?</v>
      </c>
    </row>
    <row r="1106" spans="1:4" x14ac:dyDescent="0.2">
      <c r="A1106" s="5">
        <v>1045</v>
      </c>
      <c r="B1106" s="1832">
        <f>'Expenditures 15-22'!K14</f>
        <v>223055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9849737</v>
      </c>
      <c r="C1108" s="2" t="s">
        <v>569</v>
      </c>
      <c r="D1108" s="2" t="str">
        <f t="shared" si="16"/>
        <v>Error?</v>
      </c>
    </row>
    <row r="1109" spans="1:4" x14ac:dyDescent="0.2">
      <c r="A1109" s="5">
        <v>1048</v>
      </c>
      <c r="B1109" s="1832">
        <f>'Expenditures 15-22'!K36</f>
        <v>557</v>
      </c>
      <c r="C1109" s="2" t="s">
        <v>569</v>
      </c>
      <c r="D1109" s="2" t="str">
        <f t="shared" si="16"/>
        <v>Error?</v>
      </c>
    </row>
    <row r="1110" spans="1:4" x14ac:dyDescent="0.2">
      <c r="A1110" s="5">
        <v>1049</v>
      </c>
      <c r="B1110" s="1832">
        <f>'Expenditures 15-22'!K37</f>
        <v>264785</v>
      </c>
      <c r="C1110" s="2" t="s">
        <v>569</v>
      </c>
      <c r="D1110" s="2" t="str">
        <f t="shared" si="16"/>
        <v>Error?</v>
      </c>
    </row>
    <row r="1111" spans="1:4" x14ac:dyDescent="0.2">
      <c r="A1111" s="5">
        <v>1050</v>
      </c>
      <c r="B1111" s="1832">
        <f>'Expenditures 15-22'!K38</f>
        <v>92484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163892</v>
      </c>
      <c r="C1114" s="2" t="s">
        <v>569</v>
      </c>
      <c r="D1114" s="2" t="str">
        <f t="shared" si="16"/>
        <v>Error?</v>
      </c>
    </row>
    <row r="1115" spans="1:4" x14ac:dyDescent="0.2">
      <c r="A1115" s="5">
        <v>1054</v>
      </c>
      <c r="B1115" s="1832">
        <f>'Expenditures 15-22'!K42</f>
        <v>521718</v>
      </c>
      <c r="C1115" s="2" t="s">
        <v>569</v>
      </c>
      <c r="D1115" s="2" t="str">
        <f t="shared" si="16"/>
        <v>Error?</v>
      </c>
    </row>
    <row r="1116" spans="1:4" x14ac:dyDescent="0.2">
      <c r="A1116" s="5">
        <v>1055</v>
      </c>
      <c r="B1116" s="1832">
        <f>'Expenditures 15-22'!K44</f>
        <v>201274</v>
      </c>
      <c r="C1116" s="2" t="s">
        <v>569</v>
      </c>
      <c r="D1116" s="2" t="str">
        <f t="shared" si="16"/>
        <v>Error?</v>
      </c>
    </row>
    <row r="1117" spans="1:4" x14ac:dyDescent="0.2">
      <c r="A1117" s="5">
        <v>1056</v>
      </c>
      <c r="B1117" s="1832">
        <f>'Expenditures 15-22'!K45</f>
        <v>95789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297063</v>
      </c>
      <c r="C1119" s="2" t="s">
        <v>569</v>
      </c>
      <c r="D1119" s="2" t="str">
        <f t="shared" si="16"/>
        <v>Error?</v>
      </c>
    </row>
    <row r="1120" spans="1:4" x14ac:dyDescent="0.2">
      <c r="A1120" s="5">
        <v>1059</v>
      </c>
      <c r="B1120" s="1832">
        <f>'Expenditures 15-22'!K49</f>
        <v>130841</v>
      </c>
      <c r="C1120" s="2" t="s">
        <v>569</v>
      </c>
      <c r="D1120" s="2" t="str">
        <f t="shared" si="16"/>
        <v>Error?</v>
      </c>
    </row>
    <row r="1121" spans="1:4" x14ac:dyDescent="0.2">
      <c r="A1121" s="5">
        <v>1060</v>
      </c>
      <c r="B1121" s="1832">
        <f>'Expenditures 15-22'!K50</f>
        <v>182914</v>
      </c>
      <c r="C1121" s="2" t="s">
        <v>569</v>
      </c>
      <c r="D1121" s="2" t="str">
        <f t="shared" si="16"/>
        <v>Error?</v>
      </c>
    </row>
    <row r="1122" spans="1:4" x14ac:dyDescent="0.2">
      <c r="A1122" s="5">
        <v>1061</v>
      </c>
      <c r="B1122" s="1832">
        <f>'Expenditures 15-22'!K53</f>
        <v>356131</v>
      </c>
      <c r="C1122" s="2" t="s">
        <v>569</v>
      </c>
      <c r="D1122" s="2" t="str">
        <f t="shared" si="16"/>
        <v>Error?</v>
      </c>
    </row>
    <row r="1123" spans="1:4" x14ac:dyDescent="0.2">
      <c r="A1123" s="5">
        <v>1062</v>
      </c>
      <c r="B1123" s="1832">
        <f>'Expenditures 15-22'!K55</f>
        <v>855855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855855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160534</v>
      </c>
      <c r="C1127" s="2" t="s">
        <v>569</v>
      </c>
      <c r="D1127" s="2" t="str">
        <f t="shared" si="16"/>
        <v>Error?</v>
      </c>
    </row>
    <row r="1128" spans="1:4" x14ac:dyDescent="0.2">
      <c r="A1128" s="5">
        <v>1067</v>
      </c>
      <c r="B1128" s="1832">
        <f>'Expenditures 15-22'!K61</f>
        <v>13788</v>
      </c>
      <c r="C1128" s="2" t="s">
        <v>569</v>
      </c>
      <c r="D1128" s="2" t="str">
        <f t="shared" si="16"/>
        <v>Error?</v>
      </c>
    </row>
    <row r="1129" spans="1:4" x14ac:dyDescent="0.2">
      <c r="A1129" s="5">
        <v>1068</v>
      </c>
      <c r="B1129" s="1832">
        <f>'Expenditures 15-22'!K62</f>
        <v>74925</v>
      </c>
      <c r="C1129" s="2" t="s">
        <v>569</v>
      </c>
      <c r="D1129" s="2" t="str">
        <f t="shared" si="16"/>
        <v>Error?</v>
      </c>
    </row>
    <row r="1130" spans="1:4" x14ac:dyDescent="0.2">
      <c r="A1130" s="5">
        <v>1069</v>
      </c>
      <c r="B1130" s="1832">
        <f>'Expenditures 15-22'!K63</f>
        <v>693161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942408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2973175</v>
      </c>
      <c r="C1143" s="2" t="s">
        <v>569</v>
      </c>
      <c r="D1143" s="2" t="str">
        <f t="shared" si="16"/>
        <v>Error?</v>
      </c>
    </row>
    <row r="1144" spans="1:4" x14ac:dyDescent="0.2">
      <c r="A1144" s="5">
        <v>1083</v>
      </c>
      <c r="B1144" s="1832">
        <f>'Expenditures 15-22'!K75</f>
        <v>720148</v>
      </c>
      <c r="C1144" s="2" t="s">
        <v>569</v>
      </c>
      <c r="D1144" s="2" t="str">
        <f t="shared" si="16"/>
        <v>Error?</v>
      </c>
    </row>
    <row r="1145" spans="1:4" x14ac:dyDescent="0.2">
      <c r="A1145" s="5">
        <v>1084</v>
      </c>
      <c r="B1145" s="1832">
        <f>'Expenditures 15-22'!K102</f>
        <v>823073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14366133</v>
      </c>
      <c r="C1152" s="2" t="s">
        <v>569</v>
      </c>
      <c r="D1152" s="2" t="str">
        <f t="shared" si="17"/>
        <v>Error?</v>
      </c>
    </row>
    <row r="1153" spans="1:4" x14ac:dyDescent="0.2">
      <c r="A1153" s="5">
        <v>1092</v>
      </c>
      <c r="B1153" s="1832">
        <f>'Expenditures 15-22'!K115</f>
        <v>-450418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673024</v>
      </c>
      <c r="D1221" s="2" t="str">
        <f t="shared" si="18"/>
        <v>Error?</v>
      </c>
    </row>
    <row r="1222" spans="1:4" x14ac:dyDescent="0.2">
      <c r="A1222" s="10">
        <v>1161</v>
      </c>
      <c r="B1222" s="1832"/>
      <c r="D1222" s="2" t="str">
        <f t="shared" si="18"/>
        <v>OK</v>
      </c>
    </row>
    <row r="1223" spans="1:4" x14ac:dyDescent="0.2">
      <c r="A1223" s="5">
        <v>1162</v>
      </c>
      <c r="B1223" s="1832">
        <f>'Expenditures 15-22'!C127</f>
        <v>673024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673024</v>
      </c>
      <c r="C1225" s="2" t="s">
        <v>569</v>
      </c>
      <c r="D1225" s="2" t="str">
        <f t="shared" si="18"/>
        <v>Error?</v>
      </c>
    </row>
    <row r="1226" spans="1:4" x14ac:dyDescent="0.2">
      <c r="A1226" s="5">
        <v>1165</v>
      </c>
      <c r="B1226" s="1832">
        <f>'Expenditures 15-22'!C151</f>
        <v>673024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113545</v>
      </c>
      <c r="D1229" s="2" t="str">
        <f t="shared" si="18"/>
        <v>Error?</v>
      </c>
    </row>
    <row r="1230" spans="1:4" x14ac:dyDescent="0.2">
      <c r="A1230" s="10">
        <v>1169</v>
      </c>
      <c r="B1230" s="1832"/>
      <c r="D1230" s="2" t="str">
        <f t="shared" si="18"/>
        <v>OK</v>
      </c>
    </row>
    <row r="1231" spans="1:4" x14ac:dyDescent="0.2">
      <c r="A1231" s="5">
        <v>1170</v>
      </c>
      <c r="B1231" s="1832">
        <f>'Expenditures 15-22'!D127</f>
        <v>113545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113545</v>
      </c>
      <c r="C1233" s="2" t="s">
        <v>569</v>
      </c>
      <c r="D1233" s="2" t="str">
        <f t="shared" si="18"/>
        <v>Error?</v>
      </c>
    </row>
    <row r="1234" spans="1:4" x14ac:dyDescent="0.2">
      <c r="A1234" s="5">
        <v>1173</v>
      </c>
      <c r="B1234" s="1832">
        <f>'Expenditures 15-22'!D151</f>
        <v>113545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68723</v>
      </c>
      <c r="D1237" s="2" t="str">
        <f t="shared" si="18"/>
        <v>Error?</v>
      </c>
    </row>
    <row r="1238" spans="1:4" x14ac:dyDescent="0.2">
      <c r="A1238" s="10">
        <v>1177</v>
      </c>
      <c r="B1238" s="1832"/>
      <c r="D1238" s="2" t="str">
        <f t="shared" si="18"/>
        <v>OK</v>
      </c>
    </row>
    <row r="1239" spans="1:4" x14ac:dyDescent="0.2">
      <c r="A1239" s="5">
        <v>1178</v>
      </c>
      <c r="B1239" s="1832">
        <f>'Expenditures 15-22'!E127</f>
        <v>68723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68723</v>
      </c>
      <c r="C1241" s="2" t="s">
        <v>569</v>
      </c>
      <c r="D1241" s="2" t="str">
        <f t="shared" si="18"/>
        <v>Error?</v>
      </c>
    </row>
    <row r="1242" spans="1:4" x14ac:dyDescent="0.2">
      <c r="A1242" s="5">
        <v>1181</v>
      </c>
      <c r="B1242" s="1832">
        <f>'Expenditures 15-22'!E151</f>
        <v>68723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352383</v>
      </c>
      <c r="D1245" s="2" t="str">
        <f t="shared" si="18"/>
        <v>Error?</v>
      </c>
    </row>
    <row r="1246" spans="1:4" x14ac:dyDescent="0.2">
      <c r="A1246" s="10">
        <v>1185</v>
      </c>
      <c r="B1246" s="1832"/>
      <c r="D1246" s="2" t="str">
        <f t="shared" si="18"/>
        <v>OK</v>
      </c>
    </row>
    <row r="1247" spans="1:4" x14ac:dyDescent="0.2">
      <c r="A1247" s="5">
        <v>1186</v>
      </c>
      <c r="B1247" s="1832">
        <f>'Expenditures 15-22'!F127</f>
        <v>352383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352383</v>
      </c>
      <c r="C1249" s="2" t="s">
        <v>569</v>
      </c>
      <c r="D1249" s="2" t="str">
        <f t="shared" si="18"/>
        <v>Error?</v>
      </c>
    </row>
    <row r="1250" spans="1:4" x14ac:dyDescent="0.2">
      <c r="A1250" s="5">
        <v>1189</v>
      </c>
      <c r="B1250" s="1832">
        <f>'Expenditures 15-22'!F151</f>
        <v>352383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1207675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1207675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1207675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1207675</v>
      </c>
      <c r="C1288" s="2" t="s">
        <v>569</v>
      </c>
      <c r="D1288" s="2" t="str">
        <f t="shared" si="19"/>
        <v>Error?</v>
      </c>
    </row>
    <row r="1289" spans="1:4" x14ac:dyDescent="0.2">
      <c r="A1289" s="5">
        <v>1228</v>
      </c>
      <c r="B1289" s="1832">
        <f>'Expenditures 15-22'!K152</f>
        <v>-4903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160099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1325000</v>
      </c>
      <c r="D1315" s="2" t="str">
        <f t="shared" si="19"/>
        <v>Error?</v>
      </c>
    </row>
    <row r="1316" spans="1:4" x14ac:dyDescent="0.2">
      <c r="A1316" s="5">
        <v>1255</v>
      </c>
      <c r="B1316" s="1832">
        <f>'Expenditures 15-22'!H171</f>
        <v>91728</v>
      </c>
      <c r="D1316" s="2" t="str">
        <f t="shared" si="19"/>
        <v>Error?</v>
      </c>
    </row>
    <row r="1317" spans="1:4" x14ac:dyDescent="0.2">
      <c r="A1317" s="5">
        <v>1256</v>
      </c>
      <c r="B1317" s="1832">
        <f>'Expenditures 15-22'!H172</f>
        <v>1576827</v>
      </c>
      <c r="C1317" s="2" t="s">
        <v>569</v>
      </c>
      <c r="D1317" s="2" t="str">
        <f t="shared" si="19"/>
        <v>Error?</v>
      </c>
    </row>
    <row r="1318" spans="1:4" x14ac:dyDescent="0.2">
      <c r="A1318" s="5">
        <v>1257</v>
      </c>
      <c r="B1318" s="1832">
        <f>'Expenditures 15-22'!H174</f>
        <v>1576827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160099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1325000</v>
      </c>
      <c r="C1329" s="2" t="s">
        <v>569</v>
      </c>
      <c r="D1329" s="2" t="str">
        <f t="shared" si="19"/>
        <v>Error?</v>
      </c>
    </row>
    <row r="1330" spans="1:4" x14ac:dyDescent="0.2">
      <c r="A1330" s="5">
        <v>1269</v>
      </c>
      <c r="B1330" s="1832">
        <f>'Expenditures 15-22'!K171</f>
        <v>91728</v>
      </c>
      <c r="C1330" s="2" t="s">
        <v>569</v>
      </c>
      <c r="D1330" s="2" t="str">
        <f t="shared" si="19"/>
        <v>Error?</v>
      </c>
    </row>
    <row r="1331" spans="1:4" x14ac:dyDescent="0.2">
      <c r="A1331" s="5">
        <v>1270</v>
      </c>
      <c r="B1331" s="1832">
        <f>'Expenditures 15-22'!K172</f>
        <v>1576827</v>
      </c>
      <c r="C1331" s="2" t="s">
        <v>569</v>
      </c>
      <c r="D1331" s="2" t="str">
        <f t="shared" si="19"/>
        <v>Error?</v>
      </c>
    </row>
    <row r="1332" spans="1:4" x14ac:dyDescent="0.2">
      <c r="A1332" s="5">
        <v>1271</v>
      </c>
      <c r="B1332" s="1832">
        <f>'Expenditures 15-22'!K174</f>
        <v>1576827</v>
      </c>
      <c r="C1332" s="2" t="s">
        <v>569</v>
      </c>
      <c r="D1332" s="2" t="str">
        <f t="shared" si="19"/>
        <v>Error?</v>
      </c>
    </row>
    <row r="1333" spans="1:4" x14ac:dyDescent="0.2">
      <c r="A1333" s="5">
        <v>1272</v>
      </c>
      <c r="B1333" s="1832">
        <f>'Expenditures 15-22'!K175</f>
        <v>-86376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550146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550146</v>
      </c>
      <c r="C1339" s="2" t="s">
        <v>569</v>
      </c>
      <c r="D1339" s="2" t="str">
        <f t="shared" si="19"/>
        <v>Error?</v>
      </c>
    </row>
    <row r="1340" spans="1:4" x14ac:dyDescent="0.2">
      <c r="A1340" s="5">
        <v>1279</v>
      </c>
      <c r="B1340" s="1832">
        <f>'Expenditures 15-22'!C210</f>
        <v>550146</v>
      </c>
      <c r="C1340" s="2" t="s">
        <v>569</v>
      </c>
      <c r="D1340" s="2" t="str">
        <f t="shared" si="19"/>
        <v>Error?</v>
      </c>
    </row>
    <row r="1341" spans="1:4" x14ac:dyDescent="0.2">
      <c r="A1341" s="5">
        <v>1280</v>
      </c>
      <c r="B1341" s="1832">
        <f>'Expenditures 15-22'!D182</f>
        <v>11610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11610</v>
      </c>
      <c r="C1345" s="2" t="s">
        <v>569</v>
      </c>
      <c r="D1345" s="2" t="str">
        <f t="shared" si="20"/>
        <v>Error?</v>
      </c>
    </row>
    <row r="1346" spans="1:4" x14ac:dyDescent="0.2">
      <c r="A1346" s="5">
        <v>1285</v>
      </c>
      <c r="B1346" s="1832">
        <f>'Expenditures 15-22'!D210</f>
        <v>11610</v>
      </c>
      <c r="C1346" s="2" t="s">
        <v>569</v>
      </c>
      <c r="D1346" s="2" t="str">
        <f t="shared" si="20"/>
        <v>Error?</v>
      </c>
    </row>
    <row r="1347" spans="1:4" x14ac:dyDescent="0.2">
      <c r="A1347" s="5">
        <v>1286</v>
      </c>
      <c r="B1347" s="1832">
        <f>'Expenditures 15-22'!E182</f>
        <v>27622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27622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27622</v>
      </c>
      <c r="C1353" s="2" t="s">
        <v>569</v>
      </c>
      <c r="D1353" s="2" t="str">
        <f t="shared" si="20"/>
        <v>Error?</v>
      </c>
    </row>
    <row r="1354" spans="1:4" x14ac:dyDescent="0.2">
      <c r="A1354" s="5">
        <v>1293</v>
      </c>
      <c r="B1354" s="1832">
        <f>'Expenditures 15-22'!F182</f>
        <v>148468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148468</v>
      </c>
      <c r="C1358" s="2" t="s">
        <v>569</v>
      </c>
      <c r="D1358" s="2" t="str">
        <f t="shared" si="20"/>
        <v>Error?</v>
      </c>
    </row>
    <row r="1359" spans="1:4" x14ac:dyDescent="0.2">
      <c r="A1359" s="5">
        <v>1298</v>
      </c>
      <c r="B1359" s="1832">
        <f>'Expenditures 15-22'!F210</f>
        <v>148468</v>
      </c>
      <c r="C1359" s="2" t="s">
        <v>569</v>
      </c>
      <c r="D1359" s="2" t="str">
        <f t="shared" si="20"/>
        <v>Error?</v>
      </c>
    </row>
    <row r="1360" spans="1:4" x14ac:dyDescent="0.2">
      <c r="A1360" s="5">
        <v>1299</v>
      </c>
      <c r="B1360" s="1832">
        <f>'Expenditures 15-22'!G182</f>
        <v>26500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26500</v>
      </c>
      <c r="C1364" s="2" t="s">
        <v>569</v>
      </c>
      <c r="D1364" s="2" t="str">
        <f t="shared" si="20"/>
        <v>Error?</v>
      </c>
    </row>
    <row r="1365" spans="1:4" x14ac:dyDescent="0.2">
      <c r="A1365" s="5">
        <v>1304</v>
      </c>
      <c r="B1365" s="1832">
        <f>'Expenditures 15-22'!G210</f>
        <v>26500</v>
      </c>
      <c r="C1365" s="2" t="s">
        <v>569</v>
      </c>
      <c r="D1365" s="2" t="str">
        <f t="shared" si="20"/>
        <v>Error?</v>
      </c>
    </row>
    <row r="1366" spans="1:4" x14ac:dyDescent="0.2">
      <c r="A1366" s="5">
        <v>1305</v>
      </c>
      <c r="B1366" s="1832">
        <f>'Expenditures 15-22'!H182</f>
        <v>2903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2903</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147766</v>
      </c>
      <c r="C1375" s="2" t="s">
        <v>569</v>
      </c>
      <c r="D1375" s="2" t="str">
        <f t="shared" si="20"/>
        <v>Error?</v>
      </c>
    </row>
    <row r="1376" spans="1:4" x14ac:dyDescent="0.2">
      <c r="A1376" s="5">
        <v>1315</v>
      </c>
      <c r="B1376" s="1832">
        <f>'Expenditures 15-22'!H210</f>
        <v>150669</v>
      </c>
      <c r="C1376" s="2" t="s">
        <v>569</v>
      </c>
      <c r="D1376" s="2" t="str">
        <f t="shared" si="20"/>
        <v>Error?</v>
      </c>
    </row>
    <row r="1377" spans="1:4" x14ac:dyDescent="0.2">
      <c r="A1377" s="5">
        <v>1316</v>
      </c>
      <c r="B1377" s="1832">
        <f>'Expenditures 15-22'!K182</f>
        <v>769780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769780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147766</v>
      </c>
      <c r="C1387" s="2" t="s">
        <v>569</v>
      </c>
      <c r="D1387" s="2" t="str">
        <f t="shared" si="20"/>
        <v>Error?</v>
      </c>
    </row>
    <row r="1388" spans="1:4" x14ac:dyDescent="0.2">
      <c r="A1388" s="5">
        <v>1327</v>
      </c>
      <c r="B1388" s="1832">
        <f>'Expenditures 15-22'!K210</f>
        <v>917546</v>
      </c>
      <c r="C1388" s="2" t="s">
        <v>569</v>
      </c>
      <c r="D1388" s="2" t="str">
        <f t="shared" si="20"/>
        <v>Error?</v>
      </c>
    </row>
    <row r="1389" spans="1:4" x14ac:dyDescent="0.2">
      <c r="A1389" s="5">
        <v>1328</v>
      </c>
      <c r="B1389" s="1832">
        <f>'Expenditures 15-22'!K211</f>
        <v>-60198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9808</v>
      </c>
      <c r="D1407" s="2" t="str">
        <f t="shared" ref="D1407:D1470" si="21">IF(ISBLANK(B1407),"OK",IF(A1407-B1407=0,"OK","Error?"))</f>
        <v>Error?</v>
      </c>
    </row>
    <row r="1408" spans="1:4" x14ac:dyDescent="0.2">
      <c r="A1408" s="5">
        <v>1347</v>
      </c>
      <c r="B1408" s="1832">
        <f>'Expenditures 15-22'!D223</f>
        <v>6614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291439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20115</v>
      </c>
      <c r="D1412" s="2" t="str">
        <f t="shared" si="21"/>
        <v>Error?</v>
      </c>
    </row>
    <row r="1413" spans="1:4" x14ac:dyDescent="0.2">
      <c r="A1413" s="5">
        <v>1352</v>
      </c>
      <c r="B1413" s="1832">
        <f>'Expenditures 15-22'!D234</f>
        <v>8558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19079</v>
      </c>
      <c r="D1416" s="2" t="str">
        <f t="shared" si="21"/>
        <v>Error?</v>
      </c>
    </row>
    <row r="1417" spans="1:4" x14ac:dyDescent="0.2">
      <c r="A1417" s="5">
        <v>1356</v>
      </c>
      <c r="B1417" s="1832">
        <f>'Expenditures 15-22'!D238</f>
        <v>47752</v>
      </c>
      <c r="C1417" s="2" t="s">
        <v>569</v>
      </c>
      <c r="D1417" s="2" t="str">
        <f t="shared" si="21"/>
        <v>Error?</v>
      </c>
    </row>
    <row r="1418" spans="1:4" x14ac:dyDescent="0.2">
      <c r="A1418" s="5">
        <v>1357</v>
      </c>
      <c r="B1418" s="1832">
        <f>'Expenditures 15-22'!D240</f>
        <v>2668</v>
      </c>
      <c r="D1418" s="2" t="str">
        <f t="shared" si="21"/>
        <v>Error?</v>
      </c>
    </row>
    <row r="1419" spans="1:4" x14ac:dyDescent="0.2">
      <c r="A1419" s="5">
        <v>1358</v>
      </c>
      <c r="B1419" s="1832">
        <f>'Expenditures 15-22'!D241</f>
        <v>1017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3685</v>
      </c>
      <c r="C1421" s="2" t="s">
        <v>569</v>
      </c>
      <c r="D1421" s="2" t="str">
        <f t="shared" si="21"/>
        <v>Error?</v>
      </c>
    </row>
    <row r="1422" spans="1:4" x14ac:dyDescent="0.2">
      <c r="A1422" s="5">
        <v>1361</v>
      </c>
      <c r="B1422" s="1832">
        <f>'Expenditures 15-22'!D245</f>
        <v>3551</v>
      </c>
      <c r="D1422" s="2" t="str">
        <f t="shared" si="21"/>
        <v>Error?</v>
      </c>
    </row>
    <row r="1423" spans="1:4" x14ac:dyDescent="0.2">
      <c r="A1423" s="5">
        <v>1362</v>
      </c>
      <c r="B1423" s="1832">
        <f>'Expenditures 15-22'!D246</f>
        <v>5276</v>
      </c>
      <c r="D1423" s="2" t="str">
        <f t="shared" si="21"/>
        <v>Error?</v>
      </c>
    </row>
    <row r="1424" spans="1:4" x14ac:dyDescent="0.2">
      <c r="A1424" s="5">
        <v>1363</v>
      </c>
      <c r="B1424" s="1832">
        <f>'Expenditures 15-22'!D257</f>
        <v>72707</v>
      </c>
      <c r="C1424" s="2" t="s">
        <v>569</v>
      </c>
      <c r="D1424" s="2" t="str">
        <f t="shared" si="21"/>
        <v>Error?</v>
      </c>
    </row>
    <row r="1425" spans="1:4" x14ac:dyDescent="0.2">
      <c r="A1425" s="5">
        <v>1364</v>
      </c>
      <c r="B1425" s="1832">
        <f>'Expenditures 15-22'!D259</f>
        <v>46082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46082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24848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127884</v>
      </c>
      <c r="D1431" s="2" t="str">
        <f t="shared" si="21"/>
        <v>Error?</v>
      </c>
    </row>
    <row r="1432" spans="1:4" x14ac:dyDescent="0.2">
      <c r="A1432" s="5">
        <v>1371</v>
      </c>
      <c r="B1432" s="1832">
        <f>'Expenditures 15-22'!D267</f>
        <v>111938</v>
      </c>
      <c r="D1432" s="2" t="str">
        <f t="shared" si="21"/>
        <v>Error?</v>
      </c>
    </row>
    <row r="1433" spans="1:4" x14ac:dyDescent="0.2">
      <c r="A1433" s="5">
        <v>1372</v>
      </c>
      <c r="B1433" s="1832">
        <f>'Expenditures 15-22'!D268</f>
        <v>69187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333857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504083</v>
      </c>
      <c r="C1446" s="2" t="s">
        <v>569</v>
      </c>
      <c r="D1446" s="2" t="str">
        <f t="shared" si="21"/>
        <v>Error?</v>
      </c>
    </row>
    <row r="1447" spans="1:4" x14ac:dyDescent="0.2">
      <c r="A1447" s="5">
        <v>1386</v>
      </c>
      <c r="B1447" s="1832">
        <f>'Expenditures 15-22'!D280</f>
        <v>100117</v>
      </c>
      <c r="D1447" s="2" t="str">
        <f t="shared" si="21"/>
        <v>Error?</v>
      </c>
    </row>
    <row r="1448" spans="1:4" x14ac:dyDescent="0.2">
      <c r="A1448" s="5">
        <v>1387</v>
      </c>
      <c r="B1448" s="1832">
        <f>'Expenditures 15-22'!D295</f>
        <v>895639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9808</v>
      </c>
      <c r="C1471" s="2" t="s">
        <v>569</v>
      </c>
      <c r="D1471" s="2" t="str">
        <f t="shared" ref="D1471:D1534" si="22">IF(ISBLANK(B1471),"OK",IF(A1471-B1471=0,"OK","Error?"))</f>
        <v>Error?</v>
      </c>
    </row>
    <row r="1472" spans="1:4" x14ac:dyDescent="0.2">
      <c r="A1472" s="5">
        <v>1411</v>
      </c>
      <c r="B1472" s="1832">
        <f>'Expenditures 15-22'!K223</f>
        <v>6614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291439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20115</v>
      </c>
      <c r="C1476" s="2" t="s">
        <v>569</v>
      </c>
      <c r="D1476" s="2" t="str">
        <f t="shared" si="22"/>
        <v>Error?</v>
      </c>
    </row>
    <row r="1477" spans="1:4" x14ac:dyDescent="0.2">
      <c r="A1477" s="5">
        <v>1416</v>
      </c>
      <c r="B1477" s="1832">
        <f>'Expenditures 15-22'!K234</f>
        <v>8558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19079</v>
      </c>
      <c r="C1480" s="2" t="s">
        <v>569</v>
      </c>
      <c r="D1480" s="2" t="str">
        <f t="shared" si="22"/>
        <v>Error?</v>
      </c>
    </row>
    <row r="1481" spans="1:4" x14ac:dyDescent="0.2">
      <c r="A1481" s="5">
        <v>1420</v>
      </c>
      <c r="B1481" s="1832">
        <f>'Expenditures 15-22'!K238</f>
        <v>47752</v>
      </c>
      <c r="C1481" s="2" t="s">
        <v>569</v>
      </c>
      <c r="D1481" s="2" t="str">
        <f t="shared" si="22"/>
        <v>Error?</v>
      </c>
    </row>
    <row r="1482" spans="1:4" x14ac:dyDescent="0.2">
      <c r="A1482" s="5">
        <v>1421</v>
      </c>
      <c r="B1482" s="1832">
        <f>'Expenditures 15-22'!K240</f>
        <v>2668</v>
      </c>
      <c r="C1482" s="2" t="s">
        <v>569</v>
      </c>
      <c r="D1482" s="2" t="str">
        <f t="shared" si="22"/>
        <v>Error?</v>
      </c>
    </row>
    <row r="1483" spans="1:4" x14ac:dyDescent="0.2">
      <c r="A1483" s="5">
        <v>1422</v>
      </c>
      <c r="B1483" s="1832">
        <f>'Expenditures 15-22'!K241</f>
        <v>1017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3685</v>
      </c>
      <c r="C1485" s="2" t="s">
        <v>569</v>
      </c>
      <c r="D1485" s="2" t="str">
        <f t="shared" si="22"/>
        <v>Error?</v>
      </c>
    </row>
    <row r="1486" spans="1:4" x14ac:dyDescent="0.2">
      <c r="A1486" s="5">
        <v>1425</v>
      </c>
      <c r="B1486" s="1832">
        <f>'Expenditures 15-22'!K245</f>
        <v>3551</v>
      </c>
      <c r="C1486" s="2" t="s">
        <v>569</v>
      </c>
      <c r="D1486" s="2" t="str">
        <f t="shared" si="22"/>
        <v>Error?</v>
      </c>
    </row>
    <row r="1487" spans="1:4" x14ac:dyDescent="0.2">
      <c r="A1487" s="5">
        <v>1426</v>
      </c>
      <c r="B1487" s="1832">
        <f>'Expenditures 15-22'!K246</f>
        <v>5276</v>
      </c>
      <c r="C1487" s="2" t="s">
        <v>569</v>
      </c>
      <c r="D1487" s="2" t="str">
        <f t="shared" si="22"/>
        <v>Error?</v>
      </c>
    </row>
    <row r="1488" spans="1:4" x14ac:dyDescent="0.2">
      <c r="A1488" s="5">
        <v>1427</v>
      </c>
      <c r="B1488" s="1832">
        <f>'Expenditures 15-22'!K257</f>
        <v>72707</v>
      </c>
      <c r="C1488" s="2" t="s">
        <v>569</v>
      </c>
      <c r="D1488" s="2" t="str">
        <f t="shared" si="22"/>
        <v>Error?</v>
      </c>
    </row>
    <row r="1489" spans="1:4" x14ac:dyDescent="0.2">
      <c r="A1489" s="5">
        <v>1428</v>
      </c>
      <c r="B1489" s="1832">
        <f>'Expenditures 15-22'!K259</f>
        <v>46082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46082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24848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127884</v>
      </c>
      <c r="C1495" s="2" t="s">
        <v>569</v>
      </c>
      <c r="D1495" s="2" t="str">
        <f t="shared" si="22"/>
        <v>Error?</v>
      </c>
    </row>
    <row r="1496" spans="1:4" x14ac:dyDescent="0.2">
      <c r="A1496" s="5">
        <v>1435</v>
      </c>
      <c r="B1496" s="1832">
        <f>'Expenditures 15-22'!K267</f>
        <v>111938</v>
      </c>
      <c r="C1496" s="2" t="s">
        <v>569</v>
      </c>
      <c r="D1496" s="2" t="str">
        <f t="shared" si="22"/>
        <v>Error?</v>
      </c>
    </row>
    <row r="1497" spans="1:4" x14ac:dyDescent="0.2">
      <c r="A1497" s="5">
        <v>1436</v>
      </c>
      <c r="B1497" s="1832">
        <f>'Expenditures 15-22'!K268</f>
        <v>69187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333857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504083</v>
      </c>
      <c r="C1510" s="2" t="s">
        <v>569</v>
      </c>
      <c r="D1510" s="2" t="str">
        <f t="shared" si="22"/>
        <v>Error?</v>
      </c>
    </row>
    <row r="1511" spans="1:4" x14ac:dyDescent="0.2">
      <c r="A1511" s="5">
        <v>1450</v>
      </c>
      <c r="B1511" s="1832">
        <f>'Expenditures 15-22'!K280</f>
        <v>100117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895639</v>
      </c>
      <c r="C1517" s="2" t="s">
        <v>569</v>
      </c>
      <c r="D1517" s="2" t="str">
        <f t="shared" si="22"/>
        <v>Error?</v>
      </c>
    </row>
    <row r="1518" spans="1:4" x14ac:dyDescent="0.2">
      <c r="A1518" s="5">
        <v>1457</v>
      </c>
      <c r="B1518" s="1832">
        <f>'Expenditures 15-22'!K296</f>
        <v>-27046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86100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86100</v>
      </c>
      <c r="C1535" s="2" t="s">
        <v>569</v>
      </c>
      <c r="D1535" s="2" t="str">
        <f t="shared" ref="D1535:D1598" si="23">IF(ISBLANK(B1535),"OK",IF(A1535-B1535=0,"OK","Error?"))</f>
        <v>Error?</v>
      </c>
    </row>
    <row r="1536" spans="1:4" x14ac:dyDescent="0.2">
      <c r="A1536" s="5">
        <v>1475</v>
      </c>
      <c r="B1536" s="1832">
        <f>'Expenditures 15-22'!E312</f>
        <v>86100</v>
      </c>
      <c r="C1536" s="2" t="s">
        <v>569</v>
      </c>
      <c r="D1536" s="2" t="str">
        <f t="shared" si="23"/>
        <v>Error?</v>
      </c>
    </row>
    <row r="1537" spans="1:4" x14ac:dyDescent="0.2">
      <c r="A1537" s="5">
        <v>1476</v>
      </c>
      <c r="B1537" s="1832">
        <f>'Expenditures 15-22'!F301</f>
        <v>70221</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70221</v>
      </c>
      <c r="C1541" s="2" t="s">
        <v>569</v>
      </c>
      <c r="D1541" s="2" t="str">
        <f t="shared" si="23"/>
        <v>Error?</v>
      </c>
    </row>
    <row r="1542" spans="1:4" x14ac:dyDescent="0.2">
      <c r="A1542" s="5">
        <v>1481</v>
      </c>
      <c r="B1542" s="1832">
        <f>'Expenditures 15-22'!F312</f>
        <v>70221</v>
      </c>
      <c r="C1542" s="2" t="s">
        <v>569</v>
      </c>
      <c r="D1542" s="2" t="str">
        <f t="shared" si="23"/>
        <v>Error?</v>
      </c>
    </row>
    <row r="1543" spans="1:4" x14ac:dyDescent="0.2">
      <c r="A1543" s="5">
        <v>1482</v>
      </c>
      <c r="B1543" s="1832">
        <f>'Expenditures 15-22'!G301</f>
        <v>358197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358197</v>
      </c>
      <c r="C1547" s="2" t="s">
        <v>569</v>
      </c>
      <c r="D1547" s="2" t="str">
        <f t="shared" si="23"/>
        <v>Error?</v>
      </c>
    </row>
    <row r="1548" spans="1:4" x14ac:dyDescent="0.2">
      <c r="A1548" s="5">
        <v>1487</v>
      </c>
      <c r="B1548" s="1832">
        <f>'Expenditures 15-22'!G312</f>
        <v>358197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820906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820906</v>
      </c>
      <c r="C1559" s="2" t="s">
        <v>569</v>
      </c>
      <c r="D1559" s="2" t="str">
        <f t="shared" si="23"/>
        <v>Error?</v>
      </c>
    </row>
    <row r="1560" spans="1:4" x14ac:dyDescent="0.2">
      <c r="A1560" s="5">
        <v>1499</v>
      </c>
      <c r="B1560" s="1832">
        <f>'Expenditures 15-22'!K312</f>
        <v>820906</v>
      </c>
      <c r="C1560" s="2" t="s">
        <v>569</v>
      </c>
      <c r="D1560" s="2" t="str">
        <f t="shared" si="23"/>
        <v>Error?</v>
      </c>
    </row>
    <row r="1561" spans="1:4" x14ac:dyDescent="0.2">
      <c r="A1561" s="5">
        <v>1500</v>
      </c>
      <c r="B1561" s="1832">
        <f>'Expenditures 15-22'!K313</f>
        <v>256563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1768904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1266913</v>
      </c>
      <c r="C1630" s="2" t="s">
        <v>569</v>
      </c>
      <c r="D1630" s="2" t="str">
        <f t="shared" si="24"/>
        <v>Error?</v>
      </c>
    </row>
    <row r="1631" spans="1:4" x14ac:dyDescent="0.2">
      <c r="A1631" s="5">
        <v>1570</v>
      </c>
      <c r="B1631" s="1832">
        <f>'Acct Summary 7-8'!D79</f>
        <v>7997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3094</v>
      </c>
      <c r="C1644" s="2" t="s">
        <v>569</v>
      </c>
      <c r="D1644" s="2" t="str">
        <f t="shared" si="24"/>
        <v>Error?</v>
      </c>
    </row>
    <row r="1645" spans="1:4" x14ac:dyDescent="0.2">
      <c r="A1645" s="5">
        <v>1584</v>
      </c>
      <c r="B1645" s="1832">
        <f>'Acct Summary 7-8'!E79</f>
        <v>76540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78692</v>
      </c>
      <c r="C1658" s="2" t="s">
        <v>569</v>
      </c>
      <c r="D1658" s="2" t="str">
        <f t="shared" si="24"/>
        <v>Error?</v>
      </c>
    </row>
    <row r="1659" spans="1:4" x14ac:dyDescent="0.2">
      <c r="A1659" s="5">
        <v>1598</v>
      </c>
      <c r="B1659" s="1832">
        <f>'Acct Summary 7-8'!F79</f>
        <v>304632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244434</v>
      </c>
      <c r="C1672" s="2" t="s">
        <v>569</v>
      </c>
      <c r="D1672" s="2" t="str">
        <f t="shared" si="25"/>
        <v>Error?</v>
      </c>
    </row>
    <row r="1673" spans="1:4" x14ac:dyDescent="0.2">
      <c r="A1673" s="5">
        <v>1612</v>
      </c>
      <c r="B1673" s="1832">
        <f>'Acct Summary 7-8'!G79</f>
        <v>578920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551874</v>
      </c>
      <c r="C1686" s="2" t="s">
        <v>569</v>
      </c>
      <c r="D1686" s="2" t="str">
        <f t="shared" si="25"/>
        <v>Error?</v>
      </c>
    </row>
    <row r="1687" spans="1:4" x14ac:dyDescent="0.2">
      <c r="A1687" s="5">
        <v>1626</v>
      </c>
      <c r="B1687" s="1832">
        <f>'Acct Summary 7-8'!H79</f>
        <v>976844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1233407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3869576</v>
      </c>
      <c r="C1744" s="2" t="s">
        <v>569</v>
      </c>
      <c r="D1744" s="2" t="str">
        <f t="shared" si="26"/>
        <v>Error?</v>
      </c>
    </row>
    <row r="1745" spans="1:5" x14ac:dyDescent="0.2">
      <c r="A1745" s="5">
        <v>1684</v>
      </c>
      <c r="B1745" s="1832">
        <f>'Tax Sched 23'!B5</f>
        <v>799749</v>
      </c>
      <c r="C1745" s="2" t="s">
        <v>569</v>
      </c>
      <c r="D1745" s="2" t="str">
        <f t="shared" si="26"/>
        <v>Error?</v>
      </c>
    </row>
    <row r="1746" spans="1:5" x14ac:dyDescent="0.2">
      <c r="A1746" s="5">
        <v>1685</v>
      </c>
      <c r="B1746" s="1832">
        <f>'Tax Sched 23'!B6</f>
        <v>1487572</v>
      </c>
      <c r="C1746" s="2" t="s">
        <v>569</v>
      </c>
      <c r="D1746" s="2" t="str">
        <f t="shared" si="26"/>
        <v>Error?</v>
      </c>
    </row>
    <row r="1747" spans="1:5" x14ac:dyDescent="0.2">
      <c r="A1747" s="5">
        <v>1686</v>
      </c>
      <c r="B1747" s="1832">
        <f>'Tax Sched 23'!B7</f>
        <v>319911</v>
      </c>
      <c r="C1747" s="2" t="s">
        <v>569</v>
      </c>
      <c r="D1747" s="2" t="str">
        <f t="shared" si="26"/>
        <v>Error?</v>
      </c>
    </row>
    <row r="1748" spans="1:5" x14ac:dyDescent="0.2">
      <c r="A1748" s="5">
        <v>1687</v>
      </c>
      <c r="B1748" s="1832">
        <f>'Tax Sched 23'!B8</f>
        <v>450250</v>
      </c>
      <c r="C1748" s="2" t="s">
        <v>569</v>
      </c>
      <c r="D1748" s="2" t="str">
        <f t="shared" si="26"/>
        <v>Error?</v>
      </c>
    </row>
    <row r="1749" spans="1:5" x14ac:dyDescent="0.2">
      <c r="A1749" s="5">
        <v>1688</v>
      </c>
      <c r="B1749" s="1832">
        <f>'Tax Sched 23'!B10</f>
        <v>79992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774710</v>
      </c>
      <c r="C1752" s="2" t="s">
        <v>569</v>
      </c>
      <c r="D1752" s="2" t="str">
        <f t="shared" si="26"/>
        <v>Error?</v>
      </c>
    </row>
    <row r="1753" spans="1:5" x14ac:dyDescent="0.2">
      <c r="A1753" s="5">
        <v>1692</v>
      </c>
      <c r="B1753" s="1832">
        <f>'Tax Sched 23'!B12</f>
        <v>79992</v>
      </c>
      <c r="C1753" s="2" t="s">
        <v>569</v>
      </c>
      <c r="D1753" s="2" t="str">
        <f t="shared" si="26"/>
        <v>Error?</v>
      </c>
    </row>
    <row r="1754" spans="1:5" x14ac:dyDescent="0.2">
      <c r="A1754" s="5">
        <v>1693</v>
      </c>
      <c r="B1754" s="1832">
        <f>'Tax Sched 23'!B14</f>
        <v>63976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8377095</v>
      </c>
      <c r="C1759" s="2" t="s">
        <v>569</v>
      </c>
      <c r="D1759" s="2" t="str">
        <f t="shared" si="26"/>
        <v>Error?</v>
      </c>
    </row>
    <row r="1760" spans="1:5" x14ac:dyDescent="0.2">
      <c r="A1760" s="5">
        <v>1699</v>
      </c>
      <c r="B1760" s="1832">
        <f>'Tax Sched 23'!D4</f>
        <v>3869576</v>
      </c>
      <c r="C1760" s="2" t="s">
        <v>569</v>
      </c>
      <c r="D1760" s="2" t="str">
        <f t="shared" si="26"/>
        <v>Error?</v>
      </c>
    </row>
    <row r="1761" spans="1:7" x14ac:dyDescent="0.2">
      <c r="A1761" s="5">
        <v>1700</v>
      </c>
      <c r="B1761" s="1832">
        <f>'Tax Sched 23'!D5</f>
        <v>799749</v>
      </c>
      <c r="C1761" s="2" t="s">
        <v>569</v>
      </c>
      <c r="D1761" s="2" t="str">
        <f t="shared" si="26"/>
        <v>Error?</v>
      </c>
    </row>
    <row r="1762" spans="1:7" s="8" customFormat="1" x14ac:dyDescent="0.2">
      <c r="A1762" s="5">
        <v>1701</v>
      </c>
      <c r="B1762" s="1832">
        <f>'Tax Sched 23'!D6</f>
        <v>1487572</v>
      </c>
      <c r="C1762" s="2" t="s">
        <v>569</v>
      </c>
      <c r="D1762" s="2" t="str">
        <f t="shared" si="26"/>
        <v>Error?</v>
      </c>
      <c r="E1762" s="9"/>
      <c r="G1762"/>
    </row>
    <row r="1763" spans="1:7" x14ac:dyDescent="0.2">
      <c r="A1763" s="5">
        <v>1702</v>
      </c>
      <c r="B1763" s="1832">
        <f>'Tax Sched 23'!D7</f>
        <v>319911</v>
      </c>
      <c r="C1763" s="2" t="s">
        <v>569</v>
      </c>
      <c r="D1763" s="2" t="str">
        <f t="shared" si="26"/>
        <v>Error?</v>
      </c>
    </row>
    <row r="1764" spans="1:7" x14ac:dyDescent="0.2">
      <c r="A1764" s="5">
        <v>1703</v>
      </c>
      <c r="B1764" s="1832">
        <f>'Tax Sched 23'!D8</f>
        <v>450250</v>
      </c>
      <c r="C1764" s="2" t="s">
        <v>569</v>
      </c>
      <c r="D1764" s="2" t="str">
        <f t="shared" si="26"/>
        <v>Error?</v>
      </c>
    </row>
    <row r="1765" spans="1:7" x14ac:dyDescent="0.2">
      <c r="A1765" s="5">
        <v>1704</v>
      </c>
      <c r="B1765" s="1832">
        <f>'Tax Sched 23'!D10</f>
        <v>79992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774710</v>
      </c>
      <c r="C1768" s="2" t="s">
        <v>569</v>
      </c>
      <c r="D1768" s="2" t="str">
        <f t="shared" si="26"/>
        <v>Error?</v>
      </c>
    </row>
    <row r="1769" spans="1:7" x14ac:dyDescent="0.2">
      <c r="A1769" s="5">
        <v>1708</v>
      </c>
      <c r="B1769" s="1832">
        <f>'Tax Sched 23'!D12</f>
        <v>79992</v>
      </c>
      <c r="C1769" s="2" t="s">
        <v>569</v>
      </c>
      <c r="D1769" s="2" t="str">
        <f t="shared" si="26"/>
        <v>Error?</v>
      </c>
    </row>
    <row r="1770" spans="1:7" x14ac:dyDescent="0.2">
      <c r="A1770" s="5">
        <v>1709</v>
      </c>
      <c r="B1770" s="1832">
        <f>'Tax Sched 23'!D14</f>
        <v>63976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8377095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4101594</v>
      </c>
      <c r="C1792" s="2" t="s">
        <v>569</v>
      </c>
      <c r="D1792" s="2" t="str">
        <f t="shared" si="27"/>
        <v>Error?</v>
      </c>
    </row>
    <row r="1793" spans="1:4" x14ac:dyDescent="0.2">
      <c r="A1793" s="5">
        <v>1732</v>
      </c>
      <c r="B1793" s="1832">
        <f>'Tax Sched 23'!F5</f>
        <v>854506</v>
      </c>
      <c r="C1793" s="2" t="s">
        <v>569</v>
      </c>
      <c r="D1793" s="2" t="str">
        <f t="shared" si="27"/>
        <v>Error?</v>
      </c>
    </row>
    <row r="1794" spans="1:4" x14ac:dyDescent="0.2">
      <c r="A1794" s="5">
        <v>1733</v>
      </c>
      <c r="B1794" s="1832">
        <f>'Tax Sched 23'!F6</f>
        <v>1490381</v>
      </c>
      <c r="C1794" s="2" t="s">
        <v>569</v>
      </c>
      <c r="D1794" s="2" t="str">
        <f t="shared" si="27"/>
        <v>Error?</v>
      </c>
    </row>
    <row r="1795" spans="1:4" x14ac:dyDescent="0.2">
      <c r="A1795" s="5">
        <v>1734</v>
      </c>
      <c r="B1795" s="1832">
        <f>'Tax Sched 23'!F7</f>
        <v>341803</v>
      </c>
      <c r="C1795" s="2" t="s">
        <v>569</v>
      </c>
      <c r="D1795" s="2" t="str">
        <f t="shared" si="27"/>
        <v>Error?</v>
      </c>
    </row>
    <row r="1796" spans="1:4" x14ac:dyDescent="0.2">
      <c r="A1796" s="5">
        <v>1735</v>
      </c>
      <c r="B1796" s="1832">
        <f>'Tax Sched 23'!F8</f>
        <v>454686</v>
      </c>
      <c r="C1796" s="2" t="s">
        <v>569</v>
      </c>
      <c r="D1796" s="2" t="str">
        <f t="shared" si="27"/>
        <v>Error?</v>
      </c>
    </row>
    <row r="1797" spans="1:4" x14ac:dyDescent="0.2">
      <c r="A1797" s="5">
        <v>1736</v>
      </c>
      <c r="B1797" s="1832">
        <f>'Tax Sched 23'!F10</f>
        <v>85451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751111</v>
      </c>
      <c r="C1800" s="2" t="s">
        <v>569</v>
      </c>
      <c r="D1800" s="2" t="str">
        <f t="shared" si="27"/>
        <v>Error?</v>
      </c>
    </row>
    <row r="1801" spans="1:4" x14ac:dyDescent="0.2">
      <c r="A1801" s="5">
        <v>1740</v>
      </c>
      <c r="B1801" s="1832">
        <f>'Tax Sched 23'!F12</f>
        <v>85451</v>
      </c>
      <c r="C1801" s="2" t="s">
        <v>569</v>
      </c>
      <c r="D1801" s="2" t="str">
        <f t="shared" si="27"/>
        <v>Error?</v>
      </c>
    </row>
    <row r="1802" spans="1:4" x14ac:dyDescent="0.2">
      <c r="A1802" s="5">
        <v>1741</v>
      </c>
      <c r="B1802" s="1832">
        <f>'Tax Sched 23'!F14</f>
        <v>68367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8714401</v>
      </c>
      <c r="C1807" s="2" t="s">
        <v>569</v>
      </c>
      <c r="D1807" s="2" t="str">
        <f t="shared" si="27"/>
        <v>Error?</v>
      </c>
    </row>
    <row r="1808" spans="1:4" x14ac:dyDescent="0.2">
      <c r="A1808" s="5">
        <v>1747</v>
      </c>
      <c r="B1808" s="1832">
        <f>'Tax Sched 23'!E4</f>
        <v>4101594</v>
      </c>
      <c r="D1808" s="2" t="str">
        <f t="shared" si="27"/>
        <v>Error?</v>
      </c>
    </row>
    <row r="1809" spans="1:4" x14ac:dyDescent="0.2">
      <c r="A1809" s="5">
        <v>1748</v>
      </c>
      <c r="B1809" s="1832">
        <f>'Tax Sched 23'!E5</f>
        <v>854506</v>
      </c>
      <c r="D1809" s="2" t="str">
        <f t="shared" si="27"/>
        <v>Error?</v>
      </c>
    </row>
    <row r="1810" spans="1:4" x14ac:dyDescent="0.2">
      <c r="A1810" s="5">
        <v>1749</v>
      </c>
      <c r="B1810" s="1832">
        <f>'Tax Sched 23'!E6</f>
        <v>1490381</v>
      </c>
      <c r="D1810" s="2" t="str">
        <f t="shared" si="27"/>
        <v>Error?</v>
      </c>
    </row>
    <row r="1811" spans="1:4" x14ac:dyDescent="0.2">
      <c r="A1811" s="5">
        <v>1750</v>
      </c>
      <c r="B1811" s="1832">
        <f>'Tax Sched 23'!E7</f>
        <v>341803</v>
      </c>
      <c r="D1811" s="2" t="str">
        <f t="shared" si="27"/>
        <v>Error?</v>
      </c>
    </row>
    <row r="1812" spans="1:4" x14ac:dyDescent="0.2">
      <c r="A1812" s="5">
        <v>1751</v>
      </c>
      <c r="B1812" s="1832">
        <f>'Tax Sched 23'!E8</f>
        <v>454686</v>
      </c>
      <c r="D1812" s="2" t="str">
        <f t="shared" si="27"/>
        <v>Error?</v>
      </c>
    </row>
    <row r="1813" spans="1:4" x14ac:dyDescent="0.2">
      <c r="A1813" s="5">
        <v>1752</v>
      </c>
      <c r="B1813" s="1832">
        <f>'Tax Sched 23'!E10</f>
        <v>85451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751111</v>
      </c>
      <c r="D1816" s="2" t="str">
        <f t="shared" si="27"/>
        <v>Error?</v>
      </c>
    </row>
    <row r="1817" spans="1:4" x14ac:dyDescent="0.2">
      <c r="A1817" s="5">
        <v>1756</v>
      </c>
      <c r="B1817" s="1832">
        <f>'Tax Sched 23'!E12</f>
        <v>85451</v>
      </c>
      <c r="D1817" s="2" t="str">
        <f t="shared" si="27"/>
        <v>Error?</v>
      </c>
    </row>
    <row r="1818" spans="1:4" x14ac:dyDescent="0.2">
      <c r="A1818" s="5">
        <v>1757</v>
      </c>
      <c r="B1818" s="1832">
        <f>'Tax Sched 23'!E14</f>
        <v>68367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8714401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5345000</v>
      </c>
      <c r="C1939" s="2" t="s">
        <v>569</v>
      </c>
      <c r="D1939" s="2" t="str">
        <f t="shared" si="29"/>
        <v>Error?</v>
      </c>
    </row>
    <row r="1940" spans="1:5" x14ac:dyDescent="0.2">
      <c r="A1940" s="5">
        <v>1879</v>
      </c>
      <c r="B1940" s="1832">
        <f>'Short-Term Long-Term Debt 24'!F49</f>
        <v>2374000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63976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63976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63976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509730</v>
      </c>
      <c r="D2008" s="2" t="str">
        <f t="shared" si="30"/>
        <v>Error?</v>
      </c>
    </row>
    <row r="2009" spans="1:4" x14ac:dyDescent="0.2">
      <c r="A2009" s="5">
        <v>1948</v>
      </c>
      <c r="B2009" s="1832">
        <f>'Cap Outlay Deprec 26'!C8</f>
        <v>16927524</v>
      </c>
      <c r="D2009" s="2" t="str">
        <f t="shared" si="30"/>
        <v>Error?</v>
      </c>
    </row>
    <row r="2010" spans="1:4" x14ac:dyDescent="0.2">
      <c r="A2010" s="5">
        <v>1949</v>
      </c>
      <c r="B2010" s="1832">
        <f>'Cap Outlay Deprec 26'!C10</f>
        <v>3885830</v>
      </c>
      <c r="D2010" s="2" t="str">
        <f t="shared" si="30"/>
        <v>Error?</v>
      </c>
    </row>
    <row r="2011" spans="1:4" x14ac:dyDescent="0.2">
      <c r="A2011" s="5">
        <v>1950</v>
      </c>
      <c r="B2011" s="1832">
        <f>'Cap Outlay Deprec 26'!C12</f>
        <v>945924</v>
      </c>
      <c r="D2011" s="2" t="str">
        <f t="shared" si="30"/>
        <v>Error?</v>
      </c>
    </row>
    <row r="2012" spans="1:4" x14ac:dyDescent="0.2">
      <c r="A2012" s="5">
        <v>1951</v>
      </c>
      <c r="B2012" s="1832">
        <f>'Cap Outlay Deprec 26'!C13</f>
        <v>3039071</v>
      </c>
      <c r="D2012" s="2" t="str">
        <f t="shared" si="30"/>
        <v>Error?</v>
      </c>
    </row>
    <row r="2013" spans="1:4" x14ac:dyDescent="0.2">
      <c r="A2013" s="5">
        <v>1952</v>
      </c>
      <c r="B2013" s="1832">
        <f>'Cap Outlay Deprec 26'!C16</f>
        <v>25308079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124919</v>
      </c>
      <c r="D2015" s="2" t="str">
        <f t="shared" si="30"/>
        <v>Error?</v>
      </c>
    </row>
    <row r="2016" spans="1:4" x14ac:dyDescent="0.2">
      <c r="A2016" s="5">
        <v>1955</v>
      </c>
      <c r="B2016" s="1832">
        <f>'Cap Outlay Deprec 26'!D10</f>
        <v>62801</v>
      </c>
      <c r="D2016" s="2" t="str">
        <f t="shared" si="30"/>
        <v>Error?</v>
      </c>
    </row>
    <row r="2017" spans="1:4" x14ac:dyDescent="0.2">
      <c r="A2017" s="5">
        <v>1956</v>
      </c>
      <c r="B2017" s="1832">
        <f>'Cap Outlay Deprec 26'!D12</f>
        <v>20912</v>
      </c>
      <c r="D2017" s="2" t="str">
        <f t="shared" si="30"/>
        <v>Error?</v>
      </c>
    </row>
    <row r="2018" spans="1:4" x14ac:dyDescent="0.2">
      <c r="A2018" s="5">
        <v>1957</v>
      </c>
      <c r="B2018" s="1832">
        <f>'Cap Outlay Deprec 26'!D13</f>
        <v>32420</v>
      </c>
      <c r="D2018" s="2" t="str">
        <f t="shared" si="30"/>
        <v>Error?</v>
      </c>
    </row>
    <row r="2019" spans="1:4" x14ac:dyDescent="0.2">
      <c r="A2019" s="5">
        <v>1958</v>
      </c>
      <c r="B2019" s="1832">
        <f>'Cap Outlay Deprec 26'!D16</f>
        <v>390617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50000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50000</v>
      </c>
      <c r="C2025" s="2" t="s">
        <v>569</v>
      </c>
      <c r="D2025" s="2" t="str">
        <f t="shared" si="30"/>
        <v>Error?</v>
      </c>
    </row>
    <row r="2026" spans="1:4" x14ac:dyDescent="0.2">
      <c r="A2026" s="5">
        <v>1965</v>
      </c>
      <c r="B2026" s="1832">
        <f>'Cap Outlay Deprec 26'!F5</f>
        <v>509730</v>
      </c>
      <c r="C2026" s="2" t="s">
        <v>569</v>
      </c>
      <c r="D2026" s="2" t="str">
        <f t="shared" si="30"/>
        <v>Error?</v>
      </c>
    </row>
    <row r="2027" spans="1:4" x14ac:dyDescent="0.2">
      <c r="A2027" s="5">
        <v>1966</v>
      </c>
      <c r="B2027" s="1832">
        <f>'Cap Outlay Deprec 26'!F8</f>
        <v>17052443</v>
      </c>
      <c r="C2027" s="2" t="s">
        <v>569</v>
      </c>
      <c r="D2027" s="2" t="str">
        <f t="shared" si="30"/>
        <v>Error?</v>
      </c>
    </row>
    <row r="2028" spans="1:4" x14ac:dyDescent="0.2">
      <c r="A2028" s="5">
        <v>1967</v>
      </c>
      <c r="B2028" s="1832">
        <f>'Cap Outlay Deprec 26'!F10</f>
        <v>3898631</v>
      </c>
      <c r="C2028" s="2" t="s">
        <v>569</v>
      </c>
      <c r="D2028" s="2" t="str">
        <f t="shared" si="30"/>
        <v>Error?</v>
      </c>
    </row>
    <row r="2029" spans="1:4" x14ac:dyDescent="0.2">
      <c r="A2029" s="5">
        <v>1968</v>
      </c>
      <c r="B2029" s="1832">
        <f>'Cap Outlay Deprec 26'!F12</f>
        <v>966836</v>
      </c>
      <c r="C2029" s="2" t="s">
        <v>569</v>
      </c>
      <c r="D2029" s="2" t="str">
        <f t="shared" si="30"/>
        <v>Error?</v>
      </c>
    </row>
    <row r="2030" spans="1:4" x14ac:dyDescent="0.2">
      <c r="A2030" s="5">
        <v>1969</v>
      </c>
      <c r="B2030" s="1832">
        <f>'Cap Outlay Deprec 26'!F13</f>
        <v>3071491</v>
      </c>
      <c r="C2030" s="2" t="s">
        <v>569</v>
      </c>
      <c r="D2030" s="2" t="str">
        <f t="shared" si="30"/>
        <v>Error?</v>
      </c>
    </row>
    <row r="2031" spans="1:4" x14ac:dyDescent="0.2">
      <c r="A2031" s="5">
        <v>1970</v>
      </c>
      <c r="B2031" s="1832">
        <f>'Cap Outlay Deprec 26'!F16</f>
        <v>25648696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7070580</v>
      </c>
      <c r="D2033" s="2" t="str">
        <f t="shared" si="30"/>
        <v>Error?</v>
      </c>
    </row>
    <row r="2034" spans="1:4" x14ac:dyDescent="0.2">
      <c r="A2034" s="5">
        <v>1973</v>
      </c>
      <c r="B2034" s="1832">
        <f>'Cap Outlay Deprec 26'!H10</f>
        <v>2555967</v>
      </c>
      <c r="D2034" s="2" t="str">
        <f t="shared" si="30"/>
        <v>Error?</v>
      </c>
    </row>
    <row r="2035" spans="1:4" x14ac:dyDescent="0.2">
      <c r="A2035" s="5">
        <v>1974</v>
      </c>
      <c r="B2035" s="1832">
        <f>'Cap Outlay Deprec 26'!H12</f>
        <v>584915</v>
      </c>
      <c r="D2035" s="2" t="str">
        <f t="shared" si="30"/>
        <v>Error?</v>
      </c>
    </row>
    <row r="2036" spans="1:4" x14ac:dyDescent="0.2">
      <c r="A2036" s="5">
        <v>1975</v>
      </c>
      <c r="B2036" s="1832">
        <f>'Cap Outlay Deprec 26'!H13</f>
        <v>2660071</v>
      </c>
      <c r="D2036" s="2" t="str">
        <f t="shared" si="30"/>
        <v>Error?</v>
      </c>
    </row>
    <row r="2037" spans="1:4" x14ac:dyDescent="0.2">
      <c r="A2037" s="5">
        <v>1976</v>
      </c>
      <c r="B2037" s="1832">
        <f>'Cap Outlay Deprec 26'!H16</f>
        <v>12871533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337555</v>
      </c>
      <c r="D2039" s="2" t="str">
        <f t="shared" si="30"/>
        <v>Error?</v>
      </c>
    </row>
    <row r="2040" spans="1:4" x14ac:dyDescent="0.2">
      <c r="A2040" s="5">
        <v>1979</v>
      </c>
      <c r="B2040" s="1832">
        <f>'Cap Outlay Deprec 26'!I10</f>
        <v>149557</v>
      </c>
      <c r="D2040" s="2" t="str">
        <f t="shared" si="30"/>
        <v>Error?</v>
      </c>
    </row>
    <row r="2041" spans="1:4" x14ac:dyDescent="0.2">
      <c r="A2041" s="5">
        <v>1980</v>
      </c>
      <c r="B2041" s="1832">
        <f>'Cap Outlay Deprec 26'!I12</f>
        <v>58666</v>
      </c>
      <c r="D2041" s="2" t="str">
        <f t="shared" si="30"/>
        <v>Error?</v>
      </c>
    </row>
    <row r="2042" spans="1:4" x14ac:dyDescent="0.2">
      <c r="A2042" s="5">
        <v>1981</v>
      </c>
      <c r="B2042" s="1832">
        <f>'Cap Outlay Deprec 26'!I13</f>
        <v>157099</v>
      </c>
      <c r="D2042" s="2" t="str">
        <f t="shared" si="30"/>
        <v>Error?</v>
      </c>
    </row>
    <row r="2043" spans="1:4" x14ac:dyDescent="0.2">
      <c r="A2043" s="5">
        <v>1982</v>
      </c>
      <c r="B2043" s="1832">
        <f>'Cap Outlay Deprec 26'!I16</f>
        <v>702877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50000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50000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7408135</v>
      </c>
      <c r="C2051" s="2" t="s">
        <v>569</v>
      </c>
      <c r="D2051" s="2" t="str">
        <f t="shared" si="31"/>
        <v>Error?</v>
      </c>
    </row>
    <row r="2052" spans="1:4" x14ac:dyDescent="0.2">
      <c r="A2052" s="5">
        <v>1991</v>
      </c>
      <c r="B2052" s="1832">
        <f>'Cap Outlay Deprec 26'!K10</f>
        <v>2655524</v>
      </c>
      <c r="C2052" s="2" t="s">
        <v>569</v>
      </c>
      <c r="D2052" s="2" t="str">
        <f t="shared" si="31"/>
        <v>Error?</v>
      </c>
    </row>
    <row r="2053" spans="1:4" x14ac:dyDescent="0.2">
      <c r="A2053" s="5">
        <v>1992</v>
      </c>
      <c r="B2053" s="1832">
        <f>'Cap Outlay Deprec 26'!K12</f>
        <v>643581</v>
      </c>
      <c r="C2053" s="2" t="s">
        <v>569</v>
      </c>
      <c r="D2053" s="2" t="str">
        <f t="shared" si="31"/>
        <v>Error?</v>
      </c>
    </row>
    <row r="2054" spans="1:4" x14ac:dyDescent="0.2">
      <c r="A2054" s="5">
        <v>1993</v>
      </c>
      <c r="B2054" s="1832">
        <f>'Cap Outlay Deprec 26'!K13</f>
        <v>2817170</v>
      </c>
      <c r="C2054" s="2" t="s">
        <v>569</v>
      </c>
      <c r="D2054" s="2" t="str">
        <f t="shared" si="31"/>
        <v>Error?</v>
      </c>
    </row>
    <row r="2055" spans="1:4" x14ac:dyDescent="0.2">
      <c r="A2055" s="5">
        <v>1994</v>
      </c>
      <c r="B2055" s="1832">
        <f>'Cap Outlay Deprec 26'!K16</f>
        <v>13524410</v>
      </c>
      <c r="C2055" s="2" t="s">
        <v>569</v>
      </c>
      <c r="D2055" s="2" t="str">
        <f t="shared" si="31"/>
        <v>Error?</v>
      </c>
    </row>
    <row r="2056" spans="1:4" x14ac:dyDescent="0.2">
      <c r="A2056" s="5">
        <v>1995</v>
      </c>
      <c r="B2056" s="1832">
        <f>'Cap Outlay Deprec 26'!L5</f>
        <v>509730</v>
      </c>
      <c r="C2056" s="2" t="s">
        <v>569</v>
      </c>
      <c r="D2056" s="2" t="str">
        <f t="shared" si="31"/>
        <v>Error?</v>
      </c>
    </row>
    <row r="2057" spans="1:4" x14ac:dyDescent="0.2">
      <c r="A2057" s="5">
        <v>1996</v>
      </c>
      <c r="B2057" s="1832">
        <f>'Cap Outlay Deprec 26'!L8</f>
        <v>9644308</v>
      </c>
      <c r="C2057" s="2" t="s">
        <v>569</v>
      </c>
      <c r="D2057" s="2" t="str">
        <f t="shared" si="31"/>
        <v>Error?</v>
      </c>
    </row>
    <row r="2058" spans="1:4" x14ac:dyDescent="0.2">
      <c r="A2058" s="5">
        <v>1997</v>
      </c>
      <c r="B2058" s="1832">
        <f>'Cap Outlay Deprec 26'!L10</f>
        <v>1243107</v>
      </c>
      <c r="C2058" s="2" t="s">
        <v>569</v>
      </c>
      <c r="D2058" s="2" t="str">
        <f t="shared" si="31"/>
        <v>Error?</v>
      </c>
    </row>
    <row r="2059" spans="1:4" x14ac:dyDescent="0.2">
      <c r="A2059" s="5">
        <v>1998</v>
      </c>
      <c r="B2059" s="1832">
        <f>'Cap Outlay Deprec 26'!L12</f>
        <v>323255</v>
      </c>
      <c r="C2059" s="2" t="s">
        <v>569</v>
      </c>
      <c r="D2059" s="2" t="str">
        <f t="shared" si="31"/>
        <v>Error?</v>
      </c>
    </row>
    <row r="2060" spans="1:4" x14ac:dyDescent="0.2">
      <c r="A2060" s="5">
        <v>1999</v>
      </c>
      <c r="B2060" s="1832">
        <f>'Cap Outlay Deprec 26'!L13</f>
        <v>254321</v>
      </c>
      <c r="C2060" s="2" t="s">
        <v>569</v>
      </c>
      <c r="D2060" s="2" t="str">
        <f t="shared" si="31"/>
        <v>Error?</v>
      </c>
    </row>
    <row r="2061" spans="1:4" x14ac:dyDescent="0.2">
      <c r="A2061" s="5">
        <v>2000</v>
      </c>
      <c r="B2061" s="1832">
        <f>'Cap Outlay Deprec 26'!L16</f>
        <v>12124286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822373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823073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338493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244434</v>
      </c>
      <c r="D2475" s="2" t="str">
        <f t="shared" si="37"/>
        <v>Error?</v>
      </c>
    </row>
    <row r="2476" spans="1:4" x14ac:dyDescent="0.2">
      <c r="A2476" s="10">
        <v>2415</v>
      </c>
      <c r="B2476" s="1832"/>
      <c r="D2476" s="2" t="str">
        <f t="shared" si="37"/>
        <v>OK</v>
      </c>
    </row>
    <row r="2477" spans="1:4" x14ac:dyDescent="0.2">
      <c r="A2477" s="5">
        <v>2416</v>
      </c>
      <c r="B2477" s="1832">
        <f>'Assets-Liab 5-6'!G38</f>
        <v>551874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78692</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1233407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6306703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5956711</v>
      </c>
      <c r="C2553" s="2" t="s">
        <v>569</v>
      </c>
      <c r="D2553" s="2" t="str">
        <f t="shared" si="38"/>
        <v>Error?</v>
      </c>
    </row>
    <row r="2554" spans="1:4" x14ac:dyDescent="0.2">
      <c r="A2554" s="5">
        <v>2493</v>
      </c>
      <c r="B2554" s="1832">
        <f>'Acct Summary 7-8'!C7</f>
        <v>1381132</v>
      </c>
      <c r="C2554" s="2" t="s">
        <v>569</v>
      </c>
      <c r="D2554" s="2" t="str">
        <f t="shared" si="38"/>
        <v>Error?</v>
      </c>
    </row>
    <row r="2555" spans="1:4" x14ac:dyDescent="0.2">
      <c r="A2555" s="5">
        <v>2494</v>
      </c>
      <c r="B2555" s="1832">
        <f>'Acct Summary 7-8'!C8</f>
        <v>13915715</v>
      </c>
      <c r="C2555" s="2" t="s">
        <v>569</v>
      </c>
      <c r="D2555" s="2" t="str">
        <f t="shared" si="38"/>
        <v>Error?</v>
      </c>
    </row>
    <row r="2556" spans="1:4" x14ac:dyDescent="0.2">
      <c r="A2556" s="5">
        <v>2495</v>
      </c>
      <c r="B2556" s="1832">
        <f>'Acct Summary 7-8'!C12</f>
        <v>9849737</v>
      </c>
      <c r="C2556" s="2" t="s">
        <v>569</v>
      </c>
      <c r="D2556" s="2" t="str">
        <f t="shared" si="38"/>
        <v>Error?</v>
      </c>
    </row>
    <row r="2557" spans="1:4" x14ac:dyDescent="0.2">
      <c r="A2557" s="5">
        <v>2496</v>
      </c>
      <c r="B2557" s="1832">
        <f>'Acct Summary 7-8'!C13</f>
        <v>2973175</v>
      </c>
      <c r="C2557" s="2" t="s">
        <v>569</v>
      </c>
      <c r="D2557" s="2" t="str">
        <f t="shared" si="38"/>
        <v>Error?</v>
      </c>
    </row>
    <row r="2558" spans="1:4" x14ac:dyDescent="0.2">
      <c r="A2558" s="5">
        <v>2497</v>
      </c>
      <c r="B2558" s="1832">
        <f>'Acct Summary 7-8'!C14</f>
        <v>720148</v>
      </c>
      <c r="C2558" s="2" t="s">
        <v>569</v>
      </c>
      <c r="D2558" s="2" t="str">
        <f t="shared" si="38"/>
        <v>Error?</v>
      </c>
    </row>
    <row r="2559" spans="1:4" x14ac:dyDescent="0.2">
      <c r="A2559" s="5">
        <v>2498</v>
      </c>
      <c r="B2559" s="1832">
        <f>'Acct Summary 7-8'!C15</f>
        <v>823073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14366133</v>
      </c>
      <c r="C2561" s="2" t="s">
        <v>569</v>
      </c>
      <c r="D2561" s="2" t="str">
        <f t="shared" si="39"/>
        <v>Error?</v>
      </c>
    </row>
    <row r="2562" spans="1:4" x14ac:dyDescent="0.2">
      <c r="A2562" s="5">
        <v>2501</v>
      </c>
      <c r="B2562" s="1832">
        <f>'Acct Summary 7-8'!C20</f>
        <v>-450418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1002772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1202772</v>
      </c>
      <c r="C2568" s="2" t="s">
        <v>569</v>
      </c>
      <c r="D2568" s="2" t="str">
        <f t="shared" si="39"/>
        <v>Error?</v>
      </c>
    </row>
    <row r="2569" spans="1:4" x14ac:dyDescent="0.2">
      <c r="A2569" s="5">
        <v>2508</v>
      </c>
      <c r="B2569" s="1832">
        <f>'Acct Summary 7-8'!D13</f>
        <v>1207675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1207675</v>
      </c>
      <c r="C2573" s="2" t="s">
        <v>569</v>
      </c>
      <c r="D2573" s="2" t="str">
        <f t="shared" si="39"/>
        <v>Error?</v>
      </c>
    </row>
    <row r="2574" spans="1:4" x14ac:dyDescent="0.2">
      <c r="A2574" s="5">
        <v>2513</v>
      </c>
      <c r="B2574" s="1832">
        <f>'Acct Summary 7-8'!D20</f>
        <v>-4903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363512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493836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857348</v>
      </c>
      <c r="C2595" s="2" t="s">
        <v>569</v>
      </c>
      <c r="D2595" s="2" t="str">
        <f t="shared" si="39"/>
        <v>Error?</v>
      </c>
    </row>
    <row r="2596" spans="1:4" x14ac:dyDescent="0.2">
      <c r="A2596" s="5">
        <v>2535</v>
      </c>
      <c r="B2596" s="1832">
        <f>'Acct Summary 7-8'!F13</f>
        <v>769780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147766</v>
      </c>
      <c r="C2599" s="2" t="s">
        <v>569</v>
      </c>
      <c r="D2599" s="2" t="str">
        <f t="shared" si="39"/>
        <v>Error?</v>
      </c>
    </row>
    <row r="2600" spans="1:4" x14ac:dyDescent="0.2">
      <c r="A2600" s="5">
        <v>2539</v>
      </c>
      <c r="B2600" s="1832">
        <f>'Acct Summary 7-8'!F17</f>
        <v>917546</v>
      </c>
      <c r="C2600" s="2" t="s">
        <v>569</v>
      </c>
      <c r="D2600" s="2" t="str">
        <f t="shared" si="39"/>
        <v>Error?</v>
      </c>
    </row>
    <row r="2601" spans="1:4" x14ac:dyDescent="0.2">
      <c r="A2601" s="5">
        <v>2540</v>
      </c>
      <c r="B2601" s="1832">
        <f>'Acct Summary 7-8'!F20</f>
        <v>-60198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868593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868593</v>
      </c>
      <c r="C2606" s="2" t="s">
        <v>569</v>
      </c>
      <c r="D2606" s="2" t="str">
        <f t="shared" si="39"/>
        <v>Error?</v>
      </c>
    </row>
    <row r="2607" spans="1:4" x14ac:dyDescent="0.2">
      <c r="A2607" s="5">
        <v>2546</v>
      </c>
      <c r="B2607" s="1832">
        <f>'Acct Summary 7-8'!G12</f>
        <v>291439</v>
      </c>
      <c r="C2607" s="2" t="s">
        <v>569</v>
      </c>
      <c r="D2607" s="2" t="str">
        <f t="shared" si="39"/>
        <v>Error?</v>
      </c>
    </row>
    <row r="2608" spans="1:4" x14ac:dyDescent="0.2">
      <c r="A2608" s="5">
        <v>2547</v>
      </c>
      <c r="B2608" s="1832">
        <f>'Acct Summary 7-8'!G13</f>
        <v>504083</v>
      </c>
      <c r="C2608" s="2" t="s">
        <v>569</v>
      </c>
      <c r="D2608" s="2" t="str">
        <f t="shared" si="39"/>
        <v>Error?</v>
      </c>
    </row>
    <row r="2609" spans="1:4" x14ac:dyDescent="0.2">
      <c r="A2609" s="5">
        <v>2548</v>
      </c>
      <c r="B2609" s="1832">
        <f>'Acct Summary 7-8'!G14</f>
        <v>100117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895639</v>
      </c>
      <c r="C2612" s="2" t="s">
        <v>569</v>
      </c>
      <c r="D2612" s="2" t="str">
        <f t="shared" si="39"/>
        <v>Error?</v>
      </c>
    </row>
    <row r="2613" spans="1:4" x14ac:dyDescent="0.2">
      <c r="A2613" s="5">
        <v>2552</v>
      </c>
      <c r="B2613" s="1832">
        <f>'Acct Summary 7-8'!G20</f>
        <v>-27046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1490451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1490451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1576827</v>
      </c>
      <c r="C2634" s="2" t="s">
        <v>569</v>
      </c>
      <c r="D2634" s="2" t="str">
        <f t="shared" si="40"/>
        <v>Error?</v>
      </c>
    </row>
    <row r="2635" spans="1:4" x14ac:dyDescent="0.2">
      <c r="A2635" s="5">
        <v>2574</v>
      </c>
      <c r="B2635" s="1832">
        <f>'Acct Summary 7-8'!E17</f>
        <v>1576827</v>
      </c>
      <c r="C2635" s="2" t="s">
        <v>569</v>
      </c>
      <c r="D2635" s="2" t="str">
        <f t="shared" si="40"/>
        <v>Error?</v>
      </c>
    </row>
    <row r="2636" spans="1:4" x14ac:dyDescent="0.2">
      <c r="A2636" s="5">
        <v>2575</v>
      </c>
      <c r="B2636" s="1832">
        <f>'Acct Summary 7-8'!E20</f>
        <v>-86376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1077469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1077469</v>
      </c>
      <c r="C2658" s="2" t="s">
        <v>569</v>
      </c>
      <c r="D2658" s="2" t="str">
        <f t="shared" si="40"/>
        <v>Error?</v>
      </c>
    </row>
    <row r="2659" spans="1:4" x14ac:dyDescent="0.2">
      <c r="A2659" s="5">
        <v>2598</v>
      </c>
      <c r="B2659" s="1832">
        <f>'Acct Summary 7-8'!H13</f>
        <v>820906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820906</v>
      </c>
      <c r="C2661" s="2" t="s">
        <v>569</v>
      </c>
      <c r="D2661" s="2" t="str">
        <f t="shared" si="40"/>
        <v>Error?</v>
      </c>
    </row>
    <row r="2662" spans="1:4" x14ac:dyDescent="0.2">
      <c r="A2662" s="5">
        <v>2601</v>
      </c>
      <c r="B2662" s="1832">
        <f>'Acct Summary 7-8'!H20</f>
        <v>256563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35533</v>
      </c>
      <c r="D2718" s="2" t="str">
        <f t="shared" si="41"/>
        <v>Error?</v>
      </c>
    </row>
    <row r="2719" spans="1:4" x14ac:dyDescent="0.2">
      <c r="A2719" s="5">
        <v>2658</v>
      </c>
      <c r="B2719" s="1832">
        <f>'Expenditures 15-22'!D51</f>
        <v>4187</v>
      </c>
      <c r="D2719" s="2" t="str">
        <f t="shared" si="41"/>
        <v>Error?</v>
      </c>
    </row>
    <row r="2720" spans="1:4" x14ac:dyDescent="0.2">
      <c r="A2720" s="5">
        <v>2659</v>
      </c>
      <c r="B2720" s="1832">
        <f>'Expenditures 15-22'!E51</f>
        <v>2000</v>
      </c>
      <c r="D2720" s="2" t="str">
        <f t="shared" si="41"/>
        <v>Error?</v>
      </c>
    </row>
    <row r="2721" spans="1:4" x14ac:dyDescent="0.2">
      <c r="A2721" s="5">
        <v>2660</v>
      </c>
      <c r="B2721" s="1832">
        <f>'Expenditures 15-22'!F51</f>
        <v>656</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42376</v>
      </c>
      <c r="C2724" s="2" t="s">
        <v>569</v>
      </c>
      <c r="D2724" s="2" t="str">
        <f t="shared" si="41"/>
        <v>Error?</v>
      </c>
    </row>
    <row r="2725" spans="1:4" x14ac:dyDescent="0.2">
      <c r="A2725" s="5">
        <v>2664</v>
      </c>
      <c r="B2725" s="1832">
        <f>'Expenditures 15-22'!D247</f>
        <v>3707</v>
      </c>
      <c r="D2725" s="2" t="str">
        <f t="shared" si="41"/>
        <v>Error?</v>
      </c>
    </row>
    <row r="2726" spans="1:4" x14ac:dyDescent="0.2">
      <c r="A2726" s="5">
        <v>2665</v>
      </c>
      <c r="B2726" s="1832">
        <f>'Expenditures 15-22'!K247</f>
        <v>3707</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700</v>
      </c>
      <c r="C2789" s="2" t="s">
        <v>569</v>
      </c>
      <c r="D2789" s="2" t="str">
        <f t="shared" si="42"/>
        <v>Error?</v>
      </c>
    </row>
    <row r="2790" spans="1:4" x14ac:dyDescent="0.2">
      <c r="A2790" s="5">
        <v>2729</v>
      </c>
      <c r="B2790" s="1832">
        <f>'Expenditures 15-22'!E102</f>
        <v>700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149565</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85451</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3689963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228843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85451</v>
      </c>
      <c r="D2908" s="2" t="str">
        <f t="shared" si="44"/>
        <v>Error?</v>
      </c>
    </row>
    <row r="2909" spans="1:4" x14ac:dyDescent="0.2">
      <c r="A2909" s="10">
        <v>2848</v>
      </c>
      <c r="B2909" s="1832"/>
      <c r="D2909" s="2" t="str">
        <f t="shared" si="44"/>
        <v>OK</v>
      </c>
    </row>
    <row r="2910" spans="1:4" x14ac:dyDescent="0.2">
      <c r="A2910" s="5">
        <v>2849</v>
      </c>
      <c r="B2910" s="1832">
        <f>'Assets-Liab 5-6'!I34</f>
        <v>85451</v>
      </c>
      <c r="C2910" s="2" t="s">
        <v>569</v>
      </c>
      <c r="D2910" s="2" t="str">
        <f t="shared" si="44"/>
        <v>Error?</v>
      </c>
    </row>
    <row r="2911" spans="1:4" x14ac:dyDescent="0.2">
      <c r="A2911" s="5">
        <v>2850</v>
      </c>
      <c r="B2911" s="1832">
        <f>'Assets-Liab 5-6'!I38</f>
        <v>3604512</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3689963</v>
      </c>
      <c r="C2913" s="2" t="s">
        <v>569</v>
      </c>
      <c r="D2913" s="2" t="str">
        <f t="shared" si="44"/>
        <v>Error?</v>
      </c>
    </row>
    <row r="2914" spans="1:4" x14ac:dyDescent="0.2">
      <c r="A2914" s="5">
        <v>2853</v>
      </c>
      <c r="B2914" s="1832">
        <f>'Assets-Liab 5-6'!L33</f>
        <v>228843</v>
      </c>
      <c r="D2914" s="2" t="str">
        <f t="shared" si="44"/>
        <v>Error?</v>
      </c>
    </row>
    <row r="2915" spans="1:4" x14ac:dyDescent="0.2">
      <c r="A2915" s="10">
        <v>2854</v>
      </c>
      <c r="B2915" s="1832"/>
      <c r="D2915" s="2" t="str">
        <f t="shared" si="44"/>
        <v>OK</v>
      </c>
    </row>
    <row r="2916" spans="1:4" x14ac:dyDescent="0.2">
      <c r="A2916" s="5">
        <v>2855</v>
      </c>
      <c r="B2916" s="1832">
        <f>'Assets-Liab 5-6'!L34</f>
        <v>228843</v>
      </c>
      <c r="C2916" s="2" t="s">
        <v>569</v>
      </c>
      <c r="D2916" s="2" t="str">
        <f t="shared" si="44"/>
        <v>Error?</v>
      </c>
    </row>
    <row r="2917" spans="1:4" x14ac:dyDescent="0.2">
      <c r="A2917" s="5">
        <v>2856</v>
      </c>
      <c r="B2917" s="1832">
        <f>'Assets-Liab 5-6'!L41</f>
        <v>228843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700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151424</v>
      </c>
      <c r="D2955" s="2" t="str">
        <f t="shared" si="45"/>
        <v>Error?</v>
      </c>
    </row>
    <row r="2956" spans="1:4" x14ac:dyDescent="0.2">
      <c r="A2956" s="5">
        <v>2895</v>
      </c>
      <c r="B2956" s="1832">
        <f>'Expenditures 15-22'!H79</f>
        <v>670949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152124</v>
      </c>
      <c r="C2973" s="2" t="s">
        <v>569</v>
      </c>
      <c r="D2973" s="2" t="str">
        <f t="shared" si="45"/>
        <v>Error?</v>
      </c>
    </row>
    <row r="2974" spans="1:4" x14ac:dyDescent="0.2">
      <c r="A2974" s="5">
        <v>2913</v>
      </c>
      <c r="B2974" s="1832">
        <f>'Expenditures 15-22'!K79</f>
        <v>670949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295166</v>
      </c>
      <c r="D3055" s="2" t="str">
        <f t="shared" si="46"/>
        <v>Error?</v>
      </c>
    </row>
    <row r="3056" spans="1:4" x14ac:dyDescent="0.2">
      <c r="A3056" s="5">
        <v>2995</v>
      </c>
      <c r="B3056" s="1832">
        <f>'Expenditures 15-22'!D10</f>
        <v>49328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16920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361414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28296</v>
      </c>
      <c r="D3064" s="2" t="str">
        <f t="shared" si="46"/>
        <v>Error?</v>
      </c>
    </row>
    <row r="3065" spans="1:4" x14ac:dyDescent="0.2">
      <c r="A3065" s="5">
        <v>3004</v>
      </c>
      <c r="B3065" s="1832">
        <f>'Expenditures 15-22'!K219</f>
        <v>28296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85030</v>
      </c>
      <c r="C3225" s="2" t="s">
        <v>569</v>
      </c>
      <c r="D3225" s="2" t="str">
        <f t="shared" si="49"/>
        <v>Error?</v>
      </c>
    </row>
    <row r="3226" spans="1:4" x14ac:dyDescent="0.2">
      <c r="A3226" s="5">
        <v>3165</v>
      </c>
      <c r="B3226" s="1832">
        <f>'Acct Summary 7-8'!I8</f>
        <v>85030</v>
      </c>
      <c r="C3226" s="2" t="s">
        <v>569</v>
      </c>
      <c r="D3226" s="2" t="str">
        <f t="shared" si="49"/>
        <v>Error?</v>
      </c>
    </row>
    <row r="3227" spans="1:4" x14ac:dyDescent="0.2">
      <c r="A3227" s="5">
        <v>3166</v>
      </c>
      <c r="B3227" s="1832">
        <f>'Acct Summary 7-8'!I20</f>
        <v>85030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51573</v>
      </c>
      <c r="C3231" s="2" t="s">
        <v>569</v>
      </c>
      <c r="D3231" s="2" t="str">
        <f t="shared" si="49"/>
        <v>Error?</v>
      </c>
    </row>
    <row r="3232" spans="1:4" x14ac:dyDescent="0.2">
      <c r="A3232" s="5">
        <v>3171</v>
      </c>
      <c r="B3232" s="1832">
        <f>'Acct Summary 7-8'!C77</f>
        <v>-51573</v>
      </c>
      <c r="C3232" s="2" t="s">
        <v>569</v>
      </c>
      <c r="D3232" s="2" t="str">
        <f t="shared" si="49"/>
        <v>Error?</v>
      </c>
    </row>
    <row r="3233" spans="1:4" x14ac:dyDescent="0.2">
      <c r="A3233" s="5">
        <v>3172</v>
      </c>
      <c r="B3233" s="1832">
        <f>'Acct Summary 7-8'!C78</f>
        <v>-501991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-4903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-60198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-27046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88528</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88528</v>
      </c>
      <c r="C3277" s="2" t="s">
        <v>569</v>
      </c>
      <c r="D3277" s="2" t="str">
        <f t="shared" si="50"/>
        <v>Error?</v>
      </c>
    </row>
    <row r="3278" spans="1:4" x14ac:dyDescent="0.2">
      <c r="A3278" s="5">
        <v>3217</v>
      </c>
      <c r="B3278" s="1832">
        <f>'Acct Summary 7-8'!E78</f>
        <v>2152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256563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2374000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2374000</v>
      </c>
      <c r="C3319" s="2" t="s">
        <v>569</v>
      </c>
      <c r="D3319" s="2" t="str">
        <f t="shared" si="50"/>
        <v>Error?</v>
      </c>
    </row>
    <row r="3320" spans="1:4" x14ac:dyDescent="0.2">
      <c r="A3320" s="5">
        <v>3259</v>
      </c>
      <c r="B3320" s="1832">
        <f>'Acct Summary 7-8'!I78</f>
        <v>2459030</v>
      </c>
      <c r="C3320" s="2" t="s">
        <v>569</v>
      </c>
      <c r="D3320" s="2" t="str">
        <f t="shared" si="50"/>
        <v>Error?</v>
      </c>
    </row>
    <row r="3321" spans="1:4" x14ac:dyDescent="0.2">
      <c r="A3321" s="5">
        <v>3260</v>
      </c>
      <c r="B3321" s="1832">
        <f>'Acct Summary 7-8'!I79</f>
        <v>1145482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3604512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1364612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216949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3730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29388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1615247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124812</v>
      </c>
      <c r="D3387" s="2" t="str">
        <f t="shared" si="51"/>
        <v>Error?</v>
      </c>
    </row>
    <row r="3388" spans="1:4" x14ac:dyDescent="0.2">
      <c r="A3388" s="5">
        <v>3327</v>
      </c>
      <c r="B3388" s="1832">
        <f>'Expenditures 15-22'!D217</f>
        <v>92608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124812</v>
      </c>
      <c r="C3390" s="2" t="s">
        <v>569</v>
      </c>
      <c r="D3390" s="2" t="str">
        <f t="shared" si="51"/>
        <v>Error?</v>
      </c>
    </row>
    <row r="3391" spans="1:4" x14ac:dyDescent="0.2">
      <c r="A3391" s="5">
        <v>3330</v>
      </c>
      <c r="B3391" s="1832">
        <f>'Expenditures 15-22'!K217</f>
        <v>92608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271169</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1612935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34697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78692</v>
      </c>
      <c r="D3417" s="2" t="str">
        <f t="shared" si="52"/>
        <v>Error?</v>
      </c>
    </row>
    <row r="3418" spans="1:4" x14ac:dyDescent="0.2">
      <c r="A3418" s="10">
        <v>3357</v>
      </c>
      <c r="B3418" s="1832"/>
      <c r="D3418" s="2" t="str">
        <f t="shared" si="52"/>
        <v>OK</v>
      </c>
    </row>
    <row r="3419" spans="1:4" x14ac:dyDescent="0.2">
      <c r="A3419" s="5">
        <v>3358</v>
      </c>
      <c r="B3419" s="1832">
        <f>'Assets-Liab 5-6'!F4</f>
        <v>126600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551874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1176581</v>
      </c>
      <c r="D3425" s="2" t="str">
        <f t="shared" si="52"/>
        <v>Error?</v>
      </c>
    </row>
    <row r="3426" spans="1:4" x14ac:dyDescent="0.2">
      <c r="A3426" s="10">
        <v>3365</v>
      </c>
      <c r="B3426" s="1832"/>
      <c r="D3426" s="2" t="str">
        <f t="shared" si="52"/>
        <v>OK</v>
      </c>
    </row>
    <row r="3427" spans="1:4" x14ac:dyDescent="0.2">
      <c r="A3427" s="5">
        <v>3366</v>
      </c>
      <c r="B3427" s="1832">
        <f>'Assets-Liab 5-6'!I4</f>
        <v>3604512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228843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371375</v>
      </c>
      <c r="C3446" s="2" t="s">
        <v>569</v>
      </c>
      <c r="D3446" s="2" t="str">
        <f t="shared" si="52"/>
        <v>Error?</v>
      </c>
    </row>
    <row r="3447" spans="1:4" x14ac:dyDescent="0.2">
      <c r="A3447" s="5">
        <v>3386</v>
      </c>
      <c r="B3447" s="1832">
        <f>'Tax Sched 23'!D16</f>
        <v>371375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395600</v>
      </c>
      <c r="C3449" s="2" t="s">
        <v>569</v>
      </c>
      <c r="D3449" s="2" t="str">
        <f t="shared" si="52"/>
        <v>Error?</v>
      </c>
    </row>
    <row r="3450" spans="1:4" x14ac:dyDescent="0.2">
      <c r="A3450" s="5">
        <v>3389</v>
      </c>
      <c r="B3450" s="1832">
        <f>'Tax Sched 23'!E16</f>
        <v>395600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149565</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149565</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149565</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251395</v>
      </c>
      <c r="D3546" s="2" t="str">
        <f t="shared" si="54"/>
        <v>Error?</v>
      </c>
    </row>
    <row r="3547" spans="1:4" x14ac:dyDescent="0.2">
      <c r="A3547" s="10">
        <v>3486</v>
      </c>
      <c r="B3547" s="1832"/>
      <c r="D3547" s="2" t="str">
        <f t="shared" si="54"/>
        <v>OK</v>
      </c>
    </row>
    <row r="3548" spans="1:4" x14ac:dyDescent="0.2">
      <c r="A3548" s="5">
        <v>3487</v>
      </c>
      <c r="B3548" s="1832">
        <f>'Assets-Liab 5-6'!K6</f>
        <v>85451</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336846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85451</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85451</v>
      </c>
      <c r="C3565" s="2" t="s">
        <v>569</v>
      </c>
      <c r="D3565" s="2" t="str">
        <f t="shared" si="54"/>
        <v>Error?</v>
      </c>
    </row>
    <row r="3566" spans="1:4" x14ac:dyDescent="0.2">
      <c r="A3566" s="5">
        <v>3505</v>
      </c>
      <c r="B3566" s="1832">
        <f>'Assets-Liab 5-6'!K38</f>
        <v>251395</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336846</v>
      </c>
      <c r="C3568" s="2" t="s">
        <v>569</v>
      </c>
      <c r="D3568" s="2" t="str">
        <f t="shared" si="54"/>
        <v>Error?</v>
      </c>
    </row>
    <row r="3569" spans="1:4" x14ac:dyDescent="0.2">
      <c r="A3569" s="5">
        <v>3508</v>
      </c>
      <c r="B3569" s="1832">
        <f>'Acct Summary 7-8'!K4</f>
        <v>80903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80903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80903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80903</v>
      </c>
      <c r="C3588" s="2" t="s">
        <v>569</v>
      </c>
      <c r="D3588" s="2" t="str">
        <f t="shared" si="55"/>
        <v>Error?</v>
      </c>
    </row>
    <row r="3589" spans="1:4" x14ac:dyDescent="0.2">
      <c r="A3589" s="5">
        <v>3528</v>
      </c>
      <c r="B3589" s="1832">
        <f>'Acct Summary 7-8'!K79</f>
        <v>170492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251395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80903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79992</v>
      </c>
      <c r="C3725" s="2" t="s">
        <v>569</v>
      </c>
      <c r="D3725" s="2" t="str">
        <f t="shared" si="57"/>
        <v>Error?</v>
      </c>
    </row>
    <row r="3726" spans="1:4" x14ac:dyDescent="0.2">
      <c r="A3726" s="5">
        <v>3665</v>
      </c>
      <c r="B3726" s="1832">
        <f>'Tax Sched 23'!D13</f>
        <v>79992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85451</v>
      </c>
      <c r="C3728" s="2" t="s">
        <v>569</v>
      </c>
      <c r="D3728" s="2" t="str">
        <f t="shared" si="57"/>
        <v>Error?</v>
      </c>
    </row>
    <row r="3729" spans="1:4" x14ac:dyDescent="0.2">
      <c r="A3729" s="5">
        <v>3668</v>
      </c>
      <c r="B3729" s="1832">
        <f>'Tax Sched 23'!E13</f>
        <v>85451</v>
      </c>
      <c r="D3729" s="2" t="str">
        <f t="shared" si="57"/>
        <v>Error?</v>
      </c>
    </row>
    <row r="3730" spans="1:4" x14ac:dyDescent="0.2">
      <c r="A3730" s="5">
        <v>3669</v>
      </c>
      <c r="B3730" s="1832">
        <f>'ICR Computation 30'!E10</f>
        <v>311487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5702375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19618090</v>
      </c>
      <c r="C4122" s="2" t="s">
        <v>569</v>
      </c>
      <c r="D4122" s="2" t="str">
        <f t="shared" si="63"/>
        <v>Error?</v>
      </c>
    </row>
    <row r="4123" spans="1:4" x14ac:dyDescent="0.2">
      <c r="A4123" s="5">
        <v>4062</v>
      </c>
      <c r="B4123" s="1832">
        <f>'Acct Summary 7-8'!D10</f>
        <v>1202772</v>
      </c>
      <c r="C4123" s="2" t="s">
        <v>569</v>
      </c>
      <c r="D4123" s="2" t="str">
        <f t="shared" si="63"/>
        <v>Error?</v>
      </c>
    </row>
    <row r="4124" spans="1:4" x14ac:dyDescent="0.2">
      <c r="A4124" s="5">
        <v>4063</v>
      </c>
      <c r="B4124" s="1832">
        <f>'Acct Summary 7-8'!E10</f>
        <v>1490451</v>
      </c>
      <c r="C4124" s="2" t="s">
        <v>569</v>
      </c>
      <c r="D4124" s="2" t="str">
        <f t="shared" si="63"/>
        <v>Error?</v>
      </c>
    </row>
    <row r="4125" spans="1:4" x14ac:dyDescent="0.2">
      <c r="A4125" s="5">
        <v>4064</v>
      </c>
      <c r="B4125" s="1832">
        <f>'Acct Summary 7-8'!F10</f>
        <v>857348</v>
      </c>
      <c r="C4125" s="2" t="s">
        <v>569</v>
      </c>
      <c r="D4125" s="2" t="str">
        <f t="shared" si="63"/>
        <v>Error?</v>
      </c>
    </row>
    <row r="4126" spans="1:4" x14ac:dyDescent="0.2">
      <c r="A4126" s="5">
        <v>4065</v>
      </c>
      <c r="B4126" s="1832">
        <f>'Acct Summary 7-8'!G10</f>
        <v>868593</v>
      </c>
      <c r="C4126" s="2" t="s">
        <v>569</v>
      </c>
      <c r="D4126" s="2" t="str">
        <f t="shared" si="63"/>
        <v>Error?</v>
      </c>
    </row>
    <row r="4127" spans="1:4" x14ac:dyDescent="0.2">
      <c r="A4127" s="5">
        <v>4066</v>
      </c>
      <c r="B4127" s="1832">
        <f>'Acct Summary 7-8'!H10</f>
        <v>1077469</v>
      </c>
      <c r="C4127" s="2" t="s">
        <v>569</v>
      </c>
      <c r="D4127" s="2" t="str">
        <f t="shared" si="63"/>
        <v>Error?</v>
      </c>
    </row>
    <row r="4128" spans="1:4" x14ac:dyDescent="0.2">
      <c r="A4128" s="5">
        <v>4067</v>
      </c>
      <c r="B4128" s="1832">
        <f>'Acct Summary 7-8'!I10</f>
        <v>85030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80903</v>
      </c>
      <c r="C4130" s="2" t="s">
        <v>569</v>
      </c>
      <c r="D4130" s="2" t="str">
        <f t="shared" si="63"/>
        <v>Error?</v>
      </c>
    </row>
    <row r="4131" spans="1:4" x14ac:dyDescent="0.2">
      <c r="A4131" s="5">
        <v>4070</v>
      </c>
      <c r="B4131" s="1832">
        <f>'Acct Summary 7-8'!C18</f>
        <v>5702375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20068508</v>
      </c>
      <c r="C4136" s="2" t="s">
        <v>569</v>
      </c>
      <c r="D4136" s="2" t="str">
        <f t="shared" si="63"/>
        <v>Error?</v>
      </c>
    </row>
    <row r="4137" spans="1:4" x14ac:dyDescent="0.2">
      <c r="A4137" s="5">
        <v>4076</v>
      </c>
      <c r="B4137" s="1832">
        <f>'Acct Summary 7-8'!D19</f>
        <v>1207675</v>
      </c>
      <c r="C4137" s="2" t="s">
        <v>569</v>
      </c>
      <c r="D4137" s="2" t="str">
        <f t="shared" si="63"/>
        <v>Error?</v>
      </c>
    </row>
    <row r="4138" spans="1:4" x14ac:dyDescent="0.2">
      <c r="A4138" s="5">
        <v>4077</v>
      </c>
      <c r="B4138" s="1832">
        <f>'Acct Summary 7-8'!E19</f>
        <v>1576827</v>
      </c>
      <c r="C4138" s="2" t="s">
        <v>569</v>
      </c>
      <c r="D4138" s="2" t="str">
        <f t="shared" si="63"/>
        <v>Error?</v>
      </c>
    </row>
    <row r="4139" spans="1:4" x14ac:dyDescent="0.2">
      <c r="A4139" s="5">
        <v>4078</v>
      </c>
      <c r="B4139" s="1832">
        <f>'Acct Summary 7-8'!F19</f>
        <v>917546</v>
      </c>
      <c r="C4139" s="2" t="s">
        <v>569</v>
      </c>
      <c r="D4139" s="2" t="str">
        <f t="shared" si="63"/>
        <v>Error?</v>
      </c>
    </row>
    <row r="4140" spans="1:4" x14ac:dyDescent="0.2">
      <c r="A4140" s="5">
        <v>4079</v>
      </c>
      <c r="B4140" s="1832">
        <f>'Acct Summary 7-8'!G19</f>
        <v>895639</v>
      </c>
      <c r="C4140" s="2" t="s">
        <v>569</v>
      </c>
      <c r="D4140" s="2" t="str">
        <f t="shared" si="63"/>
        <v>Error?</v>
      </c>
    </row>
    <row r="4141" spans="1:4" x14ac:dyDescent="0.2">
      <c r="A4141" s="5">
        <v>4080</v>
      </c>
      <c r="B4141" s="1832">
        <f>'Acct Summary 7-8'!H19</f>
        <v>820906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6394000</v>
      </c>
      <c r="C4171" s="2" t="s">
        <v>569</v>
      </c>
      <c r="D4171" s="2" t="str">
        <f t="shared" si="64"/>
        <v>Error?</v>
      </c>
    </row>
    <row r="4172" spans="1:4" x14ac:dyDescent="0.2">
      <c r="A4172" s="5">
        <v>4111</v>
      </c>
      <c r="B4172" s="1832">
        <f>'Short-Term Long-Term Debt 24'!J49</f>
        <v>6315308</v>
      </c>
      <c r="C4172" s="2" t="s">
        <v>569</v>
      </c>
      <c r="D4172" s="2" t="str">
        <f t="shared" si="64"/>
        <v>Error?</v>
      </c>
    </row>
    <row r="4173" spans="1:4" x14ac:dyDescent="0.2">
      <c r="A4173" s="5">
        <v>4112</v>
      </c>
      <c r="B4173" s="1832">
        <f>'Short-Term Long-Term Debt 24'!H49</f>
        <v>1325000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139686</v>
      </c>
      <c r="D4210" s="2" t="str">
        <f t="shared" si="64"/>
        <v>Error?</v>
      </c>
    </row>
    <row r="4211" spans="1:4" x14ac:dyDescent="0.2">
      <c r="A4211" s="5">
        <v>4150</v>
      </c>
      <c r="B4211" s="1832">
        <f>'Expenditures 15-22'!K206</f>
        <v>139686</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2381.7399999999998</v>
      </c>
      <c r="C4265" s="2" t="s">
        <v>569</v>
      </c>
      <c r="D4265" s="2" t="str">
        <f t="shared" si="65"/>
        <v>Error?</v>
      </c>
      <c r="E4265" s="125"/>
    </row>
    <row r="4266" spans="1:5" x14ac:dyDescent="0.2">
      <c r="A4266" s="12">
        <v>4205</v>
      </c>
      <c r="B4266" s="1832">
        <f>('FP Info 3'!F10)*100000</f>
        <v>4962</v>
      </c>
      <c r="C4266" s="2" t="s">
        <v>569</v>
      </c>
      <c r="D4266" s="2" t="str">
        <f t="shared" si="65"/>
        <v>Error?</v>
      </c>
      <c r="E4266" s="125"/>
    </row>
    <row r="4267" spans="1:5" x14ac:dyDescent="0.2">
      <c r="A4267" s="12">
        <v>4206</v>
      </c>
      <c r="B4267" s="1832">
        <f>('FP Info 3'!H10)*100000</f>
        <v>1984.8000000000002</v>
      </c>
      <c r="C4267" s="2" t="s">
        <v>569</v>
      </c>
      <c r="D4267" s="2" t="str">
        <f t="shared" si="65"/>
        <v>Error?</v>
      </c>
      <c r="E4267" s="125"/>
    </row>
    <row r="4268" spans="1:5" x14ac:dyDescent="0.2">
      <c r="A4268" s="12">
        <v>4207</v>
      </c>
      <c r="B4268" s="1832">
        <f>('FP Info 3'!J10)*100000</f>
        <v>9329</v>
      </c>
      <c r="C4268" s="2" t="s">
        <v>569</v>
      </c>
      <c r="D4268" s="2" t="str">
        <f t="shared" si="65"/>
        <v>Error?</v>
      </c>
    </row>
    <row r="4269" spans="1:5" x14ac:dyDescent="0.2">
      <c r="A4269" s="12">
        <v>4208</v>
      </c>
      <c r="B4269" s="1832">
        <f>'FP Info 3'!J16</f>
        <v>5118953</v>
      </c>
      <c r="C4269" s="2" t="s">
        <v>569</v>
      </c>
      <c r="D4269" s="2" t="str">
        <f t="shared" si="65"/>
        <v>Error?</v>
      </c>
    </row>
    <row r="4270" spans="1:5" x14ac:dyDescent="0.2">
      <c r="A4270" s="12">
        <v>4209</v>
      </c>
      <c r="B4270" s="1832">
        <f>'FP Info 3'!D24</f>
        <v>242387</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32418</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16629</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22909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3854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88132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496.20000000000005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1130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8642</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172218787</v>
      </c>
      <c r="D4995" s="2" t="str">
        <f t="shared" si="77"/>
        <v>Error?</v>
      </c>
    </row>
    <row r="4996" spans="1:4" x14ac:dyDescent="0.2">
      <c r="A4996" s="12">
        <v>4935</v>
      </c>
      <c r="B4996" s="1832">
        <f>'FP Info 3'!H31</f>
        <v>23766192.606000002</v>
      </c>
      <c r="D4996" s="2" t="str">
        <f t="shared" si="77"/>
        <v>Error?</v>
      </c>
    </row>
    <row r="4997" spans="1:4" x14ac:dyDescent="0.2">
      <c r="A4997" s="12">
        <v>4936</v>
      </c>
      <c r="B4997" s="1832">
        <f>'FP Info 3'!H37</f>
        <v>6394000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79992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3869576</v>
      </c>
      <c r="D5061" s="2" t="str">
        <f t="shared" si="78"/>
        <v>Error?</v>
      </c>
    </row>
    <row r="5062" spans="1:4" x14ac:dyDescent="0.2">
      <c r="A5062" s="10">
        <v>5001</v>
      </c>
      <c r="B5062" s="1832"/>
      <c r="D5062" s="2" t="str">
        <f t="shared" si="78"/>
        <v>OK</v>
      </c>
    </row>
    <row r="5063" spans="1:4" x14ac:dyDescent="0.2">
      <c r="A5063" s="5">
        <v>5002</v>
      </c>
      <c r="B5063" s="1832">
        <f>'Revenues 9-14'!C7</f>
        <v>63976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4013544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1121111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1121111</v>
      </c>
      <c r="C5071" s="2" t="s">
        <v>569</v>
      </c>
      <c r="D5071" s="2" t="str">
        <f t="shared" si="78"/>
        <v>Error?</v>
      </c>
    </row>
    <row r="5072" spans="1:4" x14ac:dyDescent="0.2">
      <c r="A5072" s="5">
        <v>5011</v>
      </c>
      <c r="B5072" s="1832">
        <f>'Revenues 9-14'!C20</f>
        <v>106367</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106367</v>
      </c>
      <c r="C5087" s="2" t="s">
        <v>569</v>
      </c>
      <c r="D5087" s="2" t="str">
        <f t="shared" si="78"/>
        <v>Error?</v>
      </c>
    </row>
    <row r="5088" spans="1:4" x14ac:dyDescent="0.2">
      <c r="A5088" s="5">
        <v>5027</v>
      </c>
      <c r="B5088" s="1832">
        <f>'Revenues 9-14'!C65</f>
        <v>10976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10976</v>
      </c>
      <c r="C5090" s="2" t="s">
        <v>569</v>
      </c>
      <c r="D5090" s="2" t="str">
        <f t="shared" si="78"/>
        <v>Error?</v>
      </c>
    </row>
    <row r="5091" spans="1:4" x14ac:dyDescent="0.2">
      <c r="A5091" s="5">
        <v>5030</v>
      </c>
      <c r="B5091" s="1832">
        <f>'Revenues 9-14'!C70</f>
        <v>5947</v>
      </c>
      <c r="D5091" s="2" t="str">
        <f t="shared" si="78"/>
        <v>Error?</v>
      </c>
    </row>
    <row r="5092" spans="1:4" x14ac:dyDescent="0.2">
      <c r="A5092" s="5">
        <v>5031</v>
      </c>
      <c r="B5092" s="1832">
        <f>'Revenues 9-14'!C71</f>
        <v>112161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4089</v>
      </c>
      <c r="D5094" s="2" t="str">
        <f t="shared" si="78"/>
        <v>Error?</v>
      </c>
    </row>
    <row r="5095" spans="1:4" x14ac:dyDescent="0.2">
      <c r="A5095" s="5">
        <v>5034</v>
      </c>
      <c r="B5095" s="1832">
        <f>'Revenues 9-14'!C74</f>
        <v>20476</v>
      </c>
      <c r="D5095" s="2" t="str">
        <f t="shared" si="78"/>
        <v>Error?</v>
      </c>
    </row>
    <row r="5096" spans="1:4" x14ac:dyDescent="0.2">
      <c r="A5096" s="5">
        <v>5035</v>
      </c>
      <c r="B5096" s="1832">
        <f>'Revenues 9-14'!C75</f>
        <v>241142</v>
      </c>
      <c r="C5096" s="2" t="s">
        <v>569</v>
      </c>
      <c r="D5096" s="2" t="str">
        <f t="shared" si="78"/>
        <v>Error?</v>
      </c>
    </row>
    <row r="5097" spans="1:4" x14ac:dyDescent="0.2">
      <c r="A5097" s="5">
        <v>5036</v>
      </c>
      <c r="B5097" s="1832">
        <f>'Revenues 9-14'!C77</f>
        <v>27196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11890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39086</v>
      </c>
      <c r="C5102" s="2" t="s">
        <v>569</v>
      </c>
      <c r="D5102" s="2" t="str">
        <f t="shared" si="78"/>
        <v>Error?</v>
      </c>
    </row>
    <row r="5103" spans="1:4" x14ac:dyDescent="0.2">
      <c r="A5103" s="5">
        <v>5042</v>
      </c>
      <c r="B5103" s="1832">
        <f>'Revenues 9-14'!C84</f>
        <v>104558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104558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663619</v>
      </c>
      <c r="D5119" s="2" t="str">
        <f t="shared" ref="D5119:D5182" si="79">IF(ISBLANK(B5119),"OK",IF(A5119-B5119=0,"OK","Error?"))</f>
        <v>Error?</v>
      </c>
    </row>
    <row r="5120" spans="1:4" x14ac:dyDescent="0.2">
      <c r="A5120" s="5">
        <v>5059</v>
      </c>
      <c r="B5120" s="1832">
        <f>'Revenues 9-14'!C108</f>
        <v>669919</v>
      </c>
      <c r="C5120" s="2" t="s">
        <v>569</v>
      </c>
      <c r="D5120" s="2" t="str">
        <f t="shared" si="79"/>
        <v>Error?</v>
      </c>
    </row>
    <row r="5121" spans="1:4" x14ac:dyDescent="0.2">
      <c r="A5121" s="5">
        <v>5060</v>
      </c>
      <c r="B5121" s="1832">
        <f>'Revenues 9-14'!C109</f>
        <v>6306703</v>
      </c>
      <c r="C5121" s="2" t="s">
        <v>569</v>
      </c>
      <c r="D5121" s="2" t="str">
        <f t="shared" si="79"/>
        <v>Error?</v>
      </c>
    </row>
    <row r="5122" spans="1:4" x14ac:dyDescent="0.2">
      <c r="A5122" s="5">
        <v>5061</v>
      </c>
      <c r="B5122" s="1832">
        <f>'Revenues 9-14'!C111</f>
        <v>271169</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271169</v>
      </c>
      <c r="C5125" s="2" t="s">
        <v>569</v>
      </c>
      <c r="D5125" s="2" t="str">
        <f t="shared" si="79"/>
        <v>Error?</v>
      </c>
    </row>
    <row r="5126" spans="1:4" x14ac:dyDescent="0.2">
      <c r="A5126" s="5">
        <v>5065</v>
      </c>
      <c r="B5126" s="1832">
        <f>'Revenues 9-14'!C117</f>
        <v>4749551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4749551</v>
      </c>
      <c r="C5132" s="2" t="s">
        <v>569</v>
      </c>
      <c r="D5132" s="2" t="str">
        <f t="shared" si="79"/>
        <v>Error?</v>
      </c>
    </row>
    <row r="5133" spans="1:4" x14ac:dyDescent="0.2">
      <c r="A5133" s="5">
        <v>5072</v>
      </c>
      <c r="B5133" s="1832">
        <f>'Revenues 9-14'!C125</f>
        <v>69925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141828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211753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16653</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27079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4380</v>
      </c>
      <c r="D5167" s="2" t="str">
        <f t="shared" si="79"/>
        <v>Error?</v>
      </c>
    </row>
    <row r="5168" spans="1:4" x14ac:dyDescent="0.2">
      <c r="A5168" s="5">
        <v>5107</v>
      </c>
      <c r="B5168" s="1832">
        <f>'Revenues 9-14'!C148</f>
        <v>11251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951567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1207160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5956711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245432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74440</v>
      </c>
      <c r="D5241" s="2" t="str">
        <f t="shared" si="80"/>
        <v>Error?</v>
      </c>
    </row>
    <row r="5242" spans="1:4" x14ac:dyDescent="0.2">
      <c r="A5242" s="5">
        <v>5181</v>
      </c>
      <c r="B5242" s="1832">
        <f>'Revenues 9-14'!C194</f>
        <v>40098</v>
      </c>
      <c r="D5242" s="2" t="str">
        <f t="shared" si="80"/>
        <v>Error?</v>
      </c>
    </row>
    <row r="5243" spans="1:4" x14ac:dyDescent="0.2">
      <c r="A5243" s="5">
        <v>5182</v>
      </c>
      <c r="B5243" s="1832">
        <f>'Revenues 9-14'!C195</f>
        <v>18526</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378496</v>
      </c>
      <c r="C5246" s="2" t="s">
        <v>569</v>
      </c>
      <c r="D5246" s="2" t="str">
        <f t="shared" si="80"/>
        <v>Error?</v>
      </c>
    </row>
    <row r="5247" spans="1:4" x14ac:dyDescent="0.2">
      <c r="A5247" s="5">
        <v>5186</v>
      </c>
      <c r="B5247" s="1832">
        <f>'Revenues 9-14'!C200</f>
        <v>408499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440917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17435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404118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421553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16629</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1381132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1381132</v>
      </c>
      <c r="C5326" s="2" t="s">
        <v>569</v>
      </c>
      <c r="D5326" s="2" t="str">
        <f t="shared" si="82"/>
        <v>Error?</v>
      </c>
    </row>
    <row r="5327" spans="1:5" x14ac:dyDescent="0.2">
      <c r="A5327" s="5">
        <v>5266</v>
      </c>
      <c r="B5327" s="1832">
        <f>'Revenues 9-14'!C268</f>
        <v>13915715</v>
      </c>
      <c r="C5327" s="2" t="s">
        <v>569</v>
      </c>
      <c r="D5327" s="2" t="str">
        <f t="shared" si="82"/>
        <v>Error?</v>
      </c>
    </row>
    <row r="5328" spans="1:5" x14ac:dyDescent="0.2">
      <c r="A5328" s="5">
        <v>5267</v>
      </c>
      <c r="B5328" s="1832">
        <f>'Revenues 9-14'!D5</f>
        <v>799749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799749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200000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200000</v>
      </c>
      <c r="C5339" s="2" t="s">
        <v>569</v>
      </c>
      <c r="D5339" s="2" t="str">
        <f t="shared" si="82"/>
        <v>Error?</v>
      </c>
    </row>
    <row r="5340" spans="1:4" x14ac:dyDescent="0.2">
      <c r="A5340" s="5">
        <v>5279</v>
      </c>
      <c r="B5340" s="1832">
        <f>'Revenues 9-14'!D65</f>
        <v>706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706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1905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412</v>
      </c>
      <c r="D5354" s="2" t="str">
        <f t="shared" si="82"/>
        <v>Error?</v>
      </c>
    </row>
    <row r="5355" spans="1:4" x14ac:dyDescent="0.2">
      <c r="A5355" s="5">
        <v>5294</v>
      </c>
      <c r="B5355" s="1832">
        <f>'Revenues 9-14'!D108</f>
        <v>2317</v>
      </c>
      <c r="C5355" s="2" t="s">
        <v>569</v>
      </c>
      <c r="D5355" s="2" t="str">
        <f t="shared" si="82"/>
        <v>Error?</v>
      </c>
    </row>
    <row r="5356" spans="1:4" x14ac:dyDescent="0.2">
      <c r="A5356" s="5">
        <v>5295</v>
      </c>
      <c r="B5356" s="1832">
        <f>'Revenues 9-14'!D109</f>
        <v>1002772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1202772</v>
      </c>
      <c r="C5508" s="2" t="s">
        <v>569</v>
      </c>
      <c r="D5508" s="2" t="str">
        <f t="shared" si="85"/>
        <v>Error?</v>
      </c>
    </row>
    <row r="5509" spans="1:4" x14ac:dyDescent="0.2">
      <c r="A5509" s="5">
        <v>5448</v>
      </c>
      <c r="B5509" s="1832">
        <f>'Revenues 9-14'!E5</f>
        <v>1487572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1487572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1379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1379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1500</v>
      </c>
      <c r="D5525" s="2" t="str">
        <f t="shared" si="85"/>
        <v>Error?</v>
      </c>
    </row>
    <row r="5526" spans="1:4" x14ac:dyDescent="0.2">
      <c r="A5526" s="5">
        <v>5465</v>
      </c>
      <c r="B5526" s="1832">
        <f>'Revenues 9-14'!E108</f>
        <v>1500</v>
      </c>
      <c r="C5526" s="2" t="s">
        <v>569</v>
      </c>
      <c r="D5526" s="2" t="str">
        <f t="shared" si="85"/>
        <v>Error?</v>
      </c>
    </row>
    <row r="5527" spans="1:4" x14ac:dyDescent="0.2">
      <c r="A5527" s="5">
        <v>5466</v>
      </c>
      <c r="B5527" s="1832">
        <f>'Revenues 9-14'!E109</f>
        <v>1490451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1490451</v>
      </c>
      <c r="C5552" s="2" t="s">
        <v>569</v>
      </c>
      <c r="D5552" s="2" t="str">
        <f t="shared" si="85"/>
        <v>Error?</v>
      </c>
    </row>
    <row r="5553" spans="1:4" x14ac:dyDescent="0.2">
      <c r="A5553" s="5">
        <v>5492</v>
      </c>
      <c r="B5553" s="1832">
        <f>'Revenues 9-14'!F5</f>
        <v>319911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319911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672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672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42929</v>
      </c>
      <c r="D5586" s="2" t="str">
        <f t="shared" si="86"/>
        <v>Error?</v>
      </c>
    </row>
    <row r="5587" spans="1:4" x14ac:dyDescent="0.2">
      <c r="A5587" s="5">
        <v>5526</v>
      </c>
      <c r="B5587" s="1832">
        <f>'Revenues 9-14'!F108</f>
        <v>42929</v>
      </c>
      <c r="C5587" s="2" t="s">
        <v>569</v>
      </c>
      <c r="D5587" s="2" t="str">
        <f t="shared" si="86"/>
        <v>Error?</v>
      </c>
    </row>
    <row r="5588" spans="1:4" x14ac:dyDescent="0.2">
      <c r="A5588" s="5">
        <v>5527</v>
      </c>
      <c r="B5588" s="1832">
        <f>'Revenues 9-14'!F109</f>
        <v>363512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460734</v>
      </c>
      <c r="D5615" s="2" t="str">
        <f t="shared" si="86"/>
        <v>Error?</v>
      </c>
    </row>
    <row r="5616" spans="1:4" x14ac:dyDescent="0.2">
      <c r="A5616" s="10">
        <v>5555</v>
      </c>
      <c r="B5616" s="1832"/>
      <c r="D5616" s="2" t="str">
        <f t="shared" si="86"/>
        <v>OK</v>
      </c>
    </row>
    <row r="5617" spans="1:5" x14ac:dyDescent="0.2">
      <c r="A5617" s="5">
        <v>5556</v>
      </c>
      <c r="B5617" s="1832">
        <f>'Revenues 9-14'!F153</f>
        <v>33102</v>
      </c>
      <c r="D5617" s="2" t="str">
        <f t="shared" si="86"/>
        <v>Error?</v>
      </c>
    </row>
    <row r="5618" spans="1:5" x14ac:dyDescent="0.2">
      <c r="A5618" s="5">
        <v>5557</v>
      </c>
      <c r="B5618" s="1832">
        <f>'Revenues 9-14'!F155</f>
        <v>493836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493836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493836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857348</v>
      </c>
      <c r="C5720" s="2" t="s">
        <v>569</v>
      </c>
      <c r="D5720" s="2" t="str">
        <f t="shared" si="88"/>
        <v>Error?</v>
      </c>
    </row>
    <row r="5721" spans="1:4" x14ac:dyDescent="0.2">
      <c r="A5721" s="5">
        <v>5660</v>
      </c>
      <c r="B5721" s="1832">
        <f>'Revenues 9-14'!G5</f>
        <v>450250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371375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821625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43500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43500</v>
      </c>
      <c r="C5730" s="2" t="s">
        <v>569</v>
      </c>
      <c r="D5730" s="2" t="str">
        <f t="shared" si="88"/>
        <v>Error?</v>
      </c>
    </row>
    <row r="5731" spans="1:4" x14ac:dyDescent="0.2">
      <c r="A5731" s="5">
        <v>5670</v>
      </c>
      <c r="B5731" s="1832">
        <f>'Revenues 9-14'!G65</f>
        <v>3468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3468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868593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3385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3385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1074084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1077469</v>
      </c>
      <c r="C5915" s="2" t="s">
        <v>569</v>
      </c>
      <c r="D5915" s="2" t="str">
        <f t="shared" si="91"/>
        <v>Error?</v>
      </c>
    </row>
    <row r="5916" spans="1:4" x14ac:dyDescent="0.2">
      <c r="A5916" s="5">
        <v>5855</v>
      </c>
      <c r="B5916" s="1832">
        <f>'Revenues 9-14'!I5</f>
        <v>79992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79992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5038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5038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85030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79992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79992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911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911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80903</v>
      </c>
      <c r="C6023" s="2" t="s">
        <v>569</v>
      </c>
      <c r="D6023" s="2" t="str">
        <f t="shared" si="93"/>
        <v>Error?</v>
      </c>
    </row>
    <row r="6024" spans="1:5" x14ac:dyDescent="0.2">
      <c r="A6024" s="5">
        <v>5963</v>
      </c>
      <c r="B6024" s="1832">
        <f>'Revenues 9-14'!G109</f>
        <v>868593</v>
      </c>
      <c r="C6024" s="2" t="s">
        <v>569</v>
      </c>
      <c r="D6024" s="2" t="str">
        <f t="shared" si="93"/>
        <v>Error?</v>
      </c>
    </row>
    <row r="6025" spans="1:5" x14ac:dyDescent="0.2">
      <c r="A6025" s="5">
        <v>5964</v>
      </c>
      <c r="B6025" s="1832">
        <f>'Revenues 9-14'!H109</f>
        <v>1077469</v>
      </c>
      <c r="C6025" s="2" t="s">
        <v>569</v>
      </c>
      <c r="D6025" s="2" t="str">
        <f t="shared" si="93"/>
        <v>Error?</v>
      </c>
    </row>
    <row r="6026" spans="1:5" x14ac:dyDescent="0.2">
      <c r="A6026" s="5">
        <v>5965</v>
      </c>
      <c r="B6026" s="1832">
        <f>'Revenues 9-14'!I109</f>
        <v>85030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80903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98469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57640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1558.6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390878</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148491</v>
      </c>
      <c r="D6078" s="2" t="str">
        <f t="shared" si="93"/>
        <v>Error?</v>
      </c>
      <c r="E6078" s="2" t="s">
        <v>924</v>
      </c>
    </row>
    <row r="6079" spans="1:5" x14ac:dyDescent="0.2">
      <c r="A6079">
        <v>6018</v>
      </c>
      <c r="B6079" s="1832">
        <f>'Short-Term Long-Term Debt 24'!F27</f>
        <v>242387</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804297</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123918</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236074</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25848</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35293</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1893845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11030</v>
      </c>
      <c r="D6142" s="2" t="str">
        <f t="shared" si="94"/>
        <v>Error?</v>
      </c>
      <c r="E6142" s="2" t="s">
        <v>189</v>
      </c>
    </row>
    <row r="6143" spans="1:5" x14ac:dyDescent="0.2">
      <c r="A6143">
        <v>6082</v>
      </c>
      <c r="B6143" s="1832">
        <f>'Assets-Liab 5-6'!D27</f>
        <v>18625</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5924</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94160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450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1171045</v>
      </c>
      <c r="D6169" s="2" t="str">
        <f t="shared" si="95"/>
        <v>Error?</v>
      </c>
      <c r="E6169" s="2" t="s">
        <v>189</v>
      </c>
    </row>
    <row r="6170" spans="1:5" x14ac:dyDescent="0.2">
      <c r="A6170">
        <v>6109</v>
      </c>
      <c r="B6170" s="1832">
        <f>'Assets-Liab 5-6'!D30</f>
        <v>12978</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6206</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751111</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757767</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1136078</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1893845</v>
      </c>
      <c r="D6216" s="2" t="str">
        <f t="shared" si="96"/>
        <v>Error?</v>
      </c>
      <c r="E6216" s="2" t="s">
        <v>189</v>
      </c>
    </row>
    <row r="6217" spans="1:5" x14ac:dyDescent="0.2">
      <c r="A6217">
        <v>6156</v>
      </c>
      <c r="B6217" s="1832">
        <f>'Assets-Liab 5-6'!J4</f>
        <v>1142734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751111</v>
      </c>
      <c r="D6219" s="2" t="str">
        <f t="shared" si="96"/>
        <v>Error?</v>
      </c>
      <c r="E6219" s="2" t="s">
        <v>189</v>
      </c>
    </row>
    <row r="6220" spans="1:5" x14ac:dyDescent="0.2">
      <c r="A6220">
        <v>6159</v>
      </c>
      <c r="B6220" s="1832">
        <f>'Acct Summary 7-8'!J4</f>
        <v>782086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782086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782086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741742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741742</v>
      </c>
      <c r="D6229" s="2" t="str">
        <f t="shared" si="96"/>
        <v>Error?</v>
      </c>
      <c r="E6229" s="2" t="s">
        <v>189</v>
      </c>
    </row>
    <row r="6230" spans="1:5" x14ac:dyDescent="0.2">
      <c r="A6230">
        <v>6169</v>
      </c>
      <c r="B6230" s="1832">
        <f>'Acct Summary 7-8'!J20</f>
        <v>40344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40344</v>
      </c>
      <c r="D6263" s="2" t="str">
        <f t="shared" si="96"/>
        <v>Error?</v>
      </c>
      <c r="E6263" s="2" t="s">
        <v>189</v>
      </c>
    </row>
    <row r="6264" spans="1:5" x14ac:dyDescent="0.2">
      <c r="A6264">
        <v>6203</v>
      </c>
      <c r="B6264" s="1832">
        <f>'Acct Summary 7-8'!J79</f>
        <v>1095734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1136078</v>
      </c>
      <c r="D6266" s="2" t="str">
        <f t="shared" si="96"/>
        <v>Error?</v>
      </c>
      <c r="E6266" s="2" t="s">
        <v>189</v>
      </c>
    </row>
    <row r="6267" spans="1:5" x14ac:dyDescent="0.2">
      <c r="A6267">
        <v>6206</v>
      </c>
      <c r="B6267" s="1832">
        <f>'Acct Summary 7-8'!C82</f>
        <v>-501991</v>
      </c>
      <c r="D6267" s="2" t="str">
        <f t="shared" si="96"/>
        <v>Error?</v>
      </c>
      <c r="E6267" s="2" t="s">
        <v>189</v>
      </c>
    </row>
    <row r="6268" spans="1:5" x14ac:dyDescent="0.2">
      <c r="A6268">
        <v>6207</v>
      </c>
      <c r="B6268" s="1832">
        <f>'Acct Summary 7-8'!D82</f>
        <v>-4903</v>
      </c>
      <c r="D6268" s="2" t="str">
        <f t="shared" si="96"/>
        <v>Error?</v>
      </c>
      <c r="E6268" s="2" t="s">
        <v>189</v>
      </c>
    </row>
    <row r="6269" spans="1:5" x14ac:dyDescent="0.2">
      <c r="A6269">
        <v>6208</v>
      </c>
      <c r="B6269" s="1832">
        <f>'Acct Summary 7-8'!E82</f>
        <v>2152</v>
      </c>
      <c r="D6269" s="2" t="str">
        <f t="shared" si="96"/>
        <v>Error?</v>
      </c>
      <c r="E6269" s="2" t="s">
        <v>189</v>
      </c>
    </row>
    <row r="6270" spans="1:5" x14ac:dyDescent="0.2">
      <c r="A6270">
        <v>6209</v>
      </c>
      <c r="B6270" s="1832">
        <f>'Acct Summary 7-8'!F82</f>
        <v>-60198</v>
      </c>
      <c r="D6270" s="2" t="str">
        <f t="shared" si="96"/>
        <v>Error?</v>
      </c>
      <c r="E6270" s="2" t="s">
        <v>189</v>
      </c>
    </row>
    <row r="6271" spans="1:5" x14ac:dyDescent="0.2">
      <c r="A6271">
        <v>6210</v>
      </c>
      <c r="B6271" s="1832">
        <f>'Acct Summary 7-8'!G82</f>
        <v>-27046</v>
      </c>
      <c r="D6271" s="2" t="str">
        <f t="shared" ref="D6271:D6334" si="97">IF(ISBLANK(B6271),"OK",IF(A6271-B6271=0,"OK","Error?"))</f>
        <v>Error?</v>
      </c>
      <c r="E6271" s="2" t="s">
        <v>189</v>
      </c>
    </row>
    <row r="6272" spans="1:5" x14ac:dyDescent="0.2">
      <c r="A6272">
        <v>6211</v>
      </c>
      <c r="B6272" s="1832">
        <f>'Acct Summary 7-8'!H82</f>
        <v>256563</v>
      </c>
      <c r="D6272" s="2" t="str">
        <f t="shared" si="97"/>
        <v>Error?</v>
      </c>
      <c r="E6272" s="2" t="s">
        <v>189</v>
      </c>
    </row>
    <row r="6273" spans="1:5" x14ac:dyDescent="0.2">
      <c r="A6273">
        <v>6212</v>
      </c>
      <c r="B6273" s="1832">
        <f>'Acct Summary 7-8'!I82</f>
        <v>2459030</v>
      </c>
      <c r="D6273" s="2" t="str">
        <f t="shared" si="97"/>
        <v>Error?</v>
      </c>
      <c r="E6273" s="2" t="s">
        <v>189</v>
      </c>
    </row>
    <row r="6274" spans="1:5" x14ac:dyDescent="0.2">
      <c r="A6274">
        <v>6213</v>
      </c>
      <c r="B6274" s="1832">
        <f>'Acct Summary 7-8'!J82</f>
        <v>40344</v>
      </c>
      <c r="D6274" s="2" t="str">
        <f t="shared" si="97"/>
        <v>Error?</v>
      </c>
      <c r="E6274" s="2" t="s">
        <v>189</v>
      </c>
    </row>
    <row r="6275" spans="1:5" x14ac:dyDescent="0.2">
      <c r="A6275">
        <v>6214</v>
      </c>
      <c r="B6275" s="1832">
        <f>'Acct Summary 7-8'!K82</f>
        <v>80903</v>
      </c>
      <c r="D6275" s="2" t="str">
        <f t="shared" si="97"/>
        <v>Error?</v>
      </c>
      <c r="E6275" s="2" t="s">
        <v>189</v>
      </c>
    </row>
    <row r="6276" spans="1:5" x14ac:dyDescent="0.2">
      <c r="A6276">
        <v>6215</v>
      </c>
      <c r="B6276" s="1832">
        <f>'Acct Summary 7-8'!C83</f>
        <v>-0.39623162758610891</v>
      </c>
      <c r="D6276" s="2" t="str">
        <f t="shared" si="97"/>
        <v>Error?</v>
      </c>
      <c r="E6276" s="2" t="s">
        <v>189</v>
      </c>
    </row>
    <row r="6277" spans="1:5" x14ac:dyDescent="0.2">
      <c r="A6277">
        <v>6216</v>
      </c>
      <c r="B6277" s="1832">
        <f>'Acct Summary 7-8'!D83</f>
        <v>-1.5846800258564964</v>
      </c>
      <c r="D6277" s="2" t="str">
        <f t="shared" si="97"/>
        <v>Error?</v>
      </c>
      <c r="E6277" s="2" t="s">
        <v>189</v>
      </c>
    </row>
    <row r="6278" spans="1:5" x14ac:dyDescent="0.2">
      <c r="A6278">
        <v>6217</v>
      </c>
      <c r="B6278" s="1832">
        <f>'Acct Summary 7-8'!E83</f>
        <v>2.7347125501956997E-2</v>
      </c>
      <c r="D6278" s="2" t="str">
        <f t="shared" si="97"/>
        <v>Error?</v>
      </c>
      <c r="E6278" s="2" t="s">
        <v>189</v>
      </c>
    </row>
    <row r="6279" spans="1:5" x14ac:dyDescent="0.2">
      <c r="A6279">
        <v>6218</v>
      </c>
      <c r="B6279" s="1832">
        <f>'Acct Summary 7-8'!F83</f>
        <v>-0.24627506811654679</v>
      </c>
      <c r="D6279" s="2" t="str">
        <f t="shared" si="97"/>
        <v>Error?</v>
      </c>
      <c r="E6279" s="2" t="s">
        <v>189</v>
      </c>
    </row>
    <row r="6280" spans="1:5" x14ac:dyDescent="0.2">
      <c r="A6280">
        <v>6219</v>
      </c>
      <c r="B6280" s="1832">
        <f>'Acct Summary 7-8'!G83</f>
        <v>-4.900756332061304E-2</v>
      </c>
      <c r="D6280" s="2" t="str">
        <f t="shared" si="97"/>
        <v>Error?</v>
      </c>
      <c r="E6280" s="2" t="s">
        <v>189</v>
      </c>
    </row>
    <row r="6281" spans="1:5" x14ac:dyDescent="0.2">
      <c r="A6281">
        <v>6220</v>
      </c>
      <c r="B6281" s="1832">
        <f>'Acct Summary 7-8'!H83</f>
        <v>0.20801162957563887</v>
      </c>
      <c r="D6281" s="2" t="str">
        <f t="shared" si="97"/>
        <v>Error?</v>
      </c>
      <c r="E6281" s="2" t="s">
        <v>189</v>
      </c>
    </row>
    <row r="6282" spans="1:5" x14ac:dyDescent="0.2">
      <c r="A6282">
        <v>6221</v>
      </c>
      <c r="B6282" s="1832">
        <f>'Acct Summary 7-8'!I83</f>
        <v>0.68220885379213603</v>
      </c>
      <c r="D6282" s="2" t="str">
        <f t="shared" si="97"/>
        <v>Error?</v>
      </c>
      <c r="E6282" s="2" t="s">
        <v>189</v>
      </c>
    </row>
    <row r="6283" spans="1:5" x14ac:dyDescent="0.2">
      <c r="A6283">
        <v>6222</v>
      </c>
      <c r="B6283" s="1832">
        <f>'Acct Summary 7-8'!J83</f>
        <v>3.5511646207390689E-2</v>
      </c>
      <c r="D6283" s="2" t="str">
        <f t="shared" si="97"/>
        <v>Error?</v>
      </c>
      <c r="E6283" s="2" t="s">
        <v>189</v>
      </c>
    </row>
    <row r="6284" spans="1:5" x14ac:dyDescent="0.2">
      <c r="A6284">
        <v>6223</v>
      </c>
      <c r="B6284" s="1832">
        <f>'Acct Summary 7-8'!K83</f>
        <v>0.32181626523996104</v>
      </c>
      <c r="D6284" s="2" t="str">
        <f t="shared" si="97"/>
        <v>Error?</v>
      </c>
      <c r="E6284" s="2" t="s">
        <v>189</v>
      </c>
    </row>
    <row r="6285" spans="1:5" x14ac:dyDescent="0.2">
      <c r="A6285">
        <v>6224</v>
      </c>
      <c r="B6285" s="1832">
        <f>'Acct Summary 7-8'!E37</f>
        <v>51573</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774710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774710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5131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5131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6300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2245</v>
      </c>
      <c r="D6350" s="2" t="str">
        <f t="shared" si="98"/>
        <v>Error?</v>
      </c>
      <c r="E6350" s="2" t="s">
        <v>189</v>
      </c>
    </row>
    <row r="6351" spans="1:5" x14ac:dyDescent="0.2">
      <c r="A6351">
        <v>6290</v>
      </c>
      <c r="B6351" s="1832">
        <f>'Revenues 9-14'!J108</f>
        <v>2245</v>
      </c>
      <c r="D6351" s="2" t="str">
        <f t="shared" si="98"/>
        <v>Error?</v>
      </c>
      <c r="E6351" s="2" t="s">
        <v>189</v>
      </c>
    </row>
    <row r="6352" spans="1:5" x14ac:dyDescent="0.2">
      <c r="A6352">
        <v>6291</v>
      </c>
      <c r="B6352" s="1832">
        <f>'Revenues 9-14'!J109</f>
        <v>782086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10426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382364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24321</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444166</v>
      </c>
      <c r="D6848" s="2" t="str">
        <f t="shared" si="106"/>
        <v>Error?</v>
      </c>
    </row>
    <row r="6849" spans="1:4" x14ac:dyDescent="0.2">
      <c r="A6849">
        <v>6788</v>
      </c>
      <c r="B6849" s="1832">
        <f>'Expenditures 15-22'!I8</f>
        <v>568</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24963</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2649</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69015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231590</v>
      </c>
      <c r="D6880" s="2" t="str">
        <f t="shared" si="106"/>
        <v>Error?</v>
      </c>
    </row>
    <row r="6881" spans="1:4" x14ac:dyDescent="0.2">
      <c r="A6881">
        <v>6820</v>
      </c>
      <c r="B6881" s="1832">
        <f>'Expenditures 15-22'!K22</f>
        <v>231590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52501</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1136</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1136</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584</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584</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584</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7771</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4087</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12442</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14162</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21126</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87789</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741742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782086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2531</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2531</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8080</v>
      </c>
      <c r="D7067" s="2" t="str">
        <f t="shared" si="109"/>
        <v>Error?</v>
      </c>
    </row>
    <row r="7068" spans="1:4" x14ac:dyDescent="0.2">
      <c r="A7068">
        <v>7007</v>
      </c>
      <c r="B7068" s="1832">
        <f>'Expenditures 15-22'!K205</f>
        <v>8080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2531</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28548</v>
      </c>
      <c r="D7073" s="2" t="str">
        <f t="shared" si="109"/>
        <v>Error?</v>
      </c>
    </row>
    <row r="7074" spans="1:4" x14ac:dyDescent="0.2">
      <c r="A7074">
        <v>7013</v>
      </c>
      <c r="B7074" s="1832">
        <f>'Expenditures 15-22'!K216</f>
        <v>28548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753</v>
      </c>
      <c r="D7079" s="2" t="str">
        <f t="shared" si="109"/>
        <v>Error?</v>
      </c>
    </row>
    <row r="7080" spans="1:4" x14ac:dyDescent="0.2">
      <c r="A7080">
        <v>7019</v>
      </c>
      <c r="B7080" s="1832">
        <f>'Expenditures 15-22'!K226</f>
        <v>753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60173</v>
      </c>
      <c r="D7089" s="2" t="str">
        <f t="shared" si="109"/>
        <v>Error?</v>
      </c>
    </row>
    <row r="7090" spans="1:4" x14ac:dyDescent="0.2">
      <c r="A7090">
        <v>7029</v>
      </c>
      <c r="B7090" s="1832">
        <f>'Expenditures 15-22'!K252</f>
        <v>60173</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306388</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306388</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306388</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66905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66905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499</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499</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112949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112949</v>
      </c>
      <c r="D7153" s="2" t="str">
        <f t="shared" si="110"/>
        <v>Error?</v>
      </c>
    </row>
    <row r="7154" spans="1:4" x14ac:dyDescent="0.2">
      <c r="A7154">
        <v>7093</v>
      </c>
      <c r="B7154" s="1832">
        <f>'Expenditures 15-22'!C323</f>
        <v>429639</v>
      </c>
      <c r="D7154" s="2" t="str">
        <f t="shared" si="110"/>
        <v>Error?</v>
      </c>
    </row>
    <row r="7155" spans="1:4" x14ac:dyDescent="0.2">
      <c r="A7155">
        <v>7094</v>
      </c>
      <c r="B7155" s="1832">
        <f>'Expenditures 15-22'!D323</f>
        <v>74158</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9600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14702</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528099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29146</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29146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4144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4144</v>
      </c>
      <c r="D7198" s="2" t="str">
        <f t="shared" si="111"/>
        <v>Error?</v>
      </c>
    </row>
    <row r="7199" spans="1:4" x14ac:dyDescent="0.2">
      <c r="A7199">
        <v>7138</v>
      </c>
      <c r="B7199" s="1832">
        <f>'Expenditures 15-22'!C330</f>
        <v>429639</v>
      </c>
      <c r="D7199" s="2" t="str">
        <f t="shared" si="111"/>
        <v>Error?</v>
      </c>
    </row>
    <row r="7200" spans="1:4" x14ac:dyDescent="0.2">
      <c r="A7200">
        <v>7139</v>
      </c>
      <c r="B7200" s="1832">
        <f>'Expenditures 15-22'!D330</f>
        <v>74158</v>
      </c>
      <c r="D7200" s="2" t="str">
        <f t="shared" si="111"/>
        <v>Error?</v>
      </c>
    </row>
    <row r="7201" spans="1:4" x14ac:dyDescent="0.2">
      <c r="A7201">
        <v>7140</v>
      </c>
      <c r="B7201" s="1832">
        <f>'Expenditures 15-22'!E330</f>
        <v>213643</v>
      </c>
      <c r="D7201" s="2" t="str">
        <f t="shared" si="111"/>
        <v>Error?</v>
      </c>
    </row>
    <row r="7202" spans="1:4" x14ac:dyDescent="0.2">
      <c r="A7202">
        <v>7141</v>
      </c>
      <c r="B7202" s="1832">
        <f>'Expenditures 15-22'!F330</f>
        <v>9600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14702</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741742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429639</v>
      </c>
      <c r="D7216" s="2" t="str">
        <f t="shared" si="111"/>
        <v>Error?</v>
      </c>
    </row>
    <row r="7217" spans="1:4" x14ac:dyDescent="0.2">
      <c r="A7217">
        <v>7156</v>
      </c>
      <c r="B7217" s="1832">
        <f>'Expenditures 15-22'!D342</f>
        <v>74158</v>
      </c>
      <c r="D7217" s="2" t="str">
        <f t="shared" si="111"/>
        <v>Error?</v>
      </c>
    </row>
    <row r="7218" spans="1:4" x14ac:dyDescent="0.2">
      <c r="A7218">
        <v>7157</v>
      </c>
      <c r="B7218" s="1832">
        <f>'Expenditures 15-22'!E342</f>
        <v>213643</v>
      </c>
      <c r="D7218" s="2" t="str">
        <f t="shared" si="111"/>
        <v>Error?</v>
      </c>
    </row>
    <row r="7219" spans="1:4" x14ac:dyDescent="0.2">
      <c r="A7219">
        <v>7158</v>
      </c>
      <c r="B7219" s="1832">
        <f>'Expenditures 15-22'!F342</f>
        <v>9600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14702</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741742</v>
      </c>
      <c r="D7224" s="2" t="str">
        <f t="shared" si="111"/>
        <v>Error?</v>
      </c>
    </row>
    <row r="7225" spans="1:4" x14ac:dyDescent="0.2">
      <c r="A7225">
        <v>7164</v>
      </c>
      <c r="B7225" s="1832">
        <f>'Expenditures 15-22'!K343</f>
        <v>40344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52059</v>
      </c>
      <c r="D7246" s="2" t="str">
        <f t="shared" si="112"/>
        <v>Error?</v>
      </c>
    </row>
    <row r="7247" spans="1:4" x14ac:dyDescent="0.2">
      <c r="A7247">
        <f t="shared" si="113"/>
        <v>7186</v>
      </c>
      <c r="B7247" s="1832">
        <f>'Expenditures 15-22'!E7</f>
        <v>422</v>
      </c>
      <c r="D7247" s="2" t="str">
        <f t="shared" si="112"/>
        <v>Error?</v>
      </c>
    </row>
    <row r="7248" spans="1:4" x14ac:dyDescent="0.2">
      <c r="A7248">
        <f t="shared" si="113"/>
        <v>7187</v>
      </c>
      <c r="B7248" s="1832">
        <f>'Expenditures 15-22'!F7</f>
        <v>9321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52237</v>
      </c>
      <c r="D7263" s="2" t="str">
        <f t="shared" si="112"/>
        <v>Error?</v>
      </c>
    </row>
    <row r="7264" spans="1:4" x14ac:dyDescent="0.2">
      <c r="A7264">
        <f t="shared" si="113"/>
        <v>7203</v>
      </c>
      <c r="B7264" s="1832">
        <f>'Expenditures 15-22'!D17</f>
        <v>12226</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1242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3310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411410</v>
      </c>
      <c r="D7624" s="2" t="str">
        <f t="shared" si="124"/>
        <v>Error?</v>
      </c>
      <c r="E7624" s="2" t="s">
        <v>19</v>
      </c>
    </row>
    <row r="7625" spans="1:5" x14ac:dyDescent="0.2">
      <c r="A7625">
        <f t="shared" si="123"/>
        <v>7564</v>
      </c>
      <c r="B7625" s="1832">
        <f>'Cap Outlay Deprec 26'!I17</f>
        <v>41141</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744018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51573</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976844</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3385</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6300</v>
      </c>
      <c r="D7712" s="2" t="str">
        <f t="shared" si="126"/>
        <v>Error?</v>
      </c>
      <c r="E7712" s="2" t="s">
        <v>822</v>
      </c>
    </row>
    <row r="7713" spans="1:6" x14ac:dyDescent="0.2">
      <c r="A7713">
        <v>7652</v>
      </c>
      <c r="B7713" s="1832">
        <f>'Rest Tax Levies-Tort Im 25'!J8</f>
        <v>1074084</v>
      </c>
      <c r="D7713" s="2" t="str">
        <f t="shared" si="126"/>
        <v>Error?</v>
      </c>
      <c r="E7713" s="2" t="s">
        <v>822</v>
      </c>
    </row>
    <row r="7714" spans="1:6" x14ac:dyDescent="0.2">
      <c r="A7714">
        <v>7653</v>
      </c>
      <c r="B7714" s="1832">
        <f>'Rest Tax Levies-Tort Im 25'!K9</f>
        <v>11251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1077469</v>
      </c>
      <c r="D7718" s="2" t="str">
        <f t="shared" si="126"/>
        <v>Error?</v>
      </c>
      <c r="E7718" s="2" t="s">
        <v>822</v>
      </c>
    </row>
    <row r="7719" spans="1:6" x14ac:dyDescent="0.2">
      <c r="A7719">
        <v>7658</v>
      </c>
      <c r="B7719" s="1832">
        <f>'Rest Tax Levies-Tort Im 25'!K12</f>
        <v>17551</v>
      </c>
      <c r="D7719" s="2" t="str">
        <f t="shared" si="126"/>
        <v>Error?</v>
      </c>
      <c r="E7719" s="2" t="s">
        <v>822</v>
      </c>
    </row>
    <row r="7720" spans="1:6" x14ac:dyDescent="0.2">
      <c r="A7720">
        <v>7659</v>
      </c>
      <c r="B7720" s="1832">
        <f>'Rest Tax Levies-Tort Im 25'!H14</f>
        <v>63976</v>
      </c>
      <c r="D7720" s="2" t="str">
        <f t="shared" si="126"/>
        <v>Error?</v>
      </c>
      <c r="E7720" s="2" t="s">
        <v>822</v>
      </c>
    </row>
    <row r="7721" spans="1:6" x14ac:dyDescent="0.2">
      <c r="A7721">
        <v>7660</v>
      </c>
      <c r="B7721" s="1832">
        <f>'Rest Tax Levies-Tort Im 25'!K14</f>
        <v>17551</v>
      </c>
      <c r="D7721" s="2" t="str">
        <f t="shared" si="126"/>
        <v>Error?</v>
      </c>
      <c r="E7721" s="2" t="s">
        <v>822</v>
      </c>
    </row>
    <row r="7722" spans="1:6" x14ac:dyDescent="0.2">
      <c r="A7722">
        <v>7661</v>
      </c>
      <c r="B7722" s="1832">
        <f>'Rest Tax Levies-Tort Im 25'!J15</f>
        <v>820906</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820906</v>
      </c>
      <c r="D7730" s="2" t="str">
        <f t="shared" si="126"/>
        <v>Error?</v>
      </c>
      <c r="E7730" s="2" t="s">
        <v>822</v>
      </c>
    </row>
    <row r="7731" spans="1:6" x14ac:dyDescent="0.2">
      <c r="A7731">
        <v>7670</v>
      </c>
      <c r="B7731" s="1832">
        <f>'Revenues 9-14'!H103</f>
        <v>1074084</v>
      </c>
      <c r="D7731" s="2" t="str">
        <f t="shared" si="126"/>
        <v>Error?</v>
      </c>
      <c r="E7731" s="2" t="s">
        <v>822</v>
      </c>
    </row>
    <row r="7732" spans="1:6" x14ac:dyDescent="0.2">
      <c r="A7732">
        <v>7671</v>
      </c>
      <c r="B7732" s="1832">
        <f>'Rest Tax Levies-Tort Im 25'!J24</f>
        <v>1233407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1233407</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92082</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92082</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17551</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12410000</v>
      </c>
      <c r="D7817" s="2" t="str">
        <f t="shared" si="128"/>
        <v>Error?</v>
      </c>
      <c r="E7817" s="4" t="s">
        <v>1963</v>
      </c>
    </row>
    <row r="7818" spans="1:5" x14ac:dyDescent="0.2">
      <c r="A7818">
        <v>7757</v>
      </c>
      <c r="B7818" s="1832">
        <f>'PCTC-OEPP 27-28'!F172</f>
        <v>289868</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-197394</v>
      </c>
      <c r="D7820" s="2" t="str">
        <f t="shared" si="128"/>
        <v>Error?</v>
      </c>
    </row>
    <row r="7821" spans="1:5" x14ac:dyDescent="0.2">
      <c r="A7821">
        <v>7760</v>
      </c>
      <c r="B7821" s="1832">
        <f>'ICR Computation 30'!G40</f>
        <v>-197394</v>
      </c>
      <c r="D7821" s="2" t="str">
        <f t="shared" si="128"/>
        <v>Error?</v>
      </c>
    </row>
    <row r="7822" spans="1:5" x14ac:dyDescent="0.2">
      <c r="A7822" s="1">
        <v>7761</v>
      </c>
      <c r="B7822" s="1832">
        <f>'PCTC-OEPP 27-28'!F14</f>
        <v>19705562</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444166</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699022</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3928644</v>
      </c>
      <c r="D7834" s="2" t="str">
        <f t="shared" si="129"/>
        <v>Error?</v>
      </c>
      <c r="E7834" s="4" t="s">
        <v>1995</v>
      </c>
    </row>
    <row r="7835" spans="1:5" x14ac:dyDescent="0.2">
      <c r="A7835">
        <v>7774</v>
      </c>
      <c r="B7835" s="1832">
        <f>'PCTC-OEPP 27-28'!F78</f>
        <v>15776918</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10122.49326318491</v>
      </c>
      <c r="D7837" s="2" t="str">
        <f t="shared" si="129"/>
        <v>Error?</v>
      </c>
      <c r="E7837" s="4" t="s">
        <v>1995</v>
      </c>
    </row>
    <row r="7838" spans="1:5" x14ac:dyDescent="0.2">
      <c r="A7838">
        <v>7777</v>
      </c>
      <c r="B7838" s="1832">
        <f>'PCTC-OEPP 27-28'!F96</f>
        <v>39086</v>
      </c>
      <c r="D7838" s="2" t="str">
        <f t="shared" si="129"/>
        <v>Error?</v>
      </c>
      <c r="E7838" s="4" t="s">
        <v>1995</v>
      </c>
    </row>
    <row r="7839" spans="1:5" x14ac:dyDescent="0.2">
      <c r="A7839">
        <v>7778</v>
      </c>
      <c r="B7839" s="1832">
        <f>'PCTC-OEPP 27-28'!F102</f>
        <v>1905</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211753</v>
      </c>
      <c r="D7842" s="2" t="str">
        <f t="shared" si="129"/>
        <v>Error?</v>
      </c>
      <c r="E7842" s="4" t="s">
        <v>1995</v>
      </c>
    </row>
    <row r="7843" spans="1:5" x14ac:dyDescent="0.2">
      <c r="A7843">
        <v>7782</v>
      </c>
      <c r="B7843" s="1832">
        <f>'PCTC-OEPP 27-28'!F107</f>
        <v>27079</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11251</v>
      </c>
      <c r="D7846" s="2" t="str">
        <f t="shared" si="129"/>
        <v>Error?</v>
      </c>
      <c r="E7846" s="4" t="s">
        <v>1995</v>
      </c>
    </row>
    <row r="7847" spans="1:5" x14ac:dyDescent="0.2">
      <c r="A7847">
        <v>7786</v>
      </c>
      <c r="B7847" s="1832">
        <f>'PCTC-OEPP 27-28'!F112</f>
        <v>493836</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1130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378496</v>
      </c>
      <c r="D7858" s="2" t="str">
        <f t="shared" si="129"/>
        <v>Error?</v>
      </c>
      <c r="E7858" s="4" t="s">
        <v>1995</v>
      </c>
    </row>
    <row r="7859" spans="1:5" x14ac:dyDescent="0.2">
      <c r="A7859">
        <v>7798</v>
      </c>
      <c r="B7859" s="1832">
        <f>'PCTC-OEPP 27-28'!F127</f>
        <v>440917</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404118</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16629</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88132</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22909</v>
      </c>
      <c r="D7874" s="2" t="str">
        <f t="shared" si="129"/>
        <v>Error?</v>
      </c>
      <c r="E7874" s="4" t="s">
        <v>1995</v>
      </c>
    </row>
    <row r="7875" spans="1:5" x14ac:dyDescent="0.2">
      <c r="A7875">
        <v>7814</v>
      </c>
      <c r="B7875" s="1832">
        <f>'PCTC-OEPP 27-28'!F170</f>
        <v>3854</v>
      </c>
      <c r="D7875" s="2" t="str">
        <f t="shared" si="129"/>
        <v>Error?</v>
      </c>
      <c r="E7875" s="4" t="s">
        <v>1995</v>
      </c>
    </row>
    <row r="7876" spans="1:5" x14ac:dyDescent="0.2">
      <c r="A7876">
        <v>7815</v>
      </c>
      <c r="B7876" s="1832">
        <f>'PCTC-OEPP 27-28'!F171</f>
        <v>8642</v>
      </c>
      <c r="D7876" s="2" t="str">
        <f t="shared" si="129"/>
        <v>Error?</v>
      </c>
      <c r="E7876" s="4" t="s">
        <v>1995</v>
      </c>
    </row>
    <row r="7877" spans="1:5" x14ac:dyDescent="0.2">
      <c r="A7877">
        <v>7816</v>
      </c>
      <c r="B7877" s="1832">
        <f>'PCTC-OEPP 27-28'!F175</f>
        <v>2789685</v>
      </c>
      <c r="D7877" s="2" t="str">
        <f t="shared" si="129"/>
        <v>Error?</v>
      </c>
      <c r="E7877" s="4" t="s">
        <v>1995</v>
      </c>
    </row>
    <row r="7878" spans="1:5" x14ac:dyDescent="0.2">
      <c r="A7878">
        <v>7817</v>
      </c>
      <c r="B7878" s="1832">
        <f>'PCTC-OEPP 27-28'!F176</f>
        <v>12987233</v>
      </c>
      <c r="D7878" s="2" t="str">
        <f t="shared" si="129"/>
        <v>Error?</v>
      </c>
      <c r="E7878" s="4" t="s">
        <v>1995</v>
      </c>
    </row>
    <row r="7879" spans="1:5" x14ac:dyDescent="0.2">
      <c r="A7879">
        <v>7818</v>
      </c>
      <c r="B7879" s="1832">
        <f>'PCTC-OEPP 27-28'!F178</f>
        <v>13731251</v>
      </c>
      <c r="D7879" s="2" t="str">
        <f t="shared" si="129"/>
        <v>Error?</v>
      </c>
      <c r="E7879" s="4" t="s">
        <v>1995</v>
      </c>
    </row>
    <row r="7880" spans="1:5" x14ac:dyDescent="0.2">
      <c r="A7880">
        <v>7819</v>
      </c>
      <c r="B7880" s="1832">
        <f>'PCTC-OEPP 27-28'!F180</f>
        <v>8809.9903759784429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14702</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P68" sqref="P6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Hillsboro CUSD 3</v>
      </c>
      <c r="B7" s="2517"/>
      <c r="C7" s="2517"/>
      <c r="D7" s="2555"/>
      <c r="E7" s="2556">
        <f>COVER!A13</f>
        <v>3068003026</v>
      </c>
      <c r="F7" s="2557"/>
      <c r="G7" s="2523" t="str">
        <f>COVER!T23</f>
        <v>065-026956</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Scheffel Boyle</v>
      </c>
      <c r="H9" s="2530"/>
      <c r="I9" s="2530"/>
      <c r="J9" s="2530"/>
      <c r="K9" s="2530"/>
      <c r="L9" s="2531"/>
    </row>
    <row r="10" spans="1:29" ht="13.5" customHeight="1" x14ac:dyDescent="0.2">
      <c r="A10" s="2513" t="str">
        <f>COVER!A38</f>
        <v>David Powell</v>
      </c>
      <c r="B10" s="2514"/>
      <c r="C10" s="2514"/>
      <c r="D10" s="2514"/>
      <c r="E10" s="2514"/>
      <c r="F10" s="2515"/>
      <c r="G10" s="2529" t="str">
        <f>COVER!T17</f>
        <v>222 East Main Street</v>
      </c>
      <c r="H10" s="2542"/>
      <c r="I10" s="2542"/>
      <c r="J10" s="2542"/>
      <c r="K10" s="2542"/>
      <c r="L10" s="2543"/>
    </row>
    <row r="11" spans="1:29" ht="13.5" customHeight="1" x14ac:dyDescent="0.2">
      <c r="A11" s="963" t="s">
        <v>1502</v>
      </c>
      <c r="B11" s="964"/>
      <c r="C11" s="965"/>
      <c r="D11" s="970"/>
      <c r="E11" s="965"/>
      <c r="F11" s="969"/>
      <c r="G11" s="2529" t="str">
        <f>COVER!T19</f>
        <v>Belleville</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dale.holtmann@scheffelboyle.com</v>
      </c>
      <c r="J13" s="2551"/>
      <c r="K13" s="2551"/>
      <c r="L13" s="2552"/>
    </row>
    <row r="14" spans="1:29" ht="13.5" customHeight="1" x14ac:dyDescent="0.2">
      <c r="A14" s="2529" t="str">
        <f>COVER!A19</f>
        <v>1311 Vandalia Road</v>
      </c>
      <c r="B14" s="2542"/>
      <c r="C14" s="2542"/>
      <c r="D14" s="2542"/>
      <c r="E14" s="2542"/>
      <c r="F14" s="2543"/>
      <c r="G14" s="974" t="s">
        <v>1175</v>
      </c>
      <c r="H14" s="972"/>
      <c r="I14" s="972"/>
      <c r="J14" s="972"/>
      <c r="K14" s="972"/>
      <c r="L14" s="973"/>
    </row>
    <row r="15" spans="1:29" ht="13.5" customHeight="1" x14ac:dyDescent="0.2">
      <c r="A15" s="2529" t="str">
        <f>COVER!A21</f>
        <v>Hillsboro</v>
      </c>
      <c r="B15" s="2542"/>
      <c r="C15" s="2542"/>
      <c r="D15" s="2542"/>
      <c r="E15" s="2542"/>
      <c r="F15" s="2543"/>
      <c r="G15" s="2539" t="str">
        <f>COVER!T15</f>
        <v>Dale Holtmann</v>
      </c>
      <c r="H15" s="2540"/>
      <c r="I15" s="2540"/>
      <c r="J15" s="2540"/>
      <c r="K15" s="2540"/>
      <c r="L15" s="2541"/>
    </row>
    <row r="16" spans="1:29" ht="12.2" customHeight="1" x14ac:dyDescent="0.2">
      <c r="A16" s="2519">
        <f>COVER!A25</f>
        <v>62049</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618-277-8100</v>
      </c>
      <c r="H18" s="2517"/>
      <c r="I18" s="2517"/>
      <c r="J18" s="2517"/>
      <c r="K18" s="2516" t="str">
        <f>COVER!X21</f>
        <v>618-233-6334</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P68" sqref="P6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Hillsboro CUSD 3</v>
      </c>
      <c r="B1" s="2559"/>
      <c r="C1" s="2559"/>
      <c r="D1" s="2559"/>
    </row>
    <row r="2" spans="1:11" s="991" customFormat="1" ht="12.75" x14ac:dyDescent="0.2">
      <c r="A2" s="2560">
        <f>'Single Audit Cover'!E7</f>
        <v>3068003026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P68" sqref="P6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Hillsboro CUSD 3</v>
      </c>
      <c r="B1" s="2563"/>
      <c r="C1" s="2563"/>
      <c r="D1" s="2563"/>
      <c r="E1" s="2563"/>
    </row>
    <row r="2" spans="1:5" x14ac:dyDescent="0.2">
      <c r="A2" s="2564">
        <f>'Single Audit Cover'!E7</f>
        <v>3068003026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1381132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57640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-3854</v>
      </c>
    </row>
    <row r="19" spans="1:4" ht="13.5" thickBot="1" x14ac:dyDescent="0.25">
      <c r="A19" s="1041" t="s">
        <v>1224</v>
      </c>
      <c r="D19" s="1042">
        <f>SUM(D10:D17)</f>
        <v>1434918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1434918</v>
      </c>
    </row>
    <row r="33" spans="1:4" x14ac:dyDescent="0.2">
      <c r="D33" s="1045"/>
    </row>
    <row r="34" spans="1:4" x14ac:dyDescent="0.2">
      <c r="A34" s="295" t="s">
        <v>1221</v>
      </c>
    </row>
    <row r="35" spans="1:4" x14ac:dyDescent="0.2">
      <c r="A35" s="295" t="s">
        <v>1220</v>
      </c>
      <c r="B35" s="1034" t="s">
        <v>1219</v>
      </c>
      <c r="D35" s="1046">
        <v>1434918</v>
      </c>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1434918</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A4204-0F44-4561-852F-354DD608D756}">
  <dimension ref="B1:N152"/>
  <sheetViews>
    <sheetView showGridLines="0" zoomScaleNormal="100" workbookViewId="0">
      <selection activeCell="P68" sqref="P6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Hillsboro CUSD 3</v>
      </c>
      <c r="C1" s="2567"/>
      <c r="D1" s="2567"/>
      <c r="E1" s="2567"/>
      <c r="F1" s="2567"/>
      <c r="G1" s="2567"/>
      <c r="H1" s="2567"/>
      <c r="I1" s="2567"/>
      <c r="J1" s="2567"/>
      <c r="K1" s="2567"/>
      <c r="L1" s="2567"/>
      <c r="M1" s="2567"/>
    </row>
    <row r="2" spans="2:14" ht="15" x14ac:dyDescent="0.2">
      <c r="B2" s="2568">
        <f>'Single Audit Cover'!E7</f>
        <v>3068003026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2134</v>
      </c>
      <c r="C11" s="1821"/>
      <c r="D11" s="1822"/>
      <c r="E11" s="1823"/>
      <c r="F11" s="1823"/>
      <c r="G11" s="1823"/>
      <c r="H11" s="1823"/>
      <c r="I11" s="1823"/>
      <c r="J11" s="1823"/>
      <c r="K11" s="1823"/>
      <c r="L11" s="1823">
        <f>+G11+I11+K11</f>
        <v>0</v>
      </c>
      <c r="M11" s="1823"/>
    </row>
    <row r="12" spans="2:14" ht="20.100000000000001" customHeight="1" x14ac:dyDescent="0.2">
      <c r="B12" s="1113" t="s">
        <v>2069</v>
      </c>
      <c r="C12" s="1824">
        <v>10.555</v>
      </c>
      <c r="D12" s="1825" t="s">
        <v>2073</v>
      </c>
      <c r="E12" s="1826"/>
      <c r="F12" s="1826">
        <v>194679</v>
      </c>
      <c r="G12" s="1826"/>
      <c r="H12" s="1826"/>
      <c r="I12" s="1826">
        <v>194679</v>
      </c>
      <c r="J12" s="1826"/>
      <c r="K12" s="1826"/>
      <c r="L12" s="1823">
        <f t="shared" ref="L12:L26" si="0">+G12+I12+K12</f>
        <v>194679</v>
      </c>
      <c r="M12" s="1826" t="s">
        <v>2077</v>
      </c>
    </row>
    <row r="13" spans="2:14" ht="20.100000000000001" customHeight="1" x14ac:dyDescent="0.2">
      <c r="B13" s="1113" t="s">
        <v>2070</v>
      </c>
      <c r="C13" s="1824">
        <v>10.555</v>
      </c>
      <c r="D13" s="1825" t="s">
        <v>2074</v>
      </c>
      <c r="E13" s="1826">
        <v>240050</v>
      </c>
      <c r="F13" s="1826">
        <v>50753</v>
      </c>
      <c r="G13" s="1826">
        <v>240050</v>
      </c>
      <c r="H13" s="1826"/>
      <c r="I13" s="1826">
        <v>50753</v>
      </c>
      <c r="J13" s="1826"/>
      <c r="K13" s="1826"/>
      <c r="L13" s="1823">
        <f t="shared" si="0"/>
        <v>290803</v>
      </c>
      <c r="M13" s="1826" t="s">
        <v>2077</v>
      </c>
    </row>
    <row r="14" spans="2:14" ht="20.100000000000001" customHeight="1" x14ac:dyDescent="0.2">
      <c r="B14" s="1113" t="s">
        <v>2071</v>
      </c>
      <c r="C14" s="1824">
        <v>10.553000000000001</v>
      </c>
      <c r="D14" s="1825" t="s">
        <v>2075</v>
      </c>
      <c r="E14" s="1826"/>
      <c r="F14" s="1826">
        <v>61902</v>
      </c>
      <c r="G14" s="1826"/>
      <c r="H14" s="1826"/>
      <c r="I14" s="1826">
        <v>61902</v>
      </c>
      <c r="J14" s="1826"/>
      <c r="K14" s="1826"/>
      <c r="L14" s="1823">
        <f t="shared" si="0"/>
        <v>61902</v>
      </c>
      <c r="M14" s="1826" t="s">
        <v>2077</v>
      </c>
    </row>
    <row r="15" spans="2:14" ht="20.100000000000001" customHeight="1" x14ac:dyDescent="0.2">
      <c r="B15" s="1113" t="s">
        <v>2072</v>
      </c>
      <c r="C15" s="1824">
        <v>10.553000000000001</v>
      </c>
      <c r="D15" s="1825" t="s">
        <v>2076</v>
      </c>
      <c r="E15" s="1826">
        <v>63257</v>
      </c>
      <c r="F15" s="1826">
        <v>12538</v>
      </c>
      <c r="G15" s="1826">
        <v>63257</v>
      </c>
      <c r="H15" s="1826"/>
      <c r="I15" s="1826">
        <v>12538</v>
      </c>
      <c r="J15" s="1826"/>
      <c r="K15" s="1826"/>
      <c r="L15" s="1823">
        <f t="shared" si="0"/>
        <v>75795</v>
      </c>
      <c r="M15" s="1826" t="s">
        <v>2077</v>
      </c>
    </row>
    <row r="16" spans="2:14" ht="20.100000000000001" customHeight="1" x14ac:dyDescent="0.2">
      <c r="B16" s="1113" t="s">
        <v>2078</v>
      </c>
      <c r="C16" s="1824">
        <v>10.558999999999999</v>
      </c>
      <c r="D16" s="1825" t="s">
        <v>2079</v>
      </c>
      <c r="E16" s="1826"/>
      <c r="F16" s="1826">
        <v>40098</v>
      </c>
      <c r="G16" s="1826"/>
      <c r="H16" s="1826"/>
      <c r="I16" s="1826">
        <v>40098</v>
      </c>
      <c r="J16" s="1826"/>
      <c r="K16" s="1826"/>
      <c r="L16" s="1823">
        <f t="shared" si="0"/>
        <v>40098</v>
      </c>
      <c r="M16" s="1826" t="s">
        <v>2077</v>
      </c>
    </row>
    <row r="17" spans="2:14" ht="20.100000000000001" customHeight="1" x14ac:dyDescent="0.2">
      <c r="B17" s="1113" t="s">
        <v>2081</v>
      </c>
      <c r="C17" s="1824"/>
      <c r="D17" s="1825"/>
      <c r="E17" s="1826">
        <f>+E12+E13+E14+E15+E16</f>
        <v>303307</v>
      </c>
      <c r="F17" s="1826">
        <f>+F12+F13+F14+F15+F16</f>
        <v>359970</v>
      </c>
      <c r="G17" s="1826">
        <f>+G12+G13+G14+G15+G16</f>
        <v>303307</v>
      </c>
      <c r="H17" s="1826"/>
      <c r="I17" s="1826">
        <f>+I12+I13+I14+I15+I16</f>
        <v>359970</v>
      </c>
      <c r="J17" s="1826"/>
      <c r="K17" s="1826"/>
      <c r="L17" s="1823">
        <f t="shared" si="0"/>
        <v>663277</v>
      </c>
      <c r="M17" s="1826"/>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t="s">
        <v>2082</v>
      </c>
      <c r="C19" s="1824">
        <v>10.558</v>
      </c>
      <c r="D19" s="1825" t="s">
        <v>2084</v>
      </c>
      <c r="E19" s="1826"/>
      <c r="F19" s="1826">
        <v>13108</v>
      </c>
      <c r="G19" s="1826"/>
      <c r="H19" s="1826"/>
      <c r="I19" s="1826">
        <v>13108</v>
      </c>
      <c r="J19" s="1826"/>
      <c r="K19" s="1826"/>
      <c r="L19" s="1823">
        <f>+G19+I19</f>
        <v>13108</v>
      </c>
      <c r="M19" s="1826" t="s">
        <v>2077</v>
      </c>
    </row>
    <row r="20" spans="2:14" ht="20.100000000000001" customHeight="1" x14ac:dyDescent="0.2">
      <c r="B20" s="1113" t="s">
        <v>2083</v>
      </c>
      <c r="C20" s="1824">
        <v>10.558</v>
      </c>
      <c r="D20" s="1825" t="s">
        <v>2085</v>
      </c>
      <c r="E20" s="1826">
        <v>17461</v>
      </c>
      <c r="F20" s="1826">
        <v>5418</v>
      </c>
      <c r="G20" s="1826">
        <v>17461</v>
      </c>
      <c r="H20" s="1826"/>
      <c r="I20" s="1826">
        <v>5418</v>
      </c>
      <c r="J20" s="1826"/>
      <c r="K20" s="1826"/>
      <c r="L20" s="1823">
        <f t="shared" si="0"/>
        <v>22879</v>
      </c>
      <c r="M20" s="1826" t="s">
        <v>2077</v>
      </c>
    </row>
    <row r="21" spans="2:14" ht="20.100000000000001" customHeight="1" x14ac:dyDescent="0.2">
      <c r="B21" s="1113" t="s">
        <v>2086</v>
      </c>
      <c r="C21" s="1824"/>
      <c r="D21" s="1825"/>
      <c r="E21" s="1826">
        <f>+E19+E20</f>
        <v>17461</v>
      </c>
      <c r="F21" s="1826">
        <f>+F19+F20</f>
        <v>18526</v>
      </c>
      <c r="G21" s="1826">
        <f>+G19+G20</f>
        <v>17461</v>
      </c>
      <c r="H21" s="1826"/>
      <c r="I21" s="1826">
        <f>+I19+I20</f>
        <v>18526</v>
      </c>
      <c r="J21" s="1826"/>
      <c r="K21" s="1826"/>
      <c r="L21" s="1823">
        <f t="shared" si="0"/>
        <v>35987</v>
      </c>
      <c r="M21" s="1826"/>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t="s">
        <v>2135</v>
      </c>
      <c r="C23" s="1824"/>
      <c r="D23" s="1825"/>
      <c r="E23" s="1826">
        <f>+E17+E21</f>
        <v>320768</v>
      </c>
      <c r="F23" s="1826">
        <f>+F17+F21</f>
        <v>378496</v>
      </c>
      <c r="G23" s="1826">
        <f>+G17+G21</f>
        <v>320768</v>
      </c>
      <c r="H23" s="1826"/>
      <c r="I23" s="1826">
        <f>+I17+I21</f>
        <v>378496</v>
      </c>
      <c r="J23" s="1826"/>
      <c r="K23" s="1826"/>
      <c r="L23" s="1823">
        <f t="shared" si="0"/>
        <v>699264</v>
      </c>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t="s">
        <v>2136</v>
      </c>
      <c r="C25" s="1824"/>
      <c r="D25" s="1825"/>
      <c r="E25" s="1826"/>
      <c r="F25" s="1826"/>
      <c r="G25" s="1826"/>
      <c r="H25" s="1826"/>
      <c r="I25" s="1826"/>
      <c r="J25" s="1826"/>
      <c r="K25" s="1826"/>
      <c r="L25" s="1823"/>
      <c r="M25" s="1826"/>
    </row>
    <row r="26" spans="2:14" ht="20.100000000000001" customHeight="1" x14ac:dyDescent="0.2">
      <c r="B26" s="1113" t="s">
        <v>2087</v>
      </c>
      <c r="C26" s="1824">
        <v>93.778000000000006</v>
      </c>
      <c r="D26" s="1825" t="s">
        <v>2088</v>
      </c>
      <c r="E26" s="1826"/>
      <c r="F26" s="1826">
        <v>22909</v>
      </c>
      <c r="G26" s="1826"/>
      <c r="H26" s="1826"/>
      <c r="I26" s="1826">
        <v>22909</v>
      </c>
      <c r="J26" s="1826"/>
      <c r="K26" s="1826"/>
      <c r="L26" s="1823">
        <f t="shared" si="0"/>
        <v>22909</v>
      </c>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6F36-A8A6-47F9-BE6B-18AC75FDCC4B}">
  <dimension ref="B1:N152"/>
  <sheetViews>
    <sheetView showGridLines="0" zoomScaleNormal="100" workbookViewId="0">
      <selection activeCell="P68" sqref="P6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Hillsboro CUSD 3</v>
      </c>
      <c r="C1" s="2567"/>
      <c r="D1" s="2567"/>
      <c r="E1" s="2567"/>
      <c r="F1" s="2567"/>
      <c r="G1" s="2567"/>
      <c r="H1" s="2567"/>
      <c r="I1" s="2567"/>
      <c r="J1" s="2567"/>
      <c r="K1" s="2567"/>
      <c r="L1" s="2567"/>
      <c r="M1" s="2567"/>
    </row>
    <row r="2" spans="2:14" ht="15" x14ac:dyDescent="0.2">
      <c r="B2" s="2568">
        <f>'Single Audit Cover'!E7</f>
        <v>3068003026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2137</v>
      </c>
      <c r="C11" s="1821"/>
      <c r="D11" s="1822"/>
      <c r="E11" s="1823"/>
      <c r="F11" s="1823"/>
      <c r="G11" s="1823"/>
      <c r="H11" s="1823"/>
      <c r="I11" s="1823"/>
      <c r="J11" s="1823"/>
      <c r="K11" s="1823"/>
      <c r="L11" s="1823"/>
      <c r="M11" s="1823"/>
    </row>
    <row r="12" spans="2:14" ht="20.100000000000001" customHeight="1" x14ac:dyDescent="0.2">
      <c r="B12" s="1113" t="s">
        <v>2089</v>
      </c>
      <c r="C12" s="1824">
        <v>84.01</v>
      </c>
      <c r="D12" s="1825" t="s">
        <v>2091</v>
      </c>
      <c r="E12" s="1826"/>
      <c r="F12" s="1826">
        <v>408499</v>
      </c>
      <c r="G12" s="1826"/>
      <c r="H12" s="1826"/>
      <c r="I12" s="1826">
        <v>408499</v>
      </c>
      <c r="J12" s="1826"/>
      <c r="K12" s="1826"/>
      <c r="L12" s="1823">
        <f t="shared" ref="L12:L24" si="0">+G12+I12+K12</f>
        <v>408499</v>
      </c>
      <c r="M12" s="1826">
        <v>408499</v>
      </c>
    </row>
    <row r="13" spans="2:14" ht="20.100000000000001" customHeight="1" x14ac:dyDescent="0.2">
      <c r="B13" s="1113" t="s">
        <v>2090</v>
      </c>
      <c r="C13" s="1824">
        <v>84.01</v>
      </c>
      <c r="D13" s="1825" t="s">
        <v>2092</v>
      </c>
      <c r="E13" s="1826"/>
      <c r="F13" s="1826">
        <v>32418</v>
      </c>
      <c r="G13" s="1826"/>
      <c r="H13" s="1826"/>
      <c r="I13" s="1826">
        <v>32418</v>
      </c>
      <c r="J13" s="1826"/>
      <c r="K13" s="1826"/>
      <c r="L13" s="1823">
        <f t="shared" si="0"/>
        <v>32418</v>
      </c>
      <c r="M13" s="1826">
        <v>45727</v>
      </c>
    </row>
    <row r="14" spans="2:14" ht="20.100000000000001" customHeight="1" x14ac:dyDescent="0.2">
      <c r="B14" s="1113" t="s">
        <v>2094</v>
      </c>
      <c r="C14" s="1824" t="s">
        <v>1159</v>
      </c>
      <c r="D14" s="1825" t="s">
        <v>1159</v>
      </c>
      <c r="E14" s="1826"/>
      <c r="F14" s="1826">
        <f>+F12+F13</f>
        <v>440917</v>
      </c>
      <c r="G14" s="1826"/>
      <c r="H14" s="1826"/>
      <c r="I14" s="1826">
        <f>+I12+I13</f>
        <v>440917</v>
      </c>
      <c r="J14" s="1826"/>
      <c r="K14" s="1826"/>
      <c r="L14" s="1823">
        <f t="shared" si="0"/>
        <v>440917</v>
      </c>
      <c r="M14" s="1826"/>
    </row>
    <row r="15" spans="2:14" ht="20.100000000000001" customHeight="1" x14ac:dyDescent="0.2">
      <c r="B15" s="1113" t="s">
        <v>1159</v>
      </c>
      <c r="C15" s="1824" t="s">
        <v>1159</v>
      </c>
      <c r="D15" s="1825" t="s">
        <v>1159</v>
      </c>
      <c r="E15" s="1826"/>
      <c r="F15" s="1826"/>
      <c r="G15" s="1826"/>
      <c r="H15" s="1826"/>
      <c r="I15" s="1826"/>
      <c r="J15" s="1826"/>
      <c r="K15" s="1826"/>
      <c r="L15" s="1823"/>
      <c r="M15" s="1826"/>
    </row>
    <row r="16" spans="2:14" ht="20.100000000000001" customHeight="1" x14ac:dyDescent="0.2">
      <c r="B16" s="1113" t="s">
        <v>2095</v>
      </c>
      <c r="C16" s="1824">
        <v>84.367000000000004</v>
      </c>
      <c r="D16" s="1825" t="s">
        <v>2096</v>
      </c>
      <c r="E16" s="1826"/>
      <c r="F16" s="1826">
        <v>88132</v>
      </c>
      <c r="G16" s="1826"/>
      <c r="H16" s="1826"/>
      <c r="I16" s="1826">
        <v>88132</v>
      </c>
      <c r="J16" s="1826"/>
      <c r="K16" s="1826"/>
      <c r="L16" s="1823">
        <f t="shared" si="0"/>
        <v>88132</v>
      </c>
      <c r="M16" s="1826">
        <v>88132</v>
      </c>
    </row>
    <row r="17" spans="2:14" ht="20.100000000000001" customHeight="1" x14ac:dyDescent="0.2">
      <c r="B17" s="1113"/>
      <c r="C17" s="1824"/>
      <c r="D17" s="1825"/>
      <c r="E17" s="1826"/>
      <c r="F17" s="1826"/>
      <c r="G17" s="1826"/>
      <c r="H17" s="1826"/>
      <c r="I17" s="1826"/>
      <c r="J17" s="1826"/>
      <c r="K17" s="1826"/>
      <c r="L17" s="1823"/>
      <c r="M17" s="1826"/>
    </row>
    <row r="18" spans="2:14" ht="20.100000000000001" customHeight="1" x14ac:dyDescent="0.2">
      <c r="B18" s="1113" t="s">
        <v>2097</v>
      </c>
      <c r="C18" s="1824" t="s">
        <v>2098</v>
      </c>
      <c r="D18" s="1825" t="s">
        <v>2099</v>
      </c>
      <c r="E18" s="1826"/>
      <c r="F18" s="1826">
        <v>8642</v>
      </c>
      <c r="G18" s="1826"/>
      <c r="H18" s="1826"/>
      <c r="I18" s="1826">
        <v>8642</v>
      </c>
      <c r="J18" s="1826"/>
      <c r="K18" s="1826"/>
      <c r="L18" s="1823">
        <f t="shared" si="0"/>
        <v>8642</v>
      </c>
      <c r="M18" s="1826">
        <v>373347</v>
      </c>
    </row>
    <row r="19" spans="2:14" ht="20.100000000000001" customHeight="1" x14ac:dyDescent="0.2">
      <c r="B19" s="1113"/>
      <c r="C19" s="1824"/>
      <c r="D19" s="1825"/>
      <c r="E19" s="1826"/>
      <c r="F19" s="1826"/>
      <c r="G19" s="1826"/>
      <c r="H19" s="1826"/>
      <c r="I19" s="1826"/>
      <c r="J19" s="1826"/>
      <c r="K19" s="1826"/>
      <c r="L19" s="1823"/>
      <c r="M19" s="1826"/>
    </row>
    <row r="20" spans="2:14" ht="20.100000000000001" customHeight="1" x14ac:dyDescent="0.2">
      <c r="B20" s="1113" t="s">
        <v>2100</v>
      </c>
      <c r="C20" s="1824">
        <v>84.173000000000002</v>
      </c>
      <c r="D20" s="1825" t="s">
        <v>2102</v>
      </c>
      <c r="E20" s="1826"/>
      <c r="F20" s="1826">
        <v>17435</v>
      </c>
      <c r="G20" s="1826"/>
      <c r="H20" s="1826"/>
      <c r="I20" s="1826">
        <v>17435</v>
      </c>
      <c r="J20" s="1826"/>
      <c r="K20" s="1826"/>
      <c r="L20" s="1823">
        <f t="shared" si="0"/>
        <v>17435</v>
      </c>
      <c r="M20" s="1826">
        <v>26856</v>
      </c>
    </row>
    <row r="21" spans="2:14" ht="20.100000000000001" customHeight="1" x14ac:dyDescent="0.2">
      <c r="B21" s="1113" t="s">
        <v>2138</v>
      </c>
      <c r="C21" s="1824">
        <v>84.027000000000001</v>
      </c>
      <c r="D21" s="1825" t="s">
        <v>2103</v>
      </c>
      <c r="E21" s="1826"/>
      <c r="F21" s="1826">
        <v>404118</v>
      </c>
      <c r="G21" s="1826"/>
      <c r="H21" s="1826"/>
      <c r="I21" s="1826">
        <v>404118</v>
      </c>
      <c r="J21" s="1826"/>
      <c r="K21" s="1826"/>
      <c r="L21" s="1823">
        <f t="shared" si="0"/>
        <v>404118</v>
      </c>
      <c r="M21" s="1826">
        <v>553432</v>
      </c>
    </row>
    <row r="22" spans="2:14" ht="20.100000000000001" customHeight="1" x14ac:dyDescent="0.2">
      <c r="B22" s="1113" t="s">
        <v>2101</v>
      </c>
      <c r="C22" s="1824"/>
      <c r="D22" s="1825"/>
      <c r="E22" s="1826"/>
      <c r="F22" s="1826">
        <f>+F20+F21</f>
        <v>421553</v>
      </c>
      <c r="G22" s="1826"/>
      <c r="H22" s="1826"/>
      <c r="I22" s="1826">
        <f>+I20+I21</f>
        <v>421553</v>
      </c>
      <c r="J22" s="1826"/>
      <c r="K22" s="1826"/>
      <c r="L22" s="1823">
        <f t="shared" si="0"/>
        <v>421553</v>
      </c>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t="s">
        <v>2137</v>
      </c>
      <c r="C24" s="1824"/>
      <c r="D24" s="1825"/>
      <c r="E24" s="1826"/>
      <c r="F24" s="1826">
        <f>+F14+F16+F18+F22</f>
        <v>959244</v>
      </c>
      <c r="G24" s="1826"/>
      <c r="H24" s="1826"/>
      <c r="I24" s="1826">
        <f>+I14+I16+I18+I22</f>
        <v>959244</v>
      </c>
      <c r="J24" s="1826"/>
      <c r="K24" s="1826"/>
      <c r="L24" s="1823">
        <f t="shared" si="0"/>
        <v>959244</v>
      </c>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t="s">
        <v>2139</v>
      </c>
      <c r="C26" s="1824"/>
      <c r="D26" s="1825"/>
      <c r="E26" s="1826"/>
      <c r="F26" s="1826"/>
      <c r="G26" s="1826"/>
      <c r="H26" s="1826"/>
      <c r="I26" s="1826"/>
      <c r="J26" s="1826"/>
      <c r="K26" s="1826"/>
      <c r="L26" s="1823"/>
      <c r="M26" s="1826"/>
    </row>
    <row r="27" spans="2:14" ht="20.100000000000001" customHeight="1" x14ac:dyDescent="0.2">
      <c r="B27" s="1113" t="s">
        <v>2104</v>
      </c>
      <c r="C27" s="1824">
        <v>84.048000000000002</v>
      </c>
      <c r="D27" s="1825" t="s">
        <v>2105</v>
      </c>
      <c r="E27" s="1826"/>
      <c r="F27" s="1826">
        <v>16629</v>
      </c>
      <c r="G27" s="1826"/>
      <c r="H27" s="1826"/>
      <c r="I27" s="1826">
        <v>16629</v>
      </c>
      <c r="J27" s="1826"/>
      <c r="K27" s="1826"/>
      <c r="L27" s="1823">
        <f>+I27</f>
        <v>16629</v>
      </c>
      <c r="M27" s="1826">
        <v>16630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P68" sqref="P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1986</v>
      </c>
      <c r="B85" s="2185"/>
      <c r="C85" s="2185"/>
      <c r="D85" s="2186"/>
      <c r="E85" s="1544">
        <v>0</v>
      </c>
      <c r="F85" s="1544">
        <v>92082</v>
      </c>
      <c r="G85" s="1544"/>
      <c r="H85" s="1544"/>
      <c r="I85" s="1904"/>
      <c r="J85" s="1727">
        <f>SUM(E85:I85)</f>
        <v>92082</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1986</v>
      </c>
      <c r="B88" s="2188"/>
      <c r="C88" s="2188"/>
      <c r="D88" s="2189"/>
      <c r="E88" s="1544">
        <v>0</v>
      </c>
      <c r="F88" s="1544">
        <v>0</v>
      </c>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92082</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2056</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P68" sqref="P6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Hillsboro CUSD 3</v>
      </c>
      <c r="C1" s="2567"/>
      <c r="D1" s="2567"/>
      <c r="E1" s="2567"/>
      <c r="F1" s="2567"/>
      <c r="G1" s="2567"/>
      <c r="H1" s="2567"/>
      <c r="I1" s="2567"/>
      <c r="J1" s="2567"/>
      <c r="K1" s="2567"/>
      <c r="L1" s="2567"/>
      <c r="M1" s="2567"/>
    </row>
    <row r="2" spans="2:14" ht="15" x14ac:dyDescent="0.2">
      <c r="B2" s="2568">
        <f>'Single Audit Cover'!E7</f>
        <v>3068003026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2106</v>
      </c>
      <c r="C11" s="1821"/>
      <c r="D11" s="1822"/>
      <c r="E11" s="1823">
        <f>+' SEFA (2)'!E23</f>
        <v>320768</v>
      </c>
      <c r="F11" s="1823">
        <f>+' SEFA (2)'!F23+' SEFA (2)'!F26+' SEFA (3)'!F24+' SEFA (3)'!F27</f>
        <v>1377278</v>
      </c>
      <c r="G11" s="1823">
        <f>+' SEFA (2)'!G23</f>
        <v>320768</v>
      </c>
      <c r="H11" s="1823"/>
      <c r="I11" s="1823">
        <f>+' SEFA (2)'!I23+' SEFA (2)'!I26+' SEFA (3)'!I24+' SEFA (3)'!I27</f>
        <v>1377278</v>
      </c>
      <c r="J11" s="1823"/>
      <c r="K11" s="1823"/>
      <c r="L11" s="1823">
        <f>+G11+I11+K11</f>
        <v>1698046</v>
      </c>
      <c r="M11" s="1823"/>
    </row>
    <row r="12" spans="2:14" ht="20.100000000000001" customHeight="1" x14ac:dyDescent="0.2">
      <c r="B12" s="1113"/>
      <c r="C12" s="1824"/>
      <c r="D12" s="1825"/>
      <c r="E12" s="1826"/>
      <c r="F12" s="1826"/>
      <c r="G12" s="1826"/>
      <c r="H12" s="1826"/>
      <c r="I12" s="1826"/>
      <c r="J12" s="1826"/>
      <c r="K12" s="1826"/>
      <c r="L12" s="1823"/>
      <c r="M12" s="1826"/>
    </row>
    <row r="13" spans="2:14" ht="20.100000000000001" customHeight="1" x14ac:dyDescent="0.2">
      <c r="B13" s="1113" t="s">
        <v>2107</v>
      </c>
      <c r="C13" s="1824"/>
      <c r="D13" s="1825"/>
      <c r="E13" s="1826"/>
      <c r="F13" s="1826"/>
      <c r="G13" s="1826"/>
      <c r="H13" s="1826"/>
      <c r="I13" s="1826"/>
      <c r="J13" s="1826"/>
      <c r="K13" s="1826"/>
      <c r="L13" s="1823"/>
      <c r="M13" s="1826"/>
    </row>
    <row r="14" spans="2:14" ht="20.100000000000001" customHeight="1" x14ac:dyDescent="0.2">
      <c r="B14" s="1113" t="s">
        <v>2108</v>
      </c>
      <c r="C14" s="1824">
        <v>10.555</v>
      </c>
      <c r="D14" s="1825"/>
      <c r="E14" s="1826"/>
      <c r="F14" s="1826">
        <v>45058</v>
      </c>
      <c r="G14" s="1826"/>
      <c r="H14" s="1826"/>
      <c r="I14" s="1826">
        <v>45058</v>
      </c>
      <c r="J14" s="1826"/>
      <c r="K14" s="1826"/>
      <c r="L14" s="1823">
        <f t="shared" ref="L14:L18" si="0">+G14+I14+K14</f>
        <v>45058</v>
      </c>
      <c r="M14" s="1826"/>
    </row>
    <row r="15" spans="2:14" ht="20.100000000000001" customHeight="1" x14ac:dyDescent="0.2">
      <c r="B15" s="1113" t="s">
        <v>2109</v>
      </c>
      <c r="C15" s="1824">
        <v>10.555</v>
      </c>
      <c r="D15" s="1825"/>
      <c r="E15" s="1826"/>
      <c r="F15" s="1826">
        <v>12582</v>
      </c>
      <c r="G15" s="1826"/>
      <c r="H15" s="1826"/>
      <c r="I15" s="1826">
        <v>12582</v>
      </c>
      <c r="J15" s="1826"/>
      <c r="K15" s="1826"/>
      <c r="L15" s="1823">
        <f t="shared" si="0"/>
        <v>12582</v>
      </c>
      <c r="M15" s="1826"/>
    </row>
    <row r="16" spans="2:14" ht="20.100000000000001" customHeight="1" x14ac:dyDescent="0.2">
      <c r="B16" s="1113" t="s">
        <v>2110</v>
      </c>
      <c r="C16" s="1824"/>
      <c r="D16" s="1825"/>
      <c r="E16" s="1826"/>
      <c r="F16" s="1826">
        <f>+F14+F15</f>
        <v>57640</v>
      </c>
      <c r="G16" s="1826"/>
      <c r="H16" s="1826"/>
      <c r="I16" s="1826">
        <f>+I14+I15</f>
        <v>57640</v>
      </c>
      <c r="J16" s="1826"/>
      <c r="K16" s="1826"/>
      <c r="L16" s="1823">
        <f t="shared" si="0"/>
        <v>57640</v>
      </c>
      <c r="M16" s="1826"/>
    </row>
    <row r="17" spans="2:14" ht="20.100000000000001" customHeight="1" x14ac:dyDescent="0.2">
      <c r="B17" s="1113"/>
      <c r="C17" s="1824"/>
      <c r="D17" s="1825"/>
      <c r="E17" s="1826"/>
      <c r="F17" s="1826"/>
      <c r="G17" s="1826"/>
      <c r="H17" s="1826"/>
      <c r="I17" s="1826"/>
      <c r="J17" s="1826"/>
      <c r="K17" s="1826"/>
      <c r="L17" s="1823"/>
      <c r="M17" s="1826"/>
    </row>
    <row r="18" spans="2:14" ht="20.100000000000001" customHeight="1" x14ac:dyDescent="0.2">
      <c r="B18" s="1113" t="s">
        <v>2140</v>
      </c>
      <c r="C18" s="1824"/>
      <c r="D18" s="1825"/>
      <c r="E18" s="1826"/>
      <c r="F18" s="1826">
        <f>+F11+F16</f>
        <v>1434918</v>
      </c>
      <c r="G18" s="1826"/>
      <c r="H18" s="1826"/>
      <c r="I18" s="1826">
        <f>+I11+I16</f>
        <v>1434918</v>
      </c>
      <c r="J18" s="1826"/>
      <c r="K18" s="1826"/>
      <c r="L18" s="1823">
        <f t="shared" si="0"/>
        <v>1434918</v>
      </c>
      <c r="M18" s="1826"/>
    </row>
    <row r="19" spans="2:14" ht="20.100000000000001" customHeight="1" x14ac:dyDescent="0.2">
      <c r="B19" s="1113"/>
      <c r="C19" s="1824"/>
      <c r="D19" s="1825"/>
      <c r="E19" s="1826"/>
      <c r="F19" s="1826"/>
      <c r="G19" s="1826"/>
      <c r="H19" s="1826"/>
      <c r="I19" s="1826"/>
      <c r="J19" s="1826"/>
      <c r="K19" s="1826"/>
      <c r="L19" s="1823"/>
      <c r="M19" s="1826"/>
    </row>
    <row r="20" spans="2:14" ht="20.100000000000001" customHeight="1" x14ac:dyDescent="0.2">
      <c r="B20" s="1113"/>
      <c r="C20" s="1824"/>
      <c r="D20" s="1825"/>
      <c r="E20" s="1826"/>
      <c r="F20" s="1826"/>
      <c r="G20" s="1826"/>
      <c r="H20" s="1826"/>
      <c r="I20" s="1826"/>
      <c r="J20" s="1826"/>
      <c r="K20" s="1826"/>
      <c r="L20" s="1823"/>
      <c r="M20" s="1826"/>
    </row>
    <row r="21" spans="2:14" ht="20.100000000000001" customHeight="1" x14ac:dyDescent="0.2">
      <c r="B21" s="1113"/>
      <c r="C21" s="1824"/>
      <c r="D21" s="1825"/>
      <c r="E21" s="1826"/>
      <c r="F21" s="1826"/>
      <c r="G21" s="1826"/>
      <c r="H21" s="1826"/>
      <c r="I21" s="1826"/>
      <c r="J21" s="1826"/>
      <c r="K21" s="1826"/>
      <c r="L21" s="1823"/>
      <c r="M21" s="1826"/>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t="s">
        <v>2080</v>
      </c>
      <c r="C24" s="1824"/>
      <c r="D24" s="1825"/>
      <c r="E24" s="1826"/>
      <c r="F24" s="1826"/>
      <c r="G24" s="1826"/>
      <c r="H24" s="1826"/>
      <c r="I24" s="1826">
        <f>+' SEFA (2)'!I17+' SEFA'!I16</f>
        <v>417610</v>
      </c>
      <c r="J24" s="1826"/>
      <c r="K24" s="1826"/>
      <c r="L24" s="1823"/>
      <c r="M24" s="1826"/>
    </row>
    <row r="25" spans="2:14" ht="20.100000000000001" customHeight="1" x14ac:dyDescent="0.2">
      <c r="B25" s="1113" t="s">
        <v>2093</v>
      </c>
      <c r="C25" s="1824"/>
      <c r="D25" s="1825"/>
      <c r="E25" s="1826"/>
      <c r="F25" s="1826"/>
      <c r="G25" s="1826"/>
      <c r="H25" s="1826"/>
      <c r="I25" s="1826">
        <f>+' SEFA (3)'!I14</f>
        <v>440917</v>
      </c>
      <c r="J25" s="1826"/>
      <c r="K25" s="1826"/>
      <c r="L25" s="1823"/>
      <c r="M25" s="1826"/>
    </row>
    <row r="26" spans="2:14" ht="20.100000000000001" customHeight="1" x14ac:dyDescent="0.2">
      <c r="B26" s="1113" t="s">
        <v>2111</v>
      </c>
      <c r="C26" s="1824"/>
      <c r="D26" s="1825"/>
      <c r="E26" s="1826"/>
      <c r="F26" s="1826"/>
      <c r="G26" s="1826"/>
      <c r="H26" s="1826"/>
      <c r="I26" s="1826">
        <f>+' SEFA (3)'!I22</f>
        <v>421553</v>
      </c>
      <c r="J26" s="1826"/>
      <c r="K26" s="1826"/>
      <c r="L26" s="1823"/>
      <c r="M26" s="1826"/>
    </row>
    <row r="27" spans="2:14" ht="20.100000000000001" customHeight="1" x14ac:dyDescent="0.2">
      <c r="B27" s="1113" t="s">
        <v>2112</v>
      </c>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P68" sqref="P6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Hillsboro CUSD 3</v>
      </c>
      <c r="B1" s="2572"/>
      <c r="C1" s="2572"/>
      <c r="D1" s="2572"/>
      <c r="E1" s="2572"/>
      <c r="F1" s="2572"/>
    </row>
    <row r="2" spans="1:7" ht="13.5" customHeight="1" x14ac:dyDescent="0.2">
      <c r="A2" s="2568">
        <f>'Single Audit Cover'!E7</f>
        <v>3068003026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2113</v>
      </c>
      <c r="B7" s="2571"/>
      <c r="C7" s="2571"/>
      <c r="D7" s="2571"/>
      <c r="E7" s="2571"/>
      <c r="F7" s="257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2114</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2115</v>
      </c>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2116</v>
      </c>
      <c r="B32" s="2579"/>
      <c r="C32" s="2579"/>
      <c r="D32" s="2579"/>
      <c r="E32" s="2579"/>
      <c r="F32" s="2579"/>
    </row>
    <row r="33" spans="1:6" ht="13.5" customHeight="1" x14ac:dyDescent="0.2">
      <c r="A33" s="306" t="s">
        <v>1417</v>
      </c>
      <c r="B33" s="306"/>
      <c r="C33" s="1064">
        <v>45058</v>
      </c>
      <c r="D33" s="1526"/>
      <c r="E33" s="1062"/>
    </row>
    <row r="34" spans="1:6" ht="13.5" customHeight="1" x14ac:dyDescent="0.2">
      <c r="A34" s="306" t="s">
        <v>1808</v>
      </c>
      <c r="B34" s="306"/>
      <c r="C34" s="1065">
        <v>12582</v>
      </c>
      <c r="D34" s="1526" t="s">
        <v>1572</v>
      </c>
      <c r="E34" s="2580">
        <f>+C33+C34</f>
        <v>57640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P68" sqref="P68"/>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Hillsboro CUSD 3</v>
      </c>
      <c r="C1" s="2588"/>
      <c r="D1" s="2588"/>
      <c r="E1" s="2588"/>
      <c r="F1" s="2588"/>
      <c r="G1" s="2588"/>
      <c r="H1" s="2588"/>
      <c r="I1" s="2588"/>
      <c r="J1" s="1178"/>
    </row>
    <row r="2" spans="2:10" s="295" customFormat="1" ht="12.75" customHeight="1" x14ac:dyDescent="0.2">
      <c r="B2" s="2589">
        <f>'Single Audit Cover'!E7</f>
        <v>3068003026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t="s">
        <v>2117</v>
      </c>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2118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2118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t="s">
        <v>2118</v>
      </c>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2118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2118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t="s">
        <v>2117</v>
      </c>
      <c r="E29" s="2594"/>
      <c r="F29" s="2594"/>
      <c r="G29" s="2594"/>
      <c r="H29" s="2594"/>
      <c r="I29" s="259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2118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5" t="s">
        <v>1725</v>
      </c>
      <c r="D37" s="2596"/>
      <c r="E37" s="2596"/>
      <c r="F37" s="2597"/>
      <c r="G37" s="2595" t="s">
        <v>1575</v>
      </c>
      <c r="H37" s="2596"/>
      <c r="I37" s="2597"/>
    </row>
    <row r="38" spans="2:9" ht="16.5" customHeight="1" x14ac:dyDescent="0.2">
      <c r="B38" s="1200" t="s">
        <v>2119</v>
      </c>
      <c r="C38" s="2583" t="s">
        <v>2120</v>
      </c>
      <c r="D38" s="2584"/>
      <c r="E38" s="2584"/>
      <c r="F38" s="2585"/>
      <c r="G38" s="2598">
        <v>421553</v>
      </c>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421553</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1434918</v>
      </c>
      <c r="E45" s="2606"/>
    </row>
    <row r="46" spans="2:9" ht="5.25" customHeight="1" x14ac:dyDescent="0.2">
      <c r="B46" s="1201"/>
      <c r="D46" s="1202"/>
      <c r="E46" s="1203"/>
    </row>
    <row r="47" spans="2:9" ht="12.75" customHeight="1" x14ac:dyDescent="0.2">
      <c r="B47" s="1076" t="s">
        <v>1577</v>
      </c>
      <c r="C47" s="1076"/>
      <c r="D47" s="1204">
        <f>+G43/D45</f>
        <v>0.29378194433410132</v>
      </c>
      <c r="E47" s="1205"/>
      <c r="F47" s="1206"/>
      <c r="I47" s="1207"/>
    </row>
    <row r="48" spans="2:9" ht="9.9499999999999993" customHeight="1" x14ac:dyDescent="0.2"/>
    <row r="49" spans="1:9" x14ac:dyDescent="0.2">
      <c r="B49" s="1138" t="s">
        <v>1262</v>
      </c>
      <c r="C49" s="1058"/>
      <c r="D49" s="1058"/>
      <c r="E49" s="2607">
        <v>750000</v>
      </c>
      <c r="F49" s="2607"/>
      <c r="G49" s="2607"/>
      <c r="H49" s="300"/>
    </row>
    <row r="51" spans="1:9" ht="13.5" customHeight="1" x14ac:dyDescent="0.2">
      <c r="B51" s="1138" t="s">
        <v>1261</v>
      </c>
      <c r="C51" s="1058"/>
      <c r="E51" s="1194" t="s">
        <v>2118</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P68" sqref="P6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Hillsboro CUSD 3</v>
      </c>
      <c r="C1" s="2587"/>
      <c r="D1" s="2587"/>
      <c r="E1" s="2587"/>
      <c r="F1" s="2587"/>
      <c r="G1" s="2587"/>
      <c r="H1" s="2587"/>
      <c r="I1" s="2587"/>
      <c r="J1" s="2587"/>
      <c r="K1" s="2587"/>
      <c r="L1" s="1144"/>
      <c r="M1" s="1144"/>
    </row>
    <row r="2" spans="1:13" ht="12" customHeight="1" x14ac:dyDescent="0.2">
      <c r="B2" s="2589">
        <f>'Single Audit Cover'!E7</f>
        <v>3068003026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1</v>
      </c>
      <c r="E10" s="300"/>
      <c r="F10" s="1156" t="s">
        <v>1284</v>
      </c>
      <c r="G10" s="1157"/>
      <c r="H10" s="1158" t="s">
        <v>1283</v>
      </c>
      <c r="I10" s="1157" t="s">
        <v>2118</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2121</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t="s">
        <v>2122</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t="s">
        <v>2132</v>
      </c>
      <c r="C20" s="2613"/>
      <c r="D20" s="2613"/>
      <c r="E20" s="2613"/>
      <c r="F20" s="2613"/>
      <c r="G20" s="2613"/>
      <c r="H20" s="2613"/>
      <c r="I20" s="2613"/>
      <c r="J20" s="2613"/>
      <c r="K20" s="2613"/>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t="s">
        <v>2128</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t="s">
        <v>2129</v>
      </c>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2130</v>
      </c>
      <c r="C29" s="2609"/>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9" t="s">
        <v>2131</v>
      </c>
      <c r="C32" s="2609"/>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26:K26"/>
    <mergeCell ref="B29:K29"/>
    <mergeCell ref="B32:K32"/>
    <mergeCell ref="B1:K1"/>
    <mergeCell ref="B2:K2"/>
    <mergeCell ref="B3:K3"/>
    <mergeCell ref="B4:K4"/>
    <mergeCell ref="B7:K7"/>
    <mergeCell ref="B20:K20"/>
    <mergeCell ref="B14:K14"/>
    <mergeCell ref="B17:K17"/>
    <mergeCell ref="B23:K23"/>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P68" sqref="P6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Hillsboro CUSD 3</v>
      </c>
      <c r="C1" s="2614"/>
      <c r="D1" s="2614"/>
      <c r="E1" s="2614"/>
      <c r="F1" s="2614"/>
      <c r="G1" s="2614"/>
      <c r="H1" s="2614"/>
      <c r="I1" s="2614"/>
      <c r="J1" s="2614"/>
      <c r="K1" s="2614"/>
      <c r="L1" s="1221"/>
    </row>
    <row r="2" spans="1:12" ht="12.75" customHeight="1" x14ac:dyDescent="0.2">
      <c r="B2" s="2615">
        <f>'Single Audit Cover'!E7</f>
        <v>3068003026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t="s">
        <v>2115</v>
      </c>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P68" sqref="P6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Hillsboro CUSD 3</v>
      </c>
      <c r="C1" s="2587"/>
      <c r="D1" s="2587"/>
      <c r="E1" s="1240"/>
    </row>
    <row r="2" spans="2:5" s="1058" customFormat="1" ht="12.75" customHeight="1" x14ac:dyDescent="0.2">
      <c r="B2" s="2589">
        <f>'Single Audit Cover'!E7</f>
        <v>3068003026</v>
      </c>
      <c r="C2" s="2589"/>
      <c r="D2" s="2589"/>
      <c r="E2" s="1241"/>
    </row>
    <row r="3" spans="2:5" ht="12.75" customHeight="1" x14ac:dyDescent="0.2">
      <c r="B3" s="2610" t="s">
        <v>1740</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t="s">
        <v>2123</v>
      </c>
      <c r="C9" s="301" t="s">
        <v>2124</v>
      </c>
      <c r="D9" s="301" t="s">
        <v>2133</v>
      </c>
      <c r="E9" s="301"/>
    </row>
    <row r="10" spans="2:5" ht="13.5" customHeight="1" x14ac:dyDescent="0.2">
      <c r="B10" s="1245"/>
      <c r="C10" s="301"/>
      <c r="D10" s="301" t="s">
        <v>2125</v>
      </c>
      <c r="E10" s="301"/>
    </row>
    <row r="11" spans="2:5" ht="13.5" customHeight="1" x14ac:dyDescent="0.2">
      <c r="B11" s="1245"/>
      <c r="C11" s="301"/>
      <c r="D11" s="301"/>
      <c r="E11" s="301"/>
    </row>
    <row r="12" spans="2:5" ht="13.5" customHeight="1" x14ac:dyDescent="0.2">
      <c r="B12" s="1245"/>
      <c r="C12" s="301"/>
      <c r="D12" s="301" t="s">
        <v>2126</v>
      </c>
      <c r="E12" s="301"/>
    </row>
    <row r="13" spans="2:5" ht="13.5" customHeight="1" x14ac:dyDescent="0.2">
      <c r="B13" s="1245"/>
      <c r="C13" s="301"/>
      <c r="D13" s="301" t="s">
        <v>2127</v>
      </c>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P68" sqref="P6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172218787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2.3817399999999999E-2</v>
      </c>
      <c r="E10" s="333" t="s">
        <v>998</v>
      </c>
      <c r="F10" s="332">
        <v>4.9619999999999997E-2</v>
      </c>
      <c r="G10" s="333" t="s">
        <v>998</v>
      </c>
      <c r="H10" s="332">
        <v>1.9848000000000001E-2</v>
      </c>
      <c r="I10" s="333" t="s">
        <v>999</v>
      </c>
      <c r="J10" s="1424">
        <f>ROUND(D10+F10+H10,5)</f>
        <v>9.3289999999999998E-2</v>
      </c>
      <c r="K10" s="217"/>
      <c r="L10" s="332">
        <v>4.9620000000000003E-3</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16060865</v>
      </c>
      <c r="E16" s="1547"/>
      <c r="F16" s="1546">
        <f>SUM('Acct Summary 7-8'!C17,'Acct Summary 7-8'!D17,'Acct Summary 7-8'!F17)</f>
        <v>16491354</v>
      </c>
      <c r="G16" s="1547"/>
      <c r="H16" s="1546">
        <f>SUM(D16-F16)</f>
        <v>-430489</v>
      </c>
      <c r="I16" s="1548"/>
      <c r="J16" s="1546">
        <f>SUM('Acct Summary 7-8'!C81,'Acct Summary 7-8'!D81,'Acct Summary 7-8'!F81,'Acct Summary 7-8'!I81)</f>
        <v>5118953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242387</v>
      </c>
      <c r="E24" s="1547" t="s">
        <v>999</v>
      </c>
      <c r="F24" s="1549">
        <f>SUM(D22,F22,H22,J22,L22, D24)</f>
        <v>242387</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23766192.606000002</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6394000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P68" sqref="P6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Hillsboro CUSD 3</v>
      </c>
      <c r="E7" s="368"/>
      <c r="G7" s="247"/>
      <c r="H7" s="364"/>
      <c r="I7" s="364"/>
      <c r="J7" s="364"/>
      <c r="K7" s="364"/>
      <c r="L7" s="307"/>
      <c r="M7" s="307"/>
      <c r="N7" s="307"/>
      <c r="O7" s="307"/>
      <c r="P7" s="307"/>
    </row>
    <row r="8" spans="1:18" ht="12.75" x14ac:dyDescent="0.2">
      <c r="A8" s="307"/>
      <c r="B8" s="307"/>
      <c r="C8" s="366" t="s">
        <v>1115</v>
      </c>
      <c r="D8" s="369">
        <f>COVER!A13</f>
        <v>3068003026</v>
      </c>
      <c r="E8" s="370"/>
      <c r="G8" s="307"/>
      <c r="H8" s="307"/>
      <c r="I8" s="307"/>
      <c r="J8" s="307"/>
      <c r="K8" s="307"/>
      <c r="L8" s="307"/>
      <c r="M8" s="307"/>
      <c r="N8" s="307"/>
      <c r="O8" s="307"/>
      <c r="P8" s="307"/>
    </row>
    <row r="9" spans="1:18" ht="12.75" x14ac:dyDescent="0.2">
      <c r="A9" s="307"/>
      <c r="B9" s="307"/>
      <c r="C9" s="366" t="s">
        <v>708</v>
      </c>
      <c r="D9" s="371" t="str">
        <f>COVER!A15</f>
        <v>Montgomery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5118953</v>
      </c>
      <c r="I12" s="380"/>
      <c r="J12" s="380"/>
      <c r="K12" s="1559">
        <f>TRUNC((H12/H13*100000),5)/100000</f>
        <v>0.31872212360000002</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16060865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16491354</v>
      </c>
      <c r="I17" s="380"/>
      <c r="J17" s="389"/>
      <c r="K17" s="1559">
        <f>TRUNC((H17/H18*100000),5)/100000</f>
        <v>1.0268035999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16060865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8.1601771000000003</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5378744</v>
      </c>
      <c r="I24" s="394"/>
      <c r="J24" s="394"/>
      <c r="K24" s="1555">
        <f>TRUNC(((H24/H25*100000)/100000),2)</f>
        <v>117.41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45809.31667</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13656347.04335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6394000</v>
      </c>
      <c r="I32" s="392"/>
      <c r="J32" s="392"/>
      <c r="K32" s="1555">
        <f>TRUNC(100-((((H32/H33*100))*100)/100),2)</f>
        <v>73.09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23766192.606000002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7" activePane="bottomLeft" state="frozen"/>
      <selection activeCell="P68" sqref="P68"/>
      <selection pane="bottomLeft" activeCell="P68" sqref="P6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f>1542450+70485</f>
        <v>1612935</v>
      </c>
      <c r="D4" s="1573">
        <v>34697</v>
      </c>
      <c r="E4" s="1573">
        <v>78692</v>
      </c>
      <c r="F4" s="1573">
        <v>126600</v>
      </c>
      <c r="G4" s="1573">
        <v>551874</v>
      </c>
      <c r="H4" s="1573">
        <v>1176581</v>
      </c>
      <c r="I4" s="1573">
        <v>3604512</v>
      </c>
      <c r="J4" s="1574">
        <v>1142734</v>
      </c>
      <c r="K4" s="1573">
        <f>247966+3429</f>
        <v>251395</v>
      </c>
      <c r="L4" s="1573">
        <v>228843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v>4255412</v>
      </c>
      <c r="D6" s="1573">
        <v>854506</v>
      </c>
      <c r="E6" s="1573">
        <v>1490382</v>
      </c>
      <c r="F6" s="1573">
        <v>341803</v>
      </c>
      <c r="G6" s="1577">
        <v>850285</v>
      </c>
      <c r="H6" s="1577"/>
      <c r="I6" s="1573">
        <v>85451</v>
      </c>
      <c r="J6" s="1579">
        <v>751111</v>
      </c>
      <c r="K6" s="1577">
        <v>85451</v>
      </c>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f>608291+194577+1429</f>
        <v>804297</v>
      </c>
      <c r="D8" s="1574"/>
      <c r="E8" s="1574"/>
      <c r="F8" s="1574">
        <v>123918</v>
      </c>
      <c r="G8" s="1583"/>
      <c r="H8" s="1574">
        <v>236074</v>
      </c>
      <c r="I8" s="1579"/>
      <c r="J8" s="1579"/>
      <c r="K8" s="1584"/>
      <c r="L8" s="1585"/>
      <c r="M8" s="1575"/>
      <c r="N8" s="1576"/>
    </row>
    <row r="9" spans="1:14" ht="13.5" customHeight="1" x14ac:dyDescent="0.2">
      <c r="A9" s="430" t="s">
        <v>268</v>
      </c>
      <c r="B9" s="429">
        <v>160</v>
      </c>
      <c r="C9" s="1581">
        <f>176+25672</f>
        <v>25848</v>
      </c>
      <c r="D9" s="1574"/>
      <c r="E9" s="1574"/>
      <c r="F9" s="1574"/>
      <c r="G9" s="1574"/>
      <c r="H9" s="1583"/>
      <c r="I9" s="1574"/>
      <c r="J9" s="1574"/>
      <c r="K9" s="1574"/>
      <c r="L9" s="1574"/>
      <c r="M9" s="1575"/>
      <c r="N9" s="1576"/>
    </row>
    <row r="10" spans="1:14" ht="13.5" customHeight="1" x14ac:dyDescent="0.2">
      <c r="A10" s="430" t="s">
        <v>984</v>
      </c>
      <c r="B10" s="429">
        <v>170</v>
      </c>
      <c r="C10" s="1572">
        <v>77111</v>
      </c>
      <c r="D10" s="1573"/>
      <c r="E10" s="1574"/>
      <c r="F10" s="1573"/>
      <c r="G10" s="1583"/>
      <c r="H10" s="1586"/>
      <c r="I10" s="1574"/>
      <c r="J10" s="1574"/>
      <c r="K10" s="1586"/>
      <c r="L10" s="1586"/>
      <c r="M10" s="1576"/>
      <c r="N10" s="1576"/>
    </row>
    <row r="11" spans="1:14" ht="13.5" customHeight="1" x14ac:dyDescent="0.2">
      <c r="A11" s="430" t="s">
        <v>269</v>
      </c>
      <c r="B11" s="429">
        <v>180</v>
      </c>
      <c r="C11" s="1581">
        <v>35293</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6810896</v>
      </c>
      <c r="D13" s="1587">
        <f t="shared" ref="D13:L13" si="0">SUM(D4:D12)</f>
        <v>889203</v>
      </c>
      <c r="E13" s="1587">
        <f t="shared" si="0"/>
        <v>1569074</v>
      </c>
      <c r="F13" s="1587">
        <f t="shared" si="0"/>
        <v>592321</v>
      </c>
      <c r="G13" s="1587">
        <f t="shared" si="0"/>
        <v>1402159</v>
      </c>
      <c r="H13" s="1587">
        <f t="shared" si="0"/>
        <v>1412655</v>
      </c>
      <c r="I13" s="1587">
        <f t="shared" si="0"/>
        <v>3689963</v>
      </c>
      <c r="J13" s="1587">
        <f t="shared" si="0"/>
        <v>1893845</v>
      </c>
      <c r="K13" s="1587">
        <f t="shared" si="0"/>
        <v>336846</v>
      </c>
      <c r="L13" s="1587">
        <f t="shared" si="0"/>
        <v>228843</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509730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17052443-7408135</f>
        <v>9644308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f>3898631-2655524</f>
        <v>1243107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966836+2791597+279894-643581-2612860-204310</f>
        <v>577576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149565</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78692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6315308</v>
      </c>
    </row>
    <row r="23" spans="1:14" ht="13.5" customHeight="1" thickBot="1" x14ac:dyDescent="0.25">
      <c r="A23" s="1426" t="s">
        <v>638</v>
      </c>
      <c r="B23" s="1429"/>
      <c r="C23" s="1575"/>
      <c r="D23" s="1575"/>
      <c r="E23" s="1575"/>
      <c r="F23" s="1575"/>
      <c r="G23" s="1575"/>
      <c r="H23" s="1575"/>
      <c r="I23" s="1575"/>
      <c r="J23" s="1575"/>
      <c r="K23" s="1575"/>
      <c r="L23" s="1575"/>
      <c r="M23" s="1594">
        <f>SUM(M15:M22)</f>
        <v>12124286</v>
      </c>
      <c r="N23" s="1594">
        <f>SUM(N21:N22)</f>
        <v>6394000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10284+746</f>
        <v>11030</v>
      </c>
      <c r="D27" s="1574">
        <v>18625</v>
      </c>
      <c r="E27" s="1574"/>
      <c r="F27" s="1574">
        <v>5924</v>
      </c>
      <c r="G27" s="1574"/>
      <c r="H27" s="1574">
        <v>94160</v>
      </c>
      <c r="I27" s="1574"/>
      <c r="J27" s="1574">
        <v>450</v>
      </c>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1171045</v>
      </c>
      <c r="D30" s="1579">
        <v>12978</v>
      </c>
      <c r="E30" s="1574"/>
      <c r="F30" s="1574"/>
      <c r="G30" s="1574"/>
      <c r="H30" s="1574"/>
      <c r="I30" s="1574"/>
      <c r="J30" s="1574">
        <v>6206</v>
      </c>
      <c r="K30" s="1583"/>
      <c r="L30" s="1575"/>
      <c r="M30" s="1575"/>
      <c r="N30" s="1575"/>
    </row>
    <row r="31" spans="1:14" ht="13.5" customHeight="1" x14ac:dyDescent="0.2">
      <c r="A31" s="430" t="s">
        <v>646</v>
      </c>
      <c r="B31" s="429">
        <v>480</v>
      </c>
      <c r="C31" s="1573">
        <v>937</v>
      </c>
      <c r="D31" s="1574"/>
      <c r="E31" s="1574"/>
      <c r="F31" s="1573">
        <v>160</v>
      </c>
      <c r="G31" s="1574"/>
      <c r="H31" s="1574"/>
      <c r="I31" s="1574"/>
      <c r="J31" s="1574"/>
      <c r="K31" s="1574"/>
      <c r="L31" s="1575"/>
      <c r="M31" s="1575"/>
      <c r="N31" s="1575"/>
    </row>
    <row r="32" spans="1:14" ht="13.5" customHeight="1" x14ac:dyDescent="0.2">
      <c r="A32" s="434" t="s">
        <v>647</v>
      </c>
      <c r="B32" s="435">
        <v>490</v>
      </c>
      <c r="C32" s="1599">
        <f>4255412+105559</f>
        <v>4360971</v>
      </c>
      <c r="D32" s="1599">
        <v>854506</v>
      </c>
      <c r="E32" s="1579">
        <v>1490382</v>
      </c>
      <c r="F32" s="1579">
        <v>341803</v>
      </c>
      <c r="G32" s="1579">
        <v>850285</v>
      </c>
      <c r="H32" s="1579">
        <v>85088</v>
      </c>
      <c r="I32" s="1579">
        <v>85451</v>
      </c>
      <c r="J32" s="1579">
        <v>751111</v>
      </c>
      <c r="K32" s="1584">
        <v>85451</v>
      </c>
      <c r="L32" s="1575"/>
      <c r="M32" s="1575"/>
      <c r="N32" s="1575"/>
    </row>
    <row r="33" spans="1:14" ht="13.5" customHeight="1" x14ac:dyDescent="0.2">
      <c r="A33" s="436" t="s">
        <v>300</v>
      </c>
      <c r="B33" s="435">
        <v>493</v>
      </c>
      <c r="C33" s="1574"/>
      <c r="D33" s="1574"/>
      <c r="E33" s="1574"/>
      <c r="F33" s="1574"/>
      <c r="G33" s="1574"/>
      <c r="H33" s="1574"/>
      <c r="I33" s="1574"/>
      <c r="J33" s="1574"/>
      <c r="K33" s="1574"/>
      <c r="L33" s="1574">
        <v>228843</v>
      </c>
      <c r="M33" s="1575"/>
      <c r="N33" s="1576"/>
    </row>
    <row r="34" spans="1:14" ht="13.5" customHeight="1" thickBot="1" x14ac:dyDescent="0.25">
      <c r="A34" s="1427" t="s">
        <v>649</v>
      </c>
      <c r="B34" s="1428"/>
      <c r="C34" s="1600">
        <f>SUM(C25:C33)</f>
        <v>5543983</v>
      </c>
      <c r="D34" s="1600">
        <f t="shared" ref="D34:K34" si="1">SUM(D25:D33)</f>
        <v>886109</v>
      </c>
      <c r="E34" s="1600">
        <f t="shared" si="1"/>
        <v>1490382</v>
      </c>
      <c r="F34" s="1600">
        <f t="shared" si="1"/>
        <v>347887</v>
      </c>
      <c r="G34" s="1600">
        <f t="shared" si="1"/>
        <v>850285</v>
      </c>
      <c r="H34" s="1600">
        <f t="shared" si="1"/>
        <v>179248</v>
      </c>
      <c r="I34" s="1600">
        <f t="shared" si="1"/>
        <v>85451</v>
      </c>
      <c r="J34" s="1600">
        <f t="shared" si="1"/>
        <v>757767</v>
      </c>
      <c r="K34" s="1600">
        <f t="shared" si="1"/>
        <v>85451</v>
      </c>
      <c r="L34" s="1601">
        <f>SUM(L33)</f>
        <v>228843</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6394000</v>
      </c>
    </row>
    <row r="37" spans="1:14" ht="13.5" thickBot="1" x14ac:dyDescent="0.25">
      <c r="A37" s="1426" t="s">
        <v>648</v>
      </c>
      <c r="B37" s="1429"/>
      <c r="C37" s="1582"/>
      <c r="D37" s="1582"/>
      <c r="E37" s="1582"/>
      <c r="F37" s="1582"/>
      <c r="G37" s="1582"/>
      <c r="H37" s="1582"/>
      <c r="I37" s="1582"/>
      <c r="J37" s="1582"/>
      <c r="K37" s="1582"/>
      <c r="L37" s="1585"/>
      <c r="M37" s="1575"/>
      <c r="N37" s="1594">
        <f>SUM(N36:N36)</f>
        <v>6394000</v>
      </c>
    </row>
    <row r="38" spans="1:14" s="307" customFormat="1" ht="13.5" customHeight="1" thickTop="1" x14ac:dyDescent="0.2">
      <c r="A38" s="438" t="s">
        <v>417</v>
      </c>
      <c r="B38" s="432">
        <v>714</v>
      </c>
      <c r="C38" s="1573">
        <f>1266913-928420</f>
        <v>338493</v>
      </c>
      <c r="D38" s="1573"/>
      <c r="E38" s="1573">
        <v>78692</v>
      </c>
      <c r="F38" s="1573">
        <v>244434</v>
      </c>
      <c r="G38" s="1573">
        <v>551874</v>
      </c>
      <c r="H38" s="1573">
        <v>1233407</v>
      </c>
      <c r="I38" s="1573">
        <v>3604512</v>
      </c>
      <c r="J38" s="1574">
        <v>1136078</v>
      </c>
      <c r="K38" s="1573">
        <v>251395</v>
      </c>
      <c r="L38" s="1586"/>
      <c r="M38" s="1604"/>
      <c r="N38" s="1604"/>
    </row>
    <row r="39" spans="1:14" s="307" customFormat="1" ht="13.5" customHeight="1" x14ac:dyDescent="0.2">
      <c r="A39" s="438" t="s">
        <v>339</v>
      </c>
      <c r="B39" s="432">
        <v>730</v>
      </c>
      <c r="C39" s="1573">
        <v>928420</v>
      </c>
      <c r="D39" s="1573">
        <v>3094</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12124286</v>
      </c>
      <c r="N40" s="1604"/>
    </row>
    <row r="41" spans="1:14" ht="13.5" customHeight="1" thickBot="1" x14ac:dyDescent="0.25">
      <c r="A41" s="1426" t="s">
        <v>650</v>
      </c>
      <c r="B41" s="1405"/>
      <c r="C41" s="1594">
        <f>(SUM(C34,C37,C38,C39))</f>
        <v>6810896</v>
      </c>
      <c r="D41" s="1594">
        <f t="shared" ref="D41:L41" si="2">SUM(D34,D37,D38:D39)</f>
        <v>889203</v>
      </c>
      <c r="E41" s="1594">
        <f t="shared" si="2"/>
        <v>1569074</v>
      </c>
      <c r="F41" s="1594">
        <f t="shared" si="2"/>
        <v>592321</v>
      </c>
      <c r="G41" s="1594">
        <f t="shared" si="2"/>
        <v>1402159</v>
      </c>
      <c r="H41" s="1594">
        <f t="shared" si="2"/>
        <v>1412655</v>
      </c>
      <c r="I41" s="1594">
        <f t="shared" si="2"/>
        <v>3689963</v>
      </c>
      <c r="J41" s="1594">
        <f t="shared" si="2"/>
        <v>1893845</v>
      </c>
      <c r="K41" s="1594">
        <f t="shared" si="2"/>
        <v>336846</v>
      </c>
      <c r="L41" s="1594">
        <f t="shared" si="2"/>
        <v>228843</v>
      </c>
      <c r="M41" s="1594">
        <f>SUM(M40)</f>
        <v>12124286</v>
      </c>
      <c r="N41" s="1594">
        <f>SUM(N37)</f>
        <v>6394000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P68" sqref="P68"/>
      <selection pane="bottomLeft" activeCell="P68" sqref="P6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6306703</v>
      </c>
      <c r="D4" s="1606">
        <f>'Revenues 9-14'!D109</f>
        <v>1002772</v>
      </c>
      <c r="E4" s="1606">
        <f>'Revenues 9-14'!E109</f>
        <v>1490451</v>
      </c>
      <c r="F4" s="1606">
        <f>'Revenues 9-14'!F109</f>
        <v>363512</v>
      </c>
      <c r="G4" s="1606">
        <f>'Revenues 9-14'!G109</f>
        <v>868593</v>
      </c>
      <c r="H4" s="1606">
        <f>'Revenues 9-14'!H109</f>
        <v>1077469</v>
      </c>
      <c r="I4" s="1606">
        <f>'Revenues 9-14'!I109</f>
        <v>85030</v>
      </c>
      <c r="J4" s="1606">
        <f>'Revenues 9-14'!J109</f>
        <v>782086</v>
      </c>
      <c r="K4" s="1606">
        <f>'Revenues 9-14'!K109</f>
        <v>80903</v>
      </c>
      <c r="L4" s="325"/>
    </row>
    <row r="5" spans="1:13" ht="15.75" customHeight="1" x14ac:dyDescent="0.2">
      <c r="A5" s="1314" t="s">
        <v>1483</v>
      </c>
      <c r="B5" s="1315">
        <v>2000</v>
      </c>
      <c r="C5" s="1607">
        <f>'Revenues 9-14'!C114</f>
        <v>271169</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5956711</v>
      </c>
      <c r="D6" s="1607">
        <f>'Revenues 9-14'!D170</f>
        <v>200000</v>
      </c>
      <c r="E6" s="1607">
        <f>'Revenues 9-14'!E170</f>
        <v>0</v>
      </c>
      <c r="F6" s="1607">
        <f>'Revenues 9-14'!F170</f>
        <v>493836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1381132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13915715</v>
      </c>
      <c r="D8" s="1594">
        <f t="shared" ref="D8:K8" si="0">SUM(D4:D7)</f>
        <v>1202772</v>
      </c>
      <c r="E8" s="1594">
        <f t="shared" si="0"/>
        <v>1490451</v>
      </c>
      <c r="F8" s="1594">
        <f t="shared" si="0"/>
        <v>857348</v>
      </c>
      <c r="G8" s="1594">
        <f t="shared" si="0"/>
        <v>868593</v>
      </c>
      <c r="H8" s="1594">
        <f t="shared" si="0"/>
        <v>1077469</v>
      </c>
      <c r="I8" s="1594">
        <f t="shared" si="0"/>
        <v>85030</v>
      </c>
      <c r="J8" s="1594">
        <f t="shared" si="0"/>
        <v>782086</v>
      </c>
      <c r="K8" s="1594">
        <f t="shared" si="0"/>
        <v>80903</v>
      </c>
      <c r="L8" s="325"/>
    </row>
    <row r="9" spans="1:13" ht="15.75" thickTop="1" x14ac:dyDescent="0.2">
      <c r="A9" s="449" t="s">
        <v>1634</v>
      </c>
      <c r="B9" s="450">
        <v>3998</v>
      </c>
      <c r="C9" s="1586">
        <v>5702375</v>
      </c>
      <c r="D9" s="1613"/>
      <c r="E9" s="1586"/>
      <c r="F9" s="1586"/>
      <c r="G9" s="1614"/>
      <c r="H9" s="1586"/>
      <c r="I9" s="1609" t="s">
        <v>1159</v>
      </c>
      <c r="J9" s="1583"/>
      <c r="K9" s="1586"/>
      <c r="L9" s="325"/>
    </row>
    <row r="10" spans="1:13" s="452" customFormat="1" ht="13.5" thickBot="1" x14ac:dyDescent="0.25">
      <c r="A10" s="1426" t="s">
        <v>1163</v>
      </c>
      <c r="B10" s="1407"/>
      <c r="C10" s="1594">
        <f>SUM(C8:C9)</f>
        <v>19618090</v>
      </c>
      <c r="D10" s="1594">
        <f t="shared" ref="D10:K10" si="1">SUM(D8:D9)</f>
        <v>1202772</v>
      </c>
      <c r="E10" s="1594">
        <f t="shared" si="1"/>
        <v>1490451</v>
      </c>
      <c r="F10" s="1594">
        <f t="shared" si="1"/>
        <v>857348</v>
      </c>
      <c r="G10" s="1594">
        <f t="shared" si="1"/>
        <v>868593</v>
      </c>
      <c r="H10" s="1594">
        <f t="shared" si="1"/>
        <v>1077469</v>
      </c>
      <c r="I10" s="1594">
        <f t="shared" si="1"/>
        <v>85030</v>
      </c>
      <c r="J10" s="1594">
        <f t="shared" si="1"/>
        <v>782086</v>
      </c>
      <c r="K10" s="1594">
        <f t="shared" si="1"/>
        <v>80903</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9849737</v>
      </c>
      <c r="D12" s="1616" t="s">
        <v>1159</v>
      </c>
      <c r="E12" s="1575" t="s">
        <v>1159</v>
      </c>
      <c r="F12" s="1575" t="s">
        <v>1159</v>
      </c>
      <c r="G12" s="1606">
        <f>'Expenditures 15-22'!K229</f>
        <v>291439</v>
      </c>
      <c r="H12" s="1617"/>
      <c r="I12" s="1575" t="s">
        <v>1159</v>
      </c>
      <c r="J12" s="1575" t="s">
        <v>1159</v>
      </c>
      <c r="K12" s="1617" t="s">
        <v>1159</v>
      </c>
      <c r="L12" s="325"/>
    </row>
    <row r="13" spans="1:13" ht="15.75" customHeight="1" x14ac:dyDescent="0.2">
      <c r="A13" s="1314" t="s">
        <v>454</v>
      </c>
      <c r="B13" s="1316">
        <v>2000</v>
      </c>
      <c r="C13" s="1607">
        <f>'Expenditures 15-22'!K74</f>
        <v>2973175</v>
      </c>
      <c r="D13" s="1607">
        <f>'Expenditures 15-22'!K129</f>
        <v>1207675</v>
      </c>
      <c r="E13" s="1576" t="s">
        <v>1159</v>
      </c>
      <c r="F13" s="1607">
        <f>'Expenditures 15-22'!K184</f>
        <v>769780</v>
      </c>
      <c r="G13" s="1607">
        <f>'Expenditures 15-22'!K279</f>
        <v>504083</v>
      </c>
      <c r="H13" s="1607">
        <f>'Expenditures 15-22'!K303</f>
        <v>820906</v>
      </c>
      <c r="I13" s="1575" t="s">
        <v>1159</v>
      </c>
      <c r="J13" s="1607">
        <f>'Expenditures 15-22'!K330</f>
        <v>741742</v>
      </c>
      <c r="K13" s="1618">
        <f>'Expenditures 15-22'!K352</f>
        <v>0</v>
      </c>
      <c r="L13" s="325"/>
    </row>
    <row r="14" spans="1:13" ht="15.75" customHeight="1" x14ac:dyDescent="0.2">
      <c r="A14" s="1314" t="s">
        <v>446</v>
      </c>
      <c r="B14" s="1316">
        <v>3000</v>
      </c>
      <c r="C14" s="1607">
        <f>'Expenditures 15-22'!K75</f>
        <v>720148</v>
      </c>
      <c r="D14" s="1607">
        <f>'Expenditures 15-22'!K130</f>
        <v>0</v>
      </c>
      <c r="E14" s="1616" t="s">
        <v>1159</v>
      </c>
      <c r="F14" s="1607">
        <f>'Expenditures 15-22'!K185</f>
        <v>0</v>
      </c>
      <c r="G14" s="1607">
        <f>'Expenditures 15-22'!K280</f>
        <v>100117</v>
      </c>
      <c r="H14" s="1612"/>
      <c r="I14" s="1575" t="s">
        <v>1159</v>
      </c>
      <c r="J14" s="1575" t="s">
        <v>1159</v>
      </c>
      <c r="K14" s="1612" t="s">
        <v>1159</v>
      </c>
      <c r="L14" s="325"/>
    </row>
    <row r="15" spans="1:13" ht="15.75" customHeight="1" x14ac:dyDescent="0.2">
      <c r="A15" s="1314" t="s">
        <v>107</v>
      </c>
      <c r="B15" s="1316">
        <v>4000</v>
      </c>
      <c r="C15" s="1607">
        <f>'Expenditures 15-22'!K102</f>
        <v>823073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1576827</v>
      </c>
      <c r="F16" s="1607">
        <f>'Expenditures 15-22'!K208</f>
        <v>147766</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14366133</v>
      </c>
      <c r="D17" s="1594">
        <f t="shared" si="2"/>
        <v>1207675</v>
      </c>
      <c r="E17" s="1594">
        <f t="shared" si="2"/>
        <v>1576827</v>
      </c>
      <c r="F17" s="1594">
        <f t="shared" si="2"/>
        <v>917546</v>
      </c>
      <c r="G17" s="1594">
        <f t="shared" si="2"/>
        <v>895639</v>
      </c>
      <c r="H17" s="1594">
        <f t="shared" si="2"/>
        <v>820906</v>
      </c>
      <c r="I17" s="1575"/>
      <c r="J17" s="1594">
        <f>SUM(J12:J16)</f>
        <v>741742</v>
      </c>
      <c r="K17" s="1594">
        <f>SUM(K12:K16)</f>
        <v>0</v>
      </c>
      <c r="L17" s="325"/>
    </row>
    <row r="18" spans="1:12" ht="15" customHeight="1" thickTop="1" x14ac:dyDescent="0.2">
      <c r="A18" s="1430" t="s">
        <v>1635</v>
      </c>
      <c r="B18" s="1431">
        <v>4180</v>
      </c>
      <c r="C18" s="1606">
        <f t="shared" ref="C18:H18" si="3">C9</f>
        <v>5702375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20068508</v>
      </c>
      <c r="D19" s="1594">
        <f t="shared" si="4"/>
        <v>1207675</v>
      </c>
      <c r="E19" s="1594">
        <f t="shared" si="4"/>
        <v>1576827</v>
      </c>
      <c r="F19" s="1594">
        <f t="shared" si="4"/>
        <v>917546</v>
      </c>
      <c r="G19" s="1594">
        <f t="shared" si="4"/>
        <v>895639</v>
      </c>
      <c r="H19" s="1594">
        <f t="shared" si="4"/>
        <v>820906</v>
      </c>
      <c r="I19" s="1575"/>
      <c r="J19" s="1594">
        <f>SUM(J17:J18)</f>
        <v>741742</v>
      </c>
      <c r="K19" s="1594">
        <f>SUM(K17:K18)</f>
        <v>0</v>
      </c>
      <c r="L19" s="325"/>
    </row>
    <row r="20" spans="1:12" ht="16.5" thickTop="1" thickBot="1" x14ac:dyDescent="0.25">
      <c r="A20" s="2232" t="s">
        <v>1636</v>
      </c>
      <c r="B20" s="2233"/>
      <c r="C20" s="1622">
        <f>C8-C17</f>
        <v>-450418</v>
      </c>
      <c r="D20" s="1622">
        <f t="shared" ref="D20:K20" si="5">D8-D17</f>
        <v>-4903</v>
      </c>
      <c r="E20" s="1622">
        <f t="shared" si="5"/>
        <v>-86376</v>
      </c>
      <c r="F20" s="1622">
        <f t="shared" si="5"/>
        <v>-60198</v>
      </c>
      <c r="G20" s="1622">
        <f t="shared" si="5"/>
        <v>-27046</v>
      </c>
      <c r="H20" s="1622">
        <f t="shared" si="5"/>
        <v>256563</v>
      </c>
      <c r="I20" s="1622">
        <f t="shared" si="5"/>
        <v>85030</v>
      </c>
      <c r="J20" s="1622">
        <f t="shared" si="5"/>
        <v>40344</v>
      </c>
      <c r="K20" s="1622">
        <f t="shared" si="5"/>
        <v>80903</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2374000</v>
      </c>
      <c r="J33" s="1574"/>
      <c r="K33" s="1574"/>
      <c r="L33" s="453"/>
    </row>
    <row r="34" spans="1:12" s="433" customFormat="1" x14ac:dyDescent="0.2">
      <c r="A34" s="1260" t="s">
        <v>994</v>
      </c>
      <c r="B34" s="454">
        <v>7220</v>
      </c>
      <c r="C34" s="1574"/>
      <c r="D34" s="1574"/>
      <c r="E34" s="1574">
        <v>36955</v>
      </c>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51573</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88528</v>
      </c>
      <c r="F44" s="1624">
        <f t="shared" si="6"/>
        <v>0</v>
      </c>
      <c r="G44" s="1624">
        <f t="shared" si="6"/>
        <v>0</v>
      </c>
      <c r="H44" s="1624">
        <f t="shared" si="6"/>
        <v>0</v>
      </c>
      <c r="I44" s="1624">
        <f t="shared" si="6"/>
        <v>2374000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v>51573</v>
      </c>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51573</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-51573</v>
      </c>
      <c r="D77" s="1624">
        <f t="shared" si="8"/>
        <v>0</v>
      </c>
      <c r="E77" s="1624">
        <f t="shared" si="8"/>
        <v>88528</v>
      </c>
      <c r="F77" s="1624">
        <f t="shared" si="8"/>
        <v>0</v>
      </c>
      <c r="G77" s="1624">
        <f t="shared" si="8"/>
        <v>0</v>
      </c>
      <c r="H77" s="1624">
        <f t="shared" si="8"/>
        <v>0</v>
      </c>
      <c r="I77" s="1624">
        <f t="shared" si="8"/>
        <v>2374000</v>
      </c>
      <c r="J77" s="1624">
        <f t="shared" si="8"/>
        <v>0</v>
      </c>
      <c r="K77" s="1624">
        <f t="shared" si="8"/>
        <v>0</v>
      </c>
      <c r="L77" s="325"/>
    </row>
    <row r="78" spans="1:12" ht="21.75" customHeight="1" thickTop="1" thickBot="1" x14ac:dyDescent="0.25">
      <c r="A78" s="2228" t="s">
        <v>593</v>
      </c>
      <c r="B78" s="2229"/>
      <c r="C78" s="1629">
        <f t="shared" ref="C78:K78" si="9">C20+C77</f>
        <v>-501991</v>
      </c>
      <c r="D78" s="1629">
        <f t="shared" si="9"/>
        <v>-4903</v>
      </c>
      <c r="E78" s="1629">
        <f t="shared" si="9"/>
        <v>2152</v>
      </c>
      <c r="F78" s="1629">
        <f t="shared" si="9"/>
        <v>-60198</v>
      </c>
      <c r="G78" s="1629">
        <f t="shared" si="9"/>
        <v>-27046</v>
      </c>
      <c r="H78" s="1629">
        <f t="shared" si="9"/>
        <v>256563</v>
      </c>
      <c r="I78" s="1629">
        <f t="shared" si="9"/>
        <v>2459030</v>
      </c>
      <c r="J78" s="1629">
        <f t="shared" si="9"/>
        <v>40344</v>
      </c>
      <c r="K78" s="1629">
        <f t="shared" si="9"/>
        <v>80903</v>
      </c>
      <c r="L78" s="457"/>
    </row>
    <row r="79" spans="1:12" ht="13.5" thickTop="1" x14ac:dyDescent="0.2">
      <c r="A79" s="1844" t="str">
        <f>"Fund Balances - July 1, "&amp;'AFR20'!E2-1</f>
        <v>Fund Balances - July 1, 2019</v>
      </c>
      <c r="B79" s="458"/>
      <c r="C79" s="1583">
        <v>1768904</v>
      </c>
      <c r="D79" s="1630">
        <v>7997</v>
      </c>
      <c r="E79" s="1630">
        <v>76540</v>
      </c>
      <c r="F79" s="1630">
        <v>304632</v>
      </c>
      <c r="G79" s="1630">
        <v>578920</v>
      </c>
      <c r="H79" s="1630">
        <v>976844</v>
      </c>
      <c r="I79" s="1630">
        <v>1145482</v>
      </c>
      <c r="J79" s="1630">
        <v>1095734</v>
      </c>
      <c r="K79" s="1630">
        <v>170492</v>
      </c>
      <c r="L79" s="325"/>
    </row>
    <row r="80" spans="1:12" x14ac:dyDescent="0.2">
      <c r="A80" s="2234" t="s">
        <v>1769</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1266913</v>
      </c>
      <c r="D81" s="1594">
        <f>SUM(D78:D80)</f>
        <v>3094</v>
      </c>
      <c r="E81" s="1594">
        <f t="shared" ref="E81:K81" si="10">SUM(E78:E80)</f>
        <v>78692</v>
      </c>
      <c r="F81" s="1594">
        <f t="shared" si="10"/>
        <v>244434</v>
      </c>
      <c r="G81" s="1594">
        <f t="shared" si="10"/>
        <v>551874</v>
      </c>
      <c r="H81" s="1594">
        <f t="shared" si="10"/>
        <v>1233407</v>
      </c>
      <c r="I81" s="1594">
        <f t="shared" si="10"/>
        <v>3604512</v>
      </c>
      <c r="J81" s="1594">
        <f t="shared" si="10"/>
        <v>1136078</v>
      </c>
      <c r="K81" s="1594">
        <f t="shared" si="10"/>
        <v>251395</v>
      </c>
      <c r="L81" s="325"/>
    </row>
    <row r="82" spans="1:12" ht="0.75" customHeight="1" thickTop="1" thickBot="1" x14ac:dyDescent="0.25">
      <c r="A82" s="459" t="s">
        <v>340</v>
      </c>
      <c r="B82" s="460"/>
      <c r="C82" s="461">
        <f>(C81-C79)</f>
        <v>-501991</v>
      </c>
      <c r="D82" s="461">
        <f t="shared" ref="D82:K82" si="11">(D81-D79)</f>
        <v>-4903</v>
      </c>
      <c r="E82" s="461">
        <f t="shared" si="11"/>
        <v>2152</v>
      </c>
      <c r="F82" s="461">
        <f t="shared" si="11"/>
        <v>-60198</v>
      </c>
      <c r="G82" s="461">
        <f t="shared" si="11"/>
        <v>-27046</v>
      </c>
      <c r="H82" s="461">
        <f t="shared" si="11"/>
        <v>256563</v>
      </c>
      <c r="I82" s="461">
        <f t="shared" si="11"/>
        <v>2459030</v>
      </c>
      <c r="J82" s="461">
        <f t="shared" si="11"/>
        <v>40344</v>
      </c>
      <c r="K82" s="461">
        <f t="shared" si="11"/>
        <v>80903</v>
      </c>
    </row>
    <row r="83" spans="1:12" ht="14.25" hidden="1" thickTop="1" thickBot="1" x14ac:dyDescent="0.25">
      <c r="A83" s="462" t="s">
        <v>341</v>
      </c>
      <c r="B83" s="428"/>
      <c r="C83" s="463">
        <f>C82/C81</f>
        <v>-0.39623162758610891</v>
      </c>
      <c r="D83" s="463">
        <f t="shared" ref="D83:K83" si="12">D82/D81</f>
        <v>-1.5846800258564964</v>
      </c>
      <c r="E83" s="463">
        <f t="shared" si="12"/>
        <v>2.7347125501956997E-2</v>
      </c>
      <c r="F83" s="463">
        <f t="shared" si="12"/>
        <v>-0.24627506811654679</v>
      </c>
      <c r="G83" s="463">
        <f t="shared" si="12"/>
        <v>-4.900756332061304E-2</v>
      </c>
      <c r="H83" s="463">
        <f t="shared" si="12"/>
        <v>0.20801162957563887</v>
      </c>
      <c r="I83" s="463">
        <f t="shared" si="12"/>
        <v>0.68220885379213603</v>
      </c>
      <c r="J83" s="463">
        <f t="shared" si="12"/>
        <v>3.5511646207390689E-2</v>
      </c>
      <c r="K83" s="463">
        <f t="shared" si="12"/>
        <v>0.32181626523996104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5" zoomScaleNormal="115" zoomScaleSheetLayoutView="75" workbookViewId="0">
      <pane ySplit="2" topLeftCell="A237" activePane="bottomLeft" state="frozen"/>
      <selection activeCell="P68" sqref="P68"/>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1776</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3869576</v>
      </c>
      <c r="D5" s="1586">
        <v>799749</v>
      </c>
      <c r="E5" s="1573">
        <v>1487572</v>
      </c>
      <c r="F5" s="1631">
        <v>319911</v>
      </c>
      <c r="G5" s="1573">
        <v>450250</v>
      </c>
      <c r="H5" s="1573"/>
      <c r="I5" s="1573">
        <v>79992</v>
      </c>
      <c r="J5" s="1574">
        <v>774710</v>
      </c>
      <c r="K5" s="1573">
        <v>79992</v>
      </c>
    </row>
    <row r="6" spans="1:12" ht="15" x14ac:dyDescent="0.2">
      <c r="A6" s="427" t="s">
        <v>1643</v>
      </c>
      <c r="B6" s="429">
        <v>1130</v>
      </c>
      <c r="C6" s="1573">
        <v>79992</v>
      </c>
      <c r="D6" s="1573"/>
      <c r="E6" s="1580"/>
      <c r="F6" s="1580"/>
      <c r="G6" s="1575"/>
      <c r="H6" s="1575"/>
      <c r="I6" s="1575"/>
      <c r="J6" s="1575"/>
      <c r="K6" s="1575"/>
    </row>
    <row r="7" spans="1:12" x14ac:dyDescent="0.2">
      <c r="A7" s="427" t="s">
        <v>110</v>
      </c>
      <c r="B7" s="471">
        <v>1140</v>
      </c>
      <c r="C7" s="1573">
        <v>63976</v>
      </c>
      <c r="D7" s="1573"/>
      <c r="E7" s="1575"/>
      <c r="F7" s="1574"/>
      <c r="G7" s="1574"/>
      <c r="H7" s="1574"/>
      <c r="I7" s="1575"/>
      <c r="J7" s="1575"/>
      <c r="K7" s="1575"/>
    </row>
    <row r="8" spans="1:12" x14ac:dyDescent="0.2">
      <c r="A8" s="427" t="s">
        <v>410</v>
      </c>
      <c r="B8" s="429">
        <v>1150</v>
      </c>
      <c r="C8" s="1580"/>
      <c r="D8" s="1580"/>
      <c r="E8" s="1582"/>
      <c r="F8" s="1582"/>
      <c r="G8" s="1586">
        <v>371375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4013544</v>
      </c>
      <c r="D12" s="1633">
        <f t="shared" si="0"/>
        <v>799749</v>
      </c>
      <c r="E12" s="1633">
        <f t="shared" si="0"/>
        <v>1487572</v>
      </c>
      <c r="F12" s="1633">
        <f t="shared" si="0"/>
        <v>319911</v>
      </c>
      <c r="G12" s="1633">
        <f t="shared" si="0"/>
        <v>821625</v>
      </c>
      <c r="H12" s="1633">
        <f t="shared" si="0"/>
        <v>0</v>
      </c>
      <c r="I12" s="1633">
        <f t="shared" si="0"/>
        <v>79992</v>
      </c>
      <c r="J12" s="1633">
        <f t="shared" si="0"/>
        <v>774710</v>
      </c>
      <c r="K12" s="1594">
        <f t="shared" si="0"/>
        <v>79992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1121111</v>
      </c>
      <c r="D16" s="1573">
        <v>200000</v>
      </c>
      <c r="E16" s="1573"/>
      <c r="F16" s="1573"/>
      <c r="G16" s="1573">
        <v>43500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1121111</v>
      </c>
      <c r="D18" s="1635">
        <f t="shared" ref="D18:K18" si="1">SUM(D14:D17)</f>
        <v>200000</v>
      </c>
      <c r="E18" s="1635">
        <f t="shared" si="1"/>
        <v>0</v>
      </c>
      <c r="F18" s="1635">
        <f t="shared" si="1"/>
        <v>0</v>
      </c>
      <c r="G18" s="1635">
        <f t="shared" si="1"/>
        <v>43500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106367</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106367</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10976</v>
      </c>
      <c r="D65" s="1573">
        <v>706</v>
      </c>
      <c r="E65" s="1573">
        <v>1379</v>
      </c>
      <c r="F65" s="1574">
        <v>672</v>
      </c>
      <c r="G65" s="1573">
        <v>3468</v>
      </c>
      <c r="H65" s="1573">
        <v>3385</v>
      </c>
      <c r="I65" s="1573">
        <v>5038</v>
      </c>
      <c r="J65" s="1574">
        <v>5131</v>
      </c>
      <c r="K65" s="1573">
        <v>911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10976</v>
      </c>
      <c r="D67" s="1594">
        <f t="shared" ref="D67:K67" si="2">SUM(D65:D66)</f>
        <v>706</v>
      </c>
      <c r="E67" s="1594">
        <f t="shared" si="2"/>
        <v>1379</v>
      </c>
      <c r="F67" s="1594">
        <f t="shared" si="2"/>
        <v>672</v>
      </c>
      <c r="G67" s="1594">
        <f t="shared" si="2"/>
        <v>3468</v>
      </c>
      <c r="H67" s="1594">
        <f t="shared" si="2"/>
        <v>3385</v>
      </c>
      <c r="I67" s="1594">
        <f t="shared" si="2"/>
        <v>5038</v>
      </c>
      <c r="J67" s="1594">
        <f t="shared" si="2"/>
        <v>5131</v>
      </c>
      <c r="K67" s="1594">
        <f t="shared" si="2"/>
        <v>911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98469</v>
      </c>
      <c r="D69" s="1575"/>
      <c r="E69" s="1575"/>
      <c r="F69" s="1575"/>
      <c r="G69" s="1575"/>
      <c r="H69" s="1575"/>
      <c r="I69" s="1575"/>
      <c r="J69" s="1575"/>
      <c r="K69" s="1575"/>
    </row>
    <row r="70" spans="1:11" ht="12.75" customHeight="1" x14ac:dyDescent="0.2">
      <c r="A70" s="427" t="s">
        <v>990</v>
      </c>
      <c r="B70" s="429">
        <v>1612</v>
      </c>
      <c r="C70" s="1632">
        <v>5947</v>
      </c>
      <c r="D70" s="1575"/>
      <c r="E70" s="1575"/>
      <c r="F70" s="1575"/>
      <c r="G70" s="1575"/>
      <c r="H70" s="1575"/>
      <c r="I70" s="1575"/>
      <c r="J70" s="1575"/>
      <c r="K70" s="1575"/>
    </row>
    <row r="71" spans="1:11" ht="12.75" customHeight="1" x14ac:dyDescent="0.2">
      <c r="A71" s="427" t="s">
        <v>271</v>
      </c>
      <c r="B71" s="429">
        <v>1613</v>
      </c>
      <c r="C71" s="1632">
        <v>112161</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4089</v>
      </c>
      <c r="D73" s="1575"/>
      <c r="E73" s="1575"/>
      <c r="F73" s="1575"/>
      <c r="G73" s="1575"/>
      <c r="H73" s="1575"/>
      <c r="I73" s="1575"/>
      <c r="J73" s="1575"/>
      <c r="K73" s="1575"/>
    </row>
    <row r="74" spans="1:11" ht="12.75" customHeight="1" x14ac:dyDescent="0.2">
      <c r="A74" s="427" t="s">
        <v>25</v>
      </c>
      <c r="B74" s="429">
        <v>1690</v>
      </c>
      <c r="C74" s="1632">
        <v>20476</v>
      </c>
      <c r="D74" s="1575"/>
      <c r="E74" s="1575"/>
      <c r="F74" s="1575"/>
      <c r="G74" s="1575"/>
      <c r="H74" s="1575"/>
      <c r="I74" s="1575"/>
      <c r="J74" s="1575"/>
      <c r="K74" s="1575"/>
    </row>
    <row r="75" spans="1:11" ht="12.75" customHeight="1" thickBot="1" x14ac:dyDescent="0.25">
      <c r="A75" s="1406" t="s">
        <v>544</v>
      </c>
      <c r="B75" s="1407"/>
      <c r="C75" s="1594">
        <f>SUM(C69:C74)</f>
        <v>241142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27196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4410+7480</f>
        <v>11890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39086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104558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104558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1905</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6300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1074084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210146+416456+37017</f>
        <v>663619</v>
      </c>
      <c r="D107" s="1573">
        <v>412</v>
      </c>
      <c r="E107" s="1573">
        <v>1500</v>
      </c>
      <c r="F107" s="1573">
        <v>42929</v>
      </c>
      <c r="G107" s="1573"/>
      <c r="H107" s="1573"/>
      <c r="I107" s="1573"/>
      <c r="J107" s="1574">
        <v>2245</v>
      </c>
      <c r="K107" s="1573"/>
    </row>
    <row r="108" spans="1:12" ht="12.75" customHeight="1" thickBot="1" x14ac:dyDescent="0.25">
      <c r="A108" s="1406" t="s">
        <v>484</v>
      </c>
      <c r="B108" s="1408"/>
      <c r="C108" s="1633">
        <f>SUM(C95:C107)</f>
        <v>669919</v>
      </c>
      <c r="D108" s="1633">
        <f t="shared" ref="D108:K108" si="3">SUM(D95:D107)</f>
        <v>2317</v>
      </c>
      <c r="E108" s="1633">
        <f t="shared" si="3"/>
        <v>1500</v>
      </c>
      <c r="F108" s="1633">
        <f t="shared" si="3"/>
        <v>42929</v>
      </c>
      <c r="G108" s="1633">
        <f t="shared" si="3"/>
        <v>0</v>
      </c>
      <c r="H108" s="1633">
        <f t="shared" si="3"/>
        <v>1074084</v>
      </c>
      <c r="I108" s="1633">
        <f t="shared" si="3"/>
        <v>0</v>
      </c>
      <c r="J108" s="1633">
        <f t="shared" si="3"/>
        <v>2245</v>
      </c>
      <c r="K108" s="1594">
        <f t="shared" si="3"/>
        <v>0</v>
      </c>
    </row>
    <row r="109" spans="1:12" ht="14.25" thickTop="1" thickBot="1" x14ac:dyDescent="0.25">
      <c r="A109" s="1409" t="s">
        <v>246</v>
      </c>
      <c r="B109" s="1410" t="s">
        <v>566</v>
      </c>
      <c r="C109" s="1641">
        <f t="shared" ref="C109:K109" si="4">SUM(C12,C18,C40,C63,C67,C75,C82,C93,C108,)</f>
        <v>6306703</v>
      </c>
      <c r="D109" s="1641">
        <f t="shared" si="4"/>
        <v>1002772</v>
      </c>
      <c r="E109" s="1641">
        <f t="shared" si="4"/>
        <v>1490451</v>
      </c>
      <c r="F109" s="1641">
        <f t="shared" si="4"/>
        <v>363512</v>
      </c>
      <c r="G109" s="1641">
        <f t="shared" si="4"/>
        <v>868593</v>
      </c>
      <c r="H109" s="1641">
        <f t="shared" si="4"/>
        <v>1077469</v>
      </c>
      <c r="I109" s="1641">
        <f t="shared" si="4"/>
        <v>85030</v>
      </c>
      <c r="J109" s="1641">
        <f t="shared" si="4"/>
        <v>782086</v>
      </c>
      <c r="K109" s="1629">
        <f t="shared" si="4"/>
        <v>80903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271169</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271169</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4749551</v>
      </c>
      <c r="D117" s="1586">
        <v>200000</v>
      </c>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4749551</v>
      </c>
      <c r="D122" s="1633">
        <f t="shared" si="5"/>
        <v>200000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69925</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141828</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211753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16653</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10426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27079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4380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11251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460734</v>
      </c>
      <c r="G152" s="1574"/>
      <c r="H152" s="1575"/>
      <c r="I152" s="1575"/>
      <c r="J152" s="1575"/>
      <c r="K152" s="1575"/>
    </row>
    <row r="153" spans="1:11" ht="12.75" customHeight="1" x14ac:dyDescent="0.2">
      <c r="A153" s="427" t="s">
        <v>1048</v>
      </c>
      <c r="B153" s="478">
        <v>3510</v>
      </c>
      <c r="C153" s="1632"/>
      <c r="D153" s="1573"/>
      <c r="E153" s="1640"/>
      <c r="F153" s="1573">
        <v>33102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493836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951567</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1130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1207160</v>
      </c>
      <c r="D169" s="1658">
        <f t="shared" si="6"/>
        <v>0</v>
      </c>
      <c r="E169" s="1658">
        <f t="shared" si="6"/>
        <v>0</v>
      </c>
      <c r="F169" s="1658">
        <f t="shared" si="6"/>
        <v>493836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5956711</v>
      </c>
      <c r="D170" s="1641">
        <f t="shared" si="7"/>
        <v>200000</v>
      </c>
      <c r="E170" s="1641">
        <f t="shared" si="7"/>
        <v>0</v>
      </c>
      <c r="F170" s="1641">
        <f t="shared" si="7"/>
        <v>493836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1777</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245432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74440</v>
      </c>
      <c r="D193" s="1575"/>
      <c r="E193" s="1640"/>
      <c r="F193" s="1575"/>
      <c r="G193" s="1664"/>
      <c r="H193" s="1575"/>
      <c r="I193" s="1575"/>
      <c r="J193" s="1575"/>
      <c r="K193" s="1575"/>
    </row>
    <row r="194" spans="1:11" ht="12.75" customHeight="1" x14ac:dyDescent="0.2">
      <c r="A194" s="427" t="s">
        <v>1434</v>
      </c>
      <c r="B194" s="429">
        <v>4225</v>
      </c>
      <c r="C194" s="1632">
        <v>40098</v>
      </c>
      <c r="D194" s="1575"/>
      <c r="E194" s="1640"/>
      <c r="F194" s="1575"/>
      <c r="G194" s="1664"/>
      <c r="H194" s="1575"/>
      <c r="I194" s="1575"/>
      <c r="J194" s="1575"/>
      <c r="K194" s="1575"/>
    </row>
    <row r="195" spans="1:11" ht="12.75" customHeight="1" x14ac:dyDescent="0.2">
      <c r="A195" s="427" t="s">
        <v>1435</v>
      </c>
      <c r="B195" s="429">
        <v>4226</v>
      </c>
      <c r="C195" s="1632">
        <v>18526</v>
      </c>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378496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408499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32418</v>
      </c>
      <c r="D203" s="1573"/>
      <c r="E203" s="1575"/>
      <c r="F203" s="1573"/>
      <c r="G203" s="1573"/>
      <c r="H203" s="1575"/>
      <c r="I203" s="1575"/>
      <c r="J203" s="1575"/>
      <c r="K203" s="1575"/>
    </row>
    <row r="204" spans="1:11" ht="12.75" customHeight="1" thickBot="1" x14ac:dyDescent="0.25">
      <c r="A204" s="1406" t="s">
        <v>397</v>
      </c>
      <c r="B204" s="1407"/>
      <c r="C204" s="1633">
        <f>SUM(C200:C203)</f>
        <v>440917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17435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404118</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421553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16629</v>
      </c>
      <c r="D220" s="1573"/>
      <c r="E220" s="1575"/>
      <c r="F220" s="1575"/>
      <c r="G220" s="1573"/>
      <c r="H220" s="1575"/>
      <c r="I220" s="1575"/>
      <c r="J220" s="1575"/>
      <c r="K220" s="1575"/>
    </row>
    <row r="221" spans="1:11" ht="12.75" customHeight="1" thickBot="1" x14ac:dyDescent="0.25">
      <c r="A221" s="1415" t="s">
        <v>1076</v>
      </c>
      <c r="B221" s="1416"/>
      <c r="C221" s="1633">
        <f>SUM(C219:C220)</f>
        <v>16629</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88132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22909</v>
      </c>
      <c r="D263" s="1651"/>
      <c r="E263" s="1575"/>
      <c r="F263" s="1651"/>
      <c r="G263" s="1651"/>
      <c r="H263" s="1575"/>
      <c r="I263" s="1575"/>
      <c r="J263" s="1575"/>
      <c r="K263" s="1575"/>
    </row>
    <row r="264" spans="1:11" ht="12.75" customHeight="1" thickTop="1" thickBot="1" x14ac:dyDescent="0.25">
      <c r="A264" s="427" t="s">
        <v>374</v>
      </c>
      <c r="B264" s="429">
        <v>4992</v>
      </c>
      <c r="C264" s="1650">
        <v>3854</v>
      </c>
      <c r="D264" s="1651"/>
      <c r="E264" s="1575"/>
      <c r="F264" s="1651"/>
      <c r="G264" s="1651"/>
      <c r="H264" s="1575"/>
      <c r="I264" s="1575"/>
      <c r="J264" s="1575"/>
      <c r="K264" s="1575"/>
    </row>
    <row r="265" spans="1:11" s="489" customFormat="1" ht="12.75" customHeight="1" thickTop="1" thickBot="1" x14ac:dyDescent="0.25">
      <c r="A265" s="479" t="s">
        <v>75</v>
      </c>
      <c r="B265" s="475">
        <v>4998</v>
      </c>
      <c r="C265" s="1650">
        <v>8642</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1381132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1381132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13915715</v>
      </c>
      <c r="D268" s="1641">
        <f t="shared" si="12"/>
        <v>1202772</v>
      </c>
      <c r="E268" s="1641">
        <f t="shared" si="12"/>
        <v>1490451</v>
      </c>
      <c r="F268" s="1641">
        <f t="shared" si="12"/>
        <v>857348</v>
      </c>
      <c r="G268" s="1641">
        <f t="shared" si="12"/>
        <v>868593</v>
      </c>
      <c r="H268" s="1641">
        <f t="shared" si="12"/>
        <v>1077469</v>
      </c>
      <c r="I268" s="1641">
        <f t="shared" si="12"/>
        <v>85030</v>
      </c>
      <c r="J268" s="1641">
        <f t="shared" si="12"/>
        <v>782086</v>
      </c>
      <c r="K268" s="1629">
        <f t="shared" si="12"/>
        <v>80903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4" activePane="bottomLeft" state="frozen"/>
      <selection activeCell="P68" sqref="P68"/>
      <selection pane="bottomLeft" activeCell="P68" sqref="P6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4859151</v>
      </c>
      <c r="D5" s="1573">
        <v>1229932</v>
      </c>
      <c r="E5" s="1573">
        <v>58098</v>
      </c>
      <c r="F5" s="1573">
        <v>342499</v>
      </c>
      <c r="G5" s="1573">
        <v>0</v>
      </c>
      <c r="H5" s="1573">
        <v>3370</v>
      </c>
      <c r="I5" s="1574">
        <v>24321</v>
      </c>
      <c r="J5" s="1574"/>
      <c r="K5" s="1672">
        <f>SUM(C5:J5)</f>
        <v>6517371</v>
      </c>
      <c r="L5" s="1573">
        <v>6753699</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382364</v>
      </c>
      <c r="D7" s="1574">
        <v>52059</v>
      </c>
      <c r="E7" s="1574">
        <v>422</v>
      </c>
      <c r="F7" s="1574">
        <v>9321</v>
      </c>
      <c r="G7" s="1574"/>
      <c r="H7" s="1574"/>
      <c r="I7" s="1574"/>
      <c r="J7" s="1574"/>
      <c r="K7" s="1672">
        <f t="shared" ref="K7:K32" si="0">SUM(C7:J7)</f>
        <v>444166</v>
      </c>
      <c r="L7" s="1573">
        <v>420871</v>
      </c>
    </row>
    <row r="8" spans="1:14" x14ac:dyDescent="0.2">
      <c r="A8" s="1274" t="s">
        <v>163</v>
      </c>
      <c r="B8" s="503">
        <v>1200</v>
      </c>
      <c r="C8" s="1573">
        <v>1364612</v>
      </c>
      <c r="D8" s="1573">
        <v>216949</v>
      </c>
      <c r="E8" s="1573">
        <v>3730</v>
      </c>
      <c r="F8" s="1573">
        <v>29388</v>
      </c>
      <c r="G8" s="1573">
        <v>0</v>
      </c>
      <c r="H8" s="1573"/>
      <c r="I8" s="1574">
        <v>568</v>
      </c>
      <c r="J8" s="1574"/>
      <c r="K8" s="1672">
        <f t="shared" si="0"/>
        <v>1615247</v>
      </c>
      <c r="L8" s="1573">
        <v>1789089</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295166</v>
      </c>
      <c r="D10" s="1573">
        <v>49328</v>
      </c>
      <c r="E10" s="1573"/>
      <c r="F10" s="1573">
        <v>16920</v>
      </c>
      <c r="G10" s="1573"/>
      <c r="H10" s="1573"/>
      <c r="I10" s="1574"/>
      <c r="J10" s="1574"/>
      <c r="K10" s="1672">
        <f t="shared" si="0"/>
        <v>361414</v>
      </c>
      <c r="L10" s="1573">
        <v>345390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286632</v>
      </c>
      <c r="D13" s="1573">
        <v>57366</v>
      </c>
      <c r="E13" s="1573">
        <v>1330</v>
      </c>
      <c r="F13" s="1573">
        <v>15994</v>
      </c>
      <c r="G13" s="1573">
        <v>0</v>
      </c>
      <c r="H13" s="1573">
        <v>1594</v>
      </c>
      <c r="I13" s="1574">
        <v>24963</v>
      </c>
      <c r="J13" s="1574"/>
      <c r="K13" s="1672">
        <f t="shared" si="0"/>
        <v>387879</v>
      </c>
      <c r="L13" s="1573">
        <v>396062</v>
      </c>
    </row>
    <row r="14" spans="1:14" x14ac:dyDescent="0.2">
      <c r="A14" s="1274" t="s">
        <v>957</v>
      </c>
      <c r="B14" s="503">
        <v>1500</v>
      </c>
      <c r="C14" s="1573">
        <v>153963</v>
      </c>
      <c r="D14" s="1573">
        <v>10629</v>
      </c>
      <c r="E14" s="1573">
        <v>25220</v>
      </c>
      <c r="F14" s="1573">
        <v>22240</v>
      </c>
      <c r="G14" s="1573"/>
      <c r="H14" s="1573">
        <v>8354</v>
      </c>
      <c r="I14" s="1574">
        <v>2649</v>
      </c>
      <c r="J14" s="1574"/>
      <c r="K14" s="1672">
        <f t="shared" si="0"/>
        <v>223055</v>
      </c>
      <c r="L14" s="1573">
        <v>235405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52237</v>
      </c>
      <c r="D17" s="1574">
        <v>12226</v>
      </c>
      <c r="E17" s="1574"/>
      <c r="F17" s="1574">
        <v>1242</v>
      </c>
      <c r="G17" s="1574"/>
      <c r="H17" s="1574">
        <v>3310</v>
      </c>
      <c r="I17" s="1574"/>
      <c r="J17" s="1574"/>
      <c r="K17" s="1672">
        <f t="shared" si="0"/>
        <v>69015</v>
      </c>
      <c r="L17" s="1573">
        <v>84915</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231590</v>
      </c>
      <c r="I22" s="1673"/>
      <c r="J22" s="1582"/>
      <c r="K22" s="1672">
        <f t="shared" si="0"/>
        <v>231590</v>
      </c>
      <c r="L22" s="1577">
        <v>163000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7394125</v>
      </c>
      <c r="D33" s="1674">
        <f t="shared" ref="D33:L33" si="1">SUM(D5:D32)</f>
        <v>1628489</v>
      </c>
      <c r="E33" s="1674">
        <f t="shared" si="1"/>
        <v>88800</v>
      </c>
      <c r="F33" s="1674">
        <f t="shared" si="1"/>
        <v>437604</v>
      </c>
      <c r="G33" s="1674">
        <f t="shared" si="1"/>
        <v>0</v>
      </c>
      <c r="H33" s="1674">
        <f t="shared" si="1"/>
        <v>248218</v>
      </c>
      <c r="I33" s="1674">
        <f t="shared" si="1"/>
        <v>52501</v>
      </c>
      <c r="J33" s="1674">
        <f t="shared" si="1"/>
        <v>0</v>
      </c>
      <c r="K33" s="1674">
        <f t="shared" si="1"/>
        <v>9849737</v>
      </c>
      <c r="L33" s="1674">
        <f t="shared" si="1"/>
        <v>10188431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v>557</v>
      </c>
      <c r="G36" s="1586"/>
      <c r="H36" s="1586"/>
      <c r="I36" s="1574"/>
      <c r="J36" s="1574"/>
      <c r="K36" s="1672">
        <f t="shared" ref="K36:K41" si="2">SUM(C36:J36)</f>
        <v>557</v>
      </c>
      <c r="L36" s="1573"/>
    </row>
    <row r="37" spans="1:14" x14ac:dyDescent="0.2">
      <c r="A37" s="1274" t="s">
        <v>1081</v>
      </c>
      <c r="B37" s="503">
        <v>2120</v>
      </c>
      <c r="C37" s="1573">
        <v>213858</v>
      </c>
      <c r="D37" s="1573">
        <v>50642</v>
      </c>
      <c r="E37" s="1573">
        <v>285</v>
      </c>
      <c r="F37" s="1573"/>
      <c r="G37" s="1573"/>
      <c r="H37" s="1573"/>
      <c r="I37" s="1574"/>
      <c r="J37" s="1574"/>
      <c r="K37" s="1672">
        <f t="shared" si="2"/>
        <v>264785</v>
      </c>
      <c r="L37" s="1573">
        <v>262325</v>
      </c>
    </row>
    <row r="38" spans="1:14" x14ac:dyDescent="0.2">
      <c r="A38" s="1274" t="s">
        <v>196</v>
      </c>
      <c r="B38" s="503">
        <v>2130</v>
      </c>
      <c r="C38" s="1573">
        <v>69970</v>
      </c>
      <c r="D38" s="1573">
        <v>15477</v>
      </c>
      <c r="E38" s="1573">
        <v>4137</v>
      </c>
      <c r="F38" s="1573">
        <v>2754</v>
      </c>
      <c r="G38" s="1573"/>
      <c r="H38" s="1573">
        <v>146</v>
      </c>
      <c r="I38" s="1574"/>
      <c r="J38" s="1574"/>
      <c r="K38" s="1672">
        <f t="shared" si="2"/>
        <v>92484</v>
      </c>
      <c r="L38" s="1573">
        <v>95700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102854</v>
      </c>
      <c r="D41" s="1573">
        <v>11355</v>
      </c>
      <c r="E41" s="1573">
        <v>2866</v>
      </c>
      <c r="F41" s="1573">
        <v>45681</v>
      </c>
      <c r="G41" s="1573"/>
      <c r="H41" s="1573"/>
      <c r="I41" s="1574">
        <v>1136</v>
      </c>
      <c r="J41" s="1574"/>
      <c r="K41" s="1672">
        <f t="shared" si="2"/>
        <v>163892</v>
      </c>
      <c r="L41" s="1573">
        <v>230400</v>
      </c>
    </row>
    <row r="42" spans="1:14" ht="12.75" customHeight="1" thickBot="1" x14ac:dyDescent="0.25">
      <c r="A42" s="1380" t="s">
        <v>556</v>
      </c>
      <c r="B42" s="1381" t="s">
        <v>711</v>
      </c>
      <c r="C42" s="1674">
        <f>SUM(C36:C41)</f>
        <v>386682</v>
      </c>
      <c r="D42" s="1674">
        <f t="shared" ref="D42:L42" si="3">SUM(D36:D41)</f>
        <v>77474</v>
      </c>
      <c r="E42" s="1674">
        <f t="shared" si="3"/>
        <v>7288</v>
      </c>
      <c r="F42" s="1674">
        <f t="shared" si="3"/>
        <v>48992</v>
      </c>
      <c r="G42" s="1674">
        <f t="shared" si="3"/>
        <v>0</v>
      </c>
      <c r="H42" s="1674">
        <f t="shared" si="3"/>
        <v>146</v>
      </c>
      <c r="I42" s="1674">
        <f t="shared" si="3"/>
        <v>1136</v>
      </c>
      <c r="J42" s="1674">
        <f t="shared" si="3"/>
        <v>0</v>
      </c>
      <c r="K42" s="1674">
        <f t="shared" si="3"/>
        <v>521718</v>
      </c>
      <c r="L42" s="1674">
        <f t="shared" si="3"/>
        <v>588425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142360</v>
      </c>
      <c r="D44" s="1586">
        <v>38943</v>
      </c>
      <c r="E44" s="1586">
        <v>18555</v>
      </c>
      <c r="F44" s="1586">
        <v>832</v>
      </c>
      <c r="G44" s="1586"/>
      <c r="H44" s="1586"/>
      <c r="I44" s="1574">
        <v>584</v>
      </c>
      <c r="J44" s="1574"/>
      <c r="K44" s="1678">
        <f>SUM(C44:J44)</f>
        <v>201274</v>
      </c>
      <c r="L44" s="1586">
        <v>218629</v>
      </c>
    </row>
    <row r="45" spans="1:14" x14ac:dyDescent="0.2">
      <c r="A45" s="1274" t="s">
        <v>810</v>
      </c>
      <c r="B45" s="503">
        <v>2220</v>
      </c>
      <c r="C45" s="1573">
        <v>70380</v>
      </c>
      <c r="D45" s="1573">
        <v>16819</v>
      </c>
      <c r="E45" s="1573">
        <v>4758</v>
      </c>
      <c r="F45" s="1573">
        <v>3832</v>
      </c>
      <c r="G45" s="1573"/>
      <c r="H45" s="1573"/>
      <c r="I45" s="1574"/>
      <c r="J45" s="1574"/>
      <c r="K45" s="1678">
        <f>SUM(C45:J45)</f>
        <v>95789</v>
      </c>
      <c r="L45" s="1573">
        <v>102903</v>
      </c>
    </row>
    <row r="46" spans="1:14" x14ac:dyDescent="0.2">
      <c r="A46" s="1274" t="s">
        <v>811</v>
      </c>
      <c r="B46" s="503">
        <v>2230</v>
      </c>
      <c r="C46" s="1573"/>
      <c r="D46" s="1573"/>
      <c r="E46" s="1573"/>
      <c r="F46" s="1573"/>
      <c r="G46" s="1573"/>
      <c r="H46" s="1573"/>
      <c r="I46" s="1574"/>
      <c r="J46" s="1574"/>
      <c r="K46" s="1678">
        <f>SUM(C46:J46)</f>
        <v>0</v>
      </c>
      <c r="L46" s="1573">
        <v>114</v>
      </c>
    </row>
    <row r="47" spans="1:14" ht="12.75" customHeight="1" thickBot="1" x14ac:dyDescent="0.25">
      <c r="A47" s="1380" t="s">
        <v>557</v>
      </c>
      <c r="B47" s="1381" t="s">
        <v>32</v>
      </c>
      <c r="C47" s="1674">
        <f>SUM(C44:C46)</f>
        <v>212740</v>
      </c>
      <c r="D47" s="1674">
        <f t="shared" ref="D47:K47" si="4">SUM(D44:D46)</f>
        <v>55762</v>
      </c>
      <c r="E47" s="1674">
        <f t="shared" si="4"/>
        <v>23313</v>
      </c>
      <c r="F47" s="1674">
        <f t="shared" si="4"/>
        <v>4664</v>
      </c>
      <c r="G47" s="1674">
        <f t="shared" si="4"/>
        <v>0</v>
      </c>
      <c r="H47" s="1674">
        <f t="shared" si="4"/>
        <v>0</v>
      </c>
      <c r="I47" s="1674">
        <f t="shared" si="4"/>
        <v>584</v>
      </c>
      <c r="J47" s="1674">
        <f t="shared" si="4"/>
        <v>0</v>
      </c>
      <c r="K47" s="1674">
        <f t="shared" si="4"/>
        <v>297063</v>
      </c>
      <c r="L47" s="1674">
        <f>SUM(L44:L46)</f>
        <v>321646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17653</v>
      </c>
      <c r="D49" s="1586">
        <v>832</v>
      </c>
      <c r="E49" s="1586">
        <v>82685</v>
      </c>
      <c r="F49" s="1586">
        <v>2163</v>
      </c>
      <c r="G49" s="1586"/>
      <c r="H49" s="1586">
        <v>27508</v>
      </c>
      <c r="I49" s="1574"/>
      <c r="J49" s="1574"/>
      <c r="K49" s="1678">
        <f>SUM(C49:J49)</f>
        <v>130841</v>
      </c>
      <c r="L49" s="1586">
        <v>140245</v>
      </c>
    </row>
    <row r="50" spans="1:14" x14ac:dyDescent="0.2">
      <c r="A50" s="1274" t="s">
        <v>813</v>
      </c>
      <c r="B50" s="503">
        <v>2320</v>
      </c>
      <c r="C50" s="1573">
        <v>151921</v>
      </c>
      <c r="D50" s="1573">
        <v>23161</v>
      </c>
      <c r="E50" s="1573">
        <v>3437</v>
      </c>
      <c r="F50" s="1573">
        <v>2367</v>
      </c>
      <c r="G50" s="1573"/>
      <c r="H50" s="1573">
        <v>2028</v>
      </c>
      <c r="I50" s="1574"/>
      <c r="J50" s="1574"/>
      <c r="K50" s="1678">
        <f>SUM(C50:J50)</f>
        <v>182914</v>
      </c>
      <c r="L50" s="1573">
        <v>187505</v>
      </c>
    </row>
    <row r="51" spans="1:14" x14ac:dyDescent="0.2">
      <c r="A51" s="1274" t="s">
        <v>42</v>
      </c>
      <c r="B51" s="503">
        <v>2330</v>
      </c>
      <c r="C51" s="1573">
        <v>35533</v>
      </c>
      <c r="D51" s="1573">
        <v>4187</v>
      </c>
      <c r="E51" s="1573">
        <v>2000</v>
      </c>
      <c r="F51" s="1573">
        <v>656</v>
      </c>
      <c r="G51" s="1573"/>
      <c r="H51" s="1573"/>
      <c r="I51" s="1574"/>
      <c r="J51" s="1574"/>
      <c r="K51" s="1678">
        <f>SUM(C51:J51)</f>
        <v>42376</v>
      </c>
      <c r="L51" s="1573">
        <v>43103</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205107</v>
      </c>
      <c r="D53" s="1674">
        <f t="shared" ref="D53:L53" si="5">SUM(D49:D52)</f>
        <v>28180</v>
      </c>
      <c r="E53" s="1674">
        <f t="shared" si="5"/>
        <v>88122</v>
      </c>
      <c r="F53" s="1674">
        <f t="shared" si="5"/>
        <v>5186</v>
      </c>
      <c r="G53" s="1674">
        <f t="shared" si="5"/>
        <v>0</v>
      </c>
      <c r="H53" s="1674">
        <f t="shared" si="5"/>
        <v>29536</v>
      </c>
      <c r="I53" s="1674">
        <f t="shared" si="5"/>
        <v>0</v>
      </c>
      <c r="J53" s="1674">
        <f t="shared" si="5"/>
        <v>0</v>
      </c>
      <c r="K53" s="1674">
        <f t="shared" si="5"/>
        <v>356131</v>
      </c>
      <c r="L53" s="1674">
        <f t="shared" si="5"/>
        <v>370853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595491</v>
      </c>
      <c r="D55" s="1586">
        <v>114096</v>
      </c>
      <c r="E55" s="1586">
        <v>137922</v>
      </c>
      <c r="F55" s="1586">
        <v>5713</v>
      </c>
      <c r="G55" s="1586"/>
      <c r="H55" s="1586">
        <v>2633</v>
      </c>
      <c r="I55" s="1574"/>
      <c r="J55" s="1574"/>
      <c r="K55" s="1678">
        <f>SUM(C55:J55)</f>
        <v>855855</v>
      </c>
      <c r="L55" s="1586">
        <v>857900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595491</v>
      </c>
      <c r="D57" s="1679">
        <f t="shared" ref="D57:K57" si="6">SUM(D55:D56)</f>
        <v>114096</v>
      </c>
      <c r="E57" s="1679">
        <f t="shared" si="6"/>
        <v>137922</v>
      </c>
      <c r="F57" s="1679">
        <f t="shared" si="6"/>
        <v>5713</v>
      </c>
      <c r="G57" s="1679">
        <f t="shared" si="6"/>
        <v>0</v>
      </c>
      <c r="H57" s="1679">
        <f t="shared" si="6"/>
        <v>2633</v>
      </c>
      <c r="I57" s="1679">
        <f t="shared" si="6"/>
        <v>0</v>
      </c>
      <c r="J57" s="1679">
        <f t="shared" si="6"/>
        <v>0</v>
      </c>
      <c r="K57" s="1679">
        <f t="shared" si="6"/>
        <v>855855</v>
      </c>
      <c r="L57" s="1674">
        <f>SUM(L55:L56)</f>
        <v>857900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118560</v>
      </c>
      <c r="D60" s="1573">
        <v>21961</v>
      </c>
      <c r="E60" s="1573">
        <v>11964</v>
      </c>
      <c r="F60" s="1573">
        <v>7125</v>
      </c>
      <c r="G60" s="1573"/>
      <c r="H60" s="1573">
        <v>340</v>
      </c>
      <c r="I60" s="1574">
        <v>584</v>
      </c>
      <c r="J60" s="1574"/>
      <c r="K60" s="1678">
        <f t="shared" si="7"/>
        <v>160534</v>
      </c>
      <c r="L60" s="1573">
        <v>159400</v>
      </c>
      <c r="M60" s="501"/>
      <c r="N60" s="501"/>
    </row>
    <row r="61" spans="1:14" s="321" customFormat="1" x14ac:dyDescent="0.2">
      <c r="A61" s="1274" t="s">
        <v>195</v>
      </c>
      <c r="B61" s="503">
        <v>2540</v>
      </c>
      <c r="C61" s="1573"/>
      <c r="D61" s="1573"/>
      <c r="E61" s="1573">
        <v>13756</v>
      </c>
      <c r="F61" s="1573">
        <v>32</v>
      </c>
      <c r="G61" s="1573"/>
      <c r="H61" s="1573"/>
      <c r="I61" s="1574"/>
      <c r="J61" s="1574"/>
      <c r="K61" s="1678">
        <f t="shared" si="7"/>
        <v>13788</v>
      </c>
      <c r="L61" s="1573">
        <v>18020</v>
      </c>
      <c r="M61" s="501"/>
      <c r="N61" s="501"/>
    </row>
    <row r="62" spans="1:14" s="321" customFormat="1" x14ac:dyDescent="0.2">
      <c r="A62" s="1274" t="s">
        <v>947</v>
      </c>
      <c r="B62" s="503">
        <v>2550</v>
      </c>
      <c r="C62" s="1573">
        <v>50750</v>
      </c>
      <c r="D62" s="1573"/>
      <c r="E62" s="1573">
        <v>16404</v>
      </c>
      <c r="F62" s="1573"/>
      <c r="G62" s="1573">
        <v>0</v>
      </c>
      <c r="H62" s="1573"/>
      <c r="I62" s="1574">
        <v>7771</v>
      </c>
      <c r="J62" s="1574"/>
      <c r="K62" s="1678">
        <f t="shared" si="7"/>
        <v>74925</v>
      </c>
      <c r="L62" s="1573">
        <v>102000</v>
      </c>
      <c r="M62" s="501"/>
      <c r="N62" s="501"/>
    </row>
    <row r="63" spans="1:14" s="501" customFormat="1" x14ac:dyDescent="0.2">
      <c r="A63" s="1274" t="s">
        <v>100</v>
      </c>
      <c r="B63" s="503">
        <v>2560</v>
      </c>
      <c r="C63" s="1573">
        <v>367147</v>
      </c>
      <c r="D63" s="1573">
        <v>234</v>
      </c>
      <c r="E63" s="1573">
        <v>4273</v>
      </c>
      <c r="F63" s="1573">
        <v>311487</v>
      </c>
      <c r="G63" s="1573">
        <v>5920</v>
      </c>
      <c r="H63" s="1573">
        <v>13</v>
      </c>
      <c r="I63" s="1574">
        <v>4087</v>
      </c>
      <c r="J63" s="1574"/>
      <c r="K63" s="1678">
        <f t="shared" si="7"/>
        <v>693161</v>
      </c>
      <c r="L63" s="1573">
        <v>763600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536457</v>
      </c>
      <c r="D65" s="1674">
        <f t="shared" ref="D65:L65" si="8">SUM(D59:D64)</f>
        <v>22195</v>
      </c>
      <c r="E65" s="1674">
        <f t="shared" si="8"/>
        <v>46397</v>
      </c>
      <c r="F65" s="1674">
        <f t="shared" si="8"/>
        <v>318644</v>
      </c>
      <c r="G65" s="1674">
        <f t="shared" si="8"/>
        <v>5920</v>
      </c>
      <c r="H65" s="1674">
        <f t="shared" si="8"/>
        <v>353</v>
      </c>
      <c r="I65" s="1674">
        <f t="shared" si="8"/>
        <v>12442</v>
      </c>
      <c r="J65" s="1674">
        <f t="shared" si="8"/>
        <v>0</v>
      </c>
      <c r="K65" s="1674">
        <f t="shared" si="8"/>
        <v>942408</v>
      </c>
      <c r="L65" s="1674">
        <f t="shared" si="8"/>
        <v>1043020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1936477</v>
      </c>
      <c r="D74" s="1681">
        <f t="shared" ref="D74:K74" si="10">SUM(D42,D47,D53,D57,D65,D72,D73)</f>
        <v>297707</v>
      </c>
      <c r="E74" s="1681">
        <f t="shared" si="10"/>
        <v>303042</v>
      </c>
      <c r="F74" s="1681">
        <f t="shared" si="10"/>
        <v>383199</v>
      </c>
      <c r="G74" s="1681">
        <f t="shared" si="10"/>
        <v>5920</v>
      </c>
      <c r="H74" s="1681">
        <f t="shared" si="10"/>
        <v>32668</v>
      </c>
      <c r="I74" s="1681">
        <f t="shared" si="10"/>
        <v>14162</v>
      </c>
      <c r="J74" s="1681">
        <f t="shared" si="10"/>
        <v>0</v>
      </c>
      <c r="K74" s="1681">
        <f t="shared" si="10"/>
        <v>2973175</v>
      </c>
      <c r="L74" s="1681">
        <f>SUM(L42,L47,L53,L57,L65,L72,L73)</f>
        <v>3181844</v>
      </c>
    </row>
    <row r="75" spans="1:14" s="254" customFormat="1" ht="15.75" customHeight="1" thickTop="1" thickBot="1" x14ac:dyDescent="0.25">
      <c r="A75" s="1348" t="s">
        <v>47</v>
      </c>
      <c r="B75" s="1349" t="s">
        <v>571</v>
      </c>
      <c r="C75" s="1649">
        <f>190207+51340+331700</f>
        <v>573247</v>
      </c>
      <c r="D75" s="1649">
        <f>46948+5200+16009</f>
        <v>68157</v>
      </c>
      <c r="E75" s="1649">
        <f>8449+350+14354</f>
        <v>23153</v>
      </c>
      <c r="F75" s="1649">
        <f>11241+1417+21767</f>
        <v>34425</v>
      </c>
      <c r="G75" s="1649">
        <v>0</v>
      </c>
      <c r="H75" s="1649">
        <v>40</v>
      </c>
      <c r="I75" s="1627">
        <f>526+20600</f>
        <v>21126</v>
      </c>
      <c r="J75" s="1627"/>
      <c r="K75" s="1674">
        <f>SUM(C75:J75)</f>
        <v>720148</v>
      </c>
      <c r="L75" s="1651">
        <v>805382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700</v>
      </c>
      <c r="F78" s="1673"/>
      <c r="G78" s="1673"/>
      <c r="H78" s="1682">
        <v>151424</v>
      </c>
      <c r="I78" s="1582"/>
      <c r="J78" s="1582"/>
      <c r="K78" s="1672">
        <f t="shared" ref="K78:K83" si="11">SUM(C78:J78)</f>
        <v>152124</v>
      </c>
      <c r="L78" s="1586">
        <v>113000</v>
      </c>
    </row>
    <row r="79" spans="1:14" x14ac:dyDescent="0.2">
      <c r="A79" s="1274" t="s">
        <v>301</v>
      </c>
      <c r="B79" s="503">
        <v>4120</v>
      </c>
      <c r="C79" s="1673"/>
      <c r="D79" s="1673"/>
      <c r="E79" s="1573"/>
      <c r="F79" s="1673"/>
      <c r="G79" s="1673"/>
      <c r="H79" s="1573">
        <v>670949</v>
      </c>
      <c r="I79" s="1582"/>
      <c r="J79" s="1582"/>
      <c r="K79" s="1672">
        <f t="shared" si="11"/>
        <v>670949</v>
      </c>
      <c r="L79" s="1573">
        <v>722610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700</v>
      </c>
      <c r="F84" s="1673"/>
      <c r="G84" s="1673"/>
      <c r="H84" s="1674">
        <f>SUM(H78:H83)</f>
        <v>822373</v>
      </c>
      <c r="I84" s="1582"/>
      <c r="J84" s="1582"/>
      <c r="K84" s="1674">
        <f>SUM(K78:K83)</f>
        <v>823073</v>
      </c>
      <c r="L84" s="1674">
        <f>SUM(L78:L83)</f>
        <v>835610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700</v>
      </c>
      <c r="F102" s="1673"/>
      <c r="G102" s="1673"/>
      <c r="H102" s="1681">
        <f>SUM(H84,H92,H100,H101)</f>
        <v>822373</v>
      </c>
      <c r="I102" s="1582"/>
      <c r="J102" s="1582"/>
      <c r="K102" s="1681">
        <f>SUM(K84,K92,K100,K101)</f>
        <v>823073</v>
      </c>
      <c r="L102" s="1681">
        <f>SUM(L84,L92,L100,L101)</f>
        <v>835610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9903849</v>
      </c>
      <c r="D114" s="1674">
        <f t="shared" ref="D114:K114" si="13">SUM(D33,D74,D75,D102,D112,D113)</f>
        <v>1994353</v>
      </c>
      <c r="E114" s="1674">
        <f t="shared" si="13"/>
        <v>415695</v>
      </c>
      <c r="F114" s="1674">
        <f t="shared" si="13"/>
        <v>855228</v>
      </c>
      <c r="G114" s="1674">
        <f t="shared" si="13"/>
        <v>5920</v>
      </c>
      <c r="H114" s="1674">
        <f>SUM(H33,H74,H75,H102,H112,H113)</f>
        <v>1103299</v>
      </c>
      <c r="I114" s="1674">
        <f t="shared" si="13"/>
        <v>87789</v>
      </c>
      <c r="J114" s="1674">
        <f t="shared" si="13"/>
        <v>0</v>
      </c>
      <c r="K114" s="1674">
        <f t="shared" si="13"/>
        <v>14366133</v>
      </c>
      <c r="L114" s="1674">
        <f>SUM(L33,L74,L75,L102,L112,L113)</f>
        <v>15011267</v>
      </c>
    </row>
    <row r="115" spans="1:14" ht="13.5" thickTop="1" x14ac:dyDescent="0.2">
      <c r="A115" s="2262" t="s">
        <v>989</v>
      </c>
      <c r="B115" s="2263"/>
      <c r="C115" s="1675"/>
      <c r="D115" s="1675"/>
      <c r="E115" s="1675"/>
      <c r="F115" s="1675"/>
      <c r="G115" s="1675"/>
      <c r="H115" s="1675"/>
      <c r="I115" s="1675"/>
      <c r="J115" s="1675"/>
      <c r="K115" s="1689">
        <f>'Revenues 9-14'!C268-'Expenditures 15-22'!K114</f>
        <v>-450418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673024</v>
      </c>
      <c r="D124" s="1573">
        <v>113545</v>
      </c>
      <c r="E124" s="1573">
        <v>68723</v>
      </c>
      <c r="F124" s="1573">
        <v>352383</v>
      </c>
      <c r="G124" s="1573"/>
      <c r="H124" s="1573"/>
      <c r="I124" s="1574"/>
      <c r="J124" s="1574"/>
      <c r="K124" s="1674">
        <f>SUM(C124:J124)</f>
        <v>1207675</v>
      </c>
      <c r="L124" s="1573">
        <v>1305740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673024</v>
      </c>
      <c r="D127" s="1674">
        <f t="shared" ref="D127:L127" si="14">SUM(D122:D126)</f>
        <v>113545</v>
      </c>
      <c r="E127" s="1674">
        <f t="shared" si="14"/>
        <v>68723</v>
      </c>
      <c r="F127" s="1674">
        <f t="shared" si="14"/>
        <v>352383</v>
      </c>
      <c r="G127" s="1674">
        <f t="shared" si="14"/>
        <v>0</v>
      </c>
      <c r="H127" s="1674">
        <f t="shared" si="14"/>
        <v>0</v>
      </c>
      <c r="I127" s="1674">
        <f t="shared" si="14"/>
        <v>0</v>
      </c>
      <c r="J127" s="1674">
        <f t="shared" si="14"/>
        <v>0</v>
      </c>
      <c r="K127" s="1674">
        <f t="shared" si="14"/>
        <v>1207675</v>
      </c>
      <c r="L127" s="1674">
        <f t="shared" si="14"/>
        <v>1305740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673024</v>
      </c>
      <c r="D129" s="1681">
        <f t="shared" ref="D129:L129" si="15">SUM(D120,D127,D128)</f>
        <v>113545</v>
      </c>
      <c r="E129" s="1681">
        <f t="shared" si="15"/>
        <v>68723</v>
      </c>
      <c r="F129" s="1681">
        <f t="shared" si="15"/>
        <v>352383</v>
      </c>
      <c r="G129" s="1681">
        <f t="shared" si="15"/>
        <v>0</v>
      </c>
      <c r="H129" s="1681">
        <f t="shared" si="15"/>
        <v>0</v>
      </c>
      <c r="I129" s="1681">
        <f t="shared" si="15"/>
        <v>0</v>
      </c>
      <c r="J129" s="1681">
        <f t="shared" si="15"/>
        <v>0</v>
      </c>
      <c r="K129" s="1681">
        <f t="shared" si="15"/>
        <v>1207675</v>
      </c>
      <c r="L129" s="1681">
        <f t="shared" si="15"/>
        <v>1305740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673024</v>
      </c>
      <c r="D151" s="1674">
        <f t="shared" ref="D151:K151" si="16">SUM(D129,D130,D139,D149,D150)</f>
        <v>113545</v>
      </c>
      <c r="E151" s="1674">
        <f t="shared" si="16"/>
        <v>68723</v>
      </c>
      <c r="F151" s="1674">
        <f t="shared" si="16"/>
        <v>352383</v>
      </c>
      <c r="G151" s="1674">
        <f t="shared" si="16"/>
        <v>0</v>
      </c>
      <c r="H151" s="1674">
        <f t="shared" si="16"/>
        <v>0</v>
      </c>
      <c r="I151" s="1674">
        <f t="shared" si="16"/>
        <v>0</v>
      </c>
      <c r="J151" s="1674">
        <f t="shared" si="16"/>
        <v>0</v>
      </c>
      <c r="K151" s="1674">
        <f t="shared" si="16"/>
        <v>1207675</v>
      </c>
      <c r="L151" s="1674">
        <f>SUM(L129,L130,L139,L149,L150)</f>
        <v>1305740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-4903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160099</v>
      </c>
      <c r="I169" s="1673"/>
      <c r="J169" s="1673"/>
      <c r="K169" s="1672">
        <f>SUM(C169:H169)</f>
        <v>160099</v>
      </c>
      <c r="L169" s="1695">
        <v>235000</v>
      </c>
    </row>
    <row r="170" spans="1:14" ht="33.75" customHeight="1" x14ac:dyDescent="0.2">
      <c r="A170" s="543" t="s">
        <v>1651</v>
      </c>
      <c r="B170" s="545" t="s">
        <v>31</v>
      </c>
      <c r="C170" s="1673"/>
      <c r="D170" s="1673"/>
      <c r="E170" s="1673"/>
      <c r="F170" s="1673"/>
      <c r="G170" s="1673"/>
      <c r="H170" s="1646">
        <v>1325000</v>
      </c>
      <c r="I170" s="1673"/>
      <c r="J170" s="1673"/>
      <c r="K170" s="1672">
        <f>SUM(C170:J170)</f>
        <v>1325000</v>
      </c>
      <c r="L170" s="1646">
        <v>1308750</v>
      </c>
    </row>
    <row r="171" spans="1:14" ht="15.75" customHeight="1" x14ac:dyDescent="0.2">
      <c r="A171" s="507" t="s">
        <v>761</v>
      </c>
      <c r="B171" s="546" t="s">
        <v>84</v>
      </c>
      <c r="C171" s="1673"/>
      <c r="D171" s="1673"/>
      <c r="E171" s="1573"/>
      <c r="F171" s="1673"/>
      <c r="G171" s="1673"/>
      <c r="H171" s="1646">
        <f>51573+40155</f>
        <v>91728</v>
      </c>
      <c r="I171" s="1582"/>
      <c r="J171" s="1673"/>
      <c r="K171" s="1672">
        <f>SUM(C171:J171)</f>
        <v>91728</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1576827</v>
      </c>
      <c r="I172" s="1684"/>
      <c r="J172" s="1673"/>
      <c r="K172" s="1681">
        <f>SUM(K168,K169,K170,K171)</f>
        <v>1576827</v>
      </c>
      <c r="L172" s="1681">
        <f>SUM(L168,L169,L170,L171)</f>
        <v>1543750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1576827</v>
      </c>
      <c r="I174" s="1684"/>
      <c r="J174" s="1673"/>
      <c r="K174" s="1681">
        <f>SUM(K160,K172,K173)</f>
        <v>1576827</v>
      </c>
      <c r="L174" s="1681">
        <f>SUM(L160,L172,L173)</f>
        <v>1543750</v>
      </c>
    </row>
    <row r="175" spans="1:14" ht="13.5" thickTop="1" x14ac:dyDescent="0.2">
      <c r="A175" s="2262" t="s">
        <v>989</v>
      </c>
      <c r="B175" s="2263"/>
      <c r="C175" s="1673"/>
      <c r="D175" s="1673"/>
      <c r="E175" s="1673"/>
      <c r="F175" s="1673"/>
      <c r="G175" s="1673"/>
      <c r="H175" s="1675"/>
      <c r="I175" s="1673"/>
      <c r="J175" s="1673"/>
      <c r="K175" s="1689">
        <f>'Revenues 9-14'!E268-'Expenditures 15-22'!K174</f>
        <v>-86376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550146</v>
      </c>
      <c r="D182" s="1573">
        <v>11610</v>
      </c>
      <c r="E182" s="1573">
        <v>27622</v>
      </c>
      <c r="F182" s="1573">
        <v>148468</v>
      </c>
      <c r="G182" s="1573">
        <v>26500</v>
      </c>
      <c r="H182" s="1573">
        <v>2903</v>
      </c>
      <c r="I182" s="1574">
        <v>2531</v>
      </c>
      <c r="J182" s="1574"/>
      <c r="K182" s="1672">
        <f>SUM(C182:J182)</f>
        <v>769780</v>
      </c>
      <c r="L182" s="1573">
        <v>904226</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550146</v>
      </c>
      <c r="D184" s="1681">
        <f t="shared" ref="D184:J184" si="17">SUM(D180,D182,D183)</f>
        <v>11610</v>
      </c>
      <c r="E184" s="1681">
        <f t="shared" si="17"/>
        <v>27622</v>
      </c>
      <c r="F184" s="1681">
        <f t="shared" si="17"/>
        <v>148468</v>
      </c>
      <c r="G184" s="1681">
        <f t="shared" si="17"/>
        <v>26500</v>
      </c>
      <c r="H184" s="1681">
        <f t="shared" si="17"/>
        <v>2903</v>
      </c>
      <c r="I184" s="1681">
        <f t="shared" si="17"/>
        <v>2531</v>
      </c>
      <c r="J184" s="1681">
        <f t="shared" si="17"/>
        <v>0</v>
      </c>
      <c r="K184" s="1681">
        <f>SUM(K180,K182,K183)</f>
        <v>769780</v>
      </c>
      <c r="L184" s="1681">
        <f>SUM(L180, L182:L183)</f>
        <v>904226</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8080</v>
      </c>
      <c r="I205" s="1673"/>
      <c r="J205" s="1673"/>
      <c r="K205" s="1696">
        <f>SUM(H205)</f>
        <v>8080</v>
      </c>
      <c r="L205" s="1630">
        <v>0</v>
      </c>
    </row>
    <row r="206" spans="1:14" ht="30" customHeight="1" x14ac:dyDescent="0.2">
      <c r="A206" s="555" t="s">
        <v>1652</v>
      </c>
      <c r="B206" s="546" t="s">
        <v>31</v>
      </c>
      <c r="C206" s="1673"/>
      <c r="D206" s="1673"/>
      <c r="E206" s="1673"/>
      <c r="F206" s="1673"/>
      <c r="G206" s="1673"/>
      <c r="H206" s="1573">
        <v>139686</v>
      </c>
      <c r="I206" s="1673"/>
      <c r="J206" s="1673"/>
      <c r="K206" s="1672">
        <f>SUM(H206)</f>
        <v>139686</v>
      </c>
      <c r="L206" s="1573">
        <v>148000</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147766</v>
      </c>
      <c r="I208" s="1673"/>
      <c r="J208" s="1673"/>
      <c r="K208" s="1681">
        <f>SUM(K204,K205,K206,K207)</f>
        <v>147766</v>
      </c>
      <c r="L208" s="1681">
        <f>SUM(L204,L205,L206,L207)</f>
        <v>148000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550146</v>
      </c>
      <c r="D210" s="1674">
        <f>SUM(D184,D185)</f>
        <v>11610</v>
      </c>
      <c r="E210" s="1674">
        <f>SUM(E184,E185,E196)</f>
        <v>27622</v>
      </c>
      <c r="F210" s="1674">
        <f>SUM(F184,F185)</f>
        <v>148468</v>
      </c>
      <c r="G210" s="1674">
        <f>SUM(G184,G185)</f>
        <v>26500</v>
      </c>
      <c r="H210" s="1674">
        <f>SUM(H184,H185,H196,H208,H209)</f>
        <v>150669</v>
      </c>
      <c r="I210" s="1674">
        <f>SUM(I184,I185)</f>
        <v>2531</v>
      </c>
      <c r="J210" s="1674">
        <f>SUM(J184,J185)</f>
        <v>0</v>
      </c>
      <c r="K210" s="1672">
        <f>SUM(K184,K185,K196,K208,K209)</f>
        <v>917546</v>
      </c>
      <c r="L210" s="1674">
        <f>SUM(L184,L185,L196,L208,L209)</f>
        <v>1052226</v>
      </c>
    </row>
    <row r="211" spans="1:14" ht="13.5" thickTop="1" x14ac:dyDescent="0.2">
      <c r="A211" s="2262" t="s">
        <v>989</v>
      </c>
      <c r="B211" s="2263"/>
      <c r="C211" s="1675"/>
      <c r="D211" s="1675"/>
      <c r="E211" s="1675"/>
      <c r="F211" s="1675"/>
      <c r="G211" s="1675"/>
      <c r="H211" s="1675"/>
      <c r="I211" s="1673"/>
      <c r="J211" s="1673"/>
      <c r="K211" s="1689">
        <f>'Revenues 9-14'!F268-'Expenditures 15-22'!K210</f>
        <v>-60198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124812</v>
      </c>
      <c r="E215" s="1673"/>
      <c r="F215" s="1673"/>
      <c r="G215" s="1673"/>
      <c r="H215" s="1673"/>
      <c r="I215" s="1673"/>
      <c r="J215" s="1673"/>
      <c r="K215" s="1672">
        <f>D215</f>
        <v>124812</v>
      </c>
      <c r="L215" s="1573">
        <v>105000</v>
      </c>
    </row>
    <row r="216" spans="1:14" x14ac:dyDescent="0.2">
      <c r="A216" s="1274" t="s">
        <v>162</v>
      </c>
      <c r="B216" s="503" t="s">
        <v>961</v>
      </c>
      <c r="C216" s="1673"/>
      <c r="D216" s="1574">
        <v>28548</v>
      </c>
      <c r="E216" s="1673"/>
      <c r="F216" s="1673"/>
      <c r="G216" s="1673"/>
      <c r="H216" s="1673"/>
      <c r="I216" s="1673"/>
      <c r="J216" s="1673"/>
      <c r="K216" s="1672">
        <f t="shared" ref="K216:K228" si="19">D216</f>
        <v>28548</v>
      </c>
      <c r="L216" s="1573">
        <v>59000</v>
      </c>
    </row>
    <row r="217" spans="1:14" x14ac:dyDescent="0.2">
      <c r="A217" s="1274" t="s">
        <v>163</v>
      </c>
      <c r="B217" s="503">
        <v>1200</v>
      </c>
      <c r="C217" s="1673"/>
      <c r="D217" s="1573">
        <v>92608</v>
      </c>
      <c r="E217" s="1673"/>
      <c r="F217" s="1673"/>
      <c r="G217" s="1673"/>
      <c r="H217" s="1673"/>
      <c r="I217" s="1673"/>
      <c r="J217" s="1673"/>
      <c r="K217" s="1672">
        <f t="shared" si="19"/>
        <v>92608</v>
      </c>
      <c r="L217" s="1573">
        <v>60000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28296</v>
      </c>
      <c r="E219" s="1673"/>
      <c r="F219" s="1673"/>
      <c r="G219" s="1673"/>
      <c r="H219" s="1673"/>
      <c r="I219" s="1673"/>
      <c r="J219" s="1673"/>
      <c r="K219" s="1672">
        <f t="shared" si="19"/>
        <v>28296</v>
      </c>
      <c r="L219" s="1573">
        <v>24000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9808</v>
      </c>
      <c r="E222" s="1673"/>
      <c r="F222" s="1673"/>
      <c r="G222" s="1673"/>
      <c r="H222" s="1673"/>
      <c r="I222" s="1673"/>
      <c r="J222" s="1673"/>
      <c r="K222" s="1672">
        <f t="shared" si="19"/>
        <v>9808</v>
      </c>
      <c r="L222" s="1573">
        <v>10700</v>
      </c>
    </row>
    <row r="223" spans="1:14" x14ac:dyDescent="0.2">
      <c r="A223" s="1274" t="s">
        <v>957</v>
      </c>
      <c r="B223" s="503">
        <v>1500</v>
      </c>
      <c r="C223" s="1673"/>
      <c r="D223" s="1573">
        <v>6614</v>
      </c>
      <c r="E223" s="1673"/>
      <c r="F223" s="1673"/>
      <c r="G223" s="1673"/>
      <c r="H223" s="1673"/>
      <c r="I223" s="1673"/>
      <c r="J223" s="1673"/>
      <c r="K223" s="1672">
        <f t="shared" si="19"/>
        <v>6614</v>
      </c>
      <c r="L223" s="1573">
        <v>7500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753</v>
      </c>
      <c r="E226" s="1673"/>
      <c r="F226" s="1673"/>
      <c r="G226" s="1673"/>
      <c r="H226" s="1673"/>
      <c r="I226" s="1673"/>
      <c r="J226" s="1673"/>
      <c r="K226" s="1672">
        <f t="shared" si="19"/>
        <v>753</v>
      </c>
      <c r="L226" s="1573">
        <v>800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291439</v>
      </c>
      <c r="E229" s="1673"/>
      <c r="F229" s="1673"/>
      <c r="G229" s="1673"/>
      <c r="H229" s="1673"/>
      <c r="I229" s="1673"/>
      <c r="J229" s="1673"/>
      <c r="K229" s="1674">
        <f>SUM(K215:K228)</f>
        <v>291439</v>
      </c>
      <c r="L229" s="1674">
        <f>SUM(L215:L228)</f>
        <v>267000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20115</v>
      </c>
      <c r="E233" s="1673"/>
      <c r="F233" s="1673"/>
      <c r="G233" s="1673"/>
      <c r="H233" s="1673"/>
      <c r="I233" s="1673"/>
      <c r="J233" s="1673"/>
      <c r="K233" s="1672">
        <f t="shared" si="20"/>
        <v>20115</v>
      </c>
      <c r="L233" s="1573">
        <v>21000</v>
      </c>
    </row>
    <row r="234" spans="1:12" x14ac:dyDescent="0.2">
      <c r="A234" s="1274" t="s">
        <v>196</v>
      </c>
      <c r="B234" s="503">
        <v>2130</v>
      </c>
      <c r="C234" s="1673"/>
      <c r="D234" s="1573">
        <v>8558</v>
      </c>
      <c r="E234" s="1673"/>
      <c r="F234" s="1673"/>
      <c r="G234" s="1673"/>
      <c r="H234" s="1673"/>
      <c r="I234" s="1673"/>
      <c r="J234" s="1673"/>
      <c r="K234" s="1672">
        <f t="shared" si="20"/>
        <v>8558</v>
      </c>
      <c r="L234" s="1573">
        <v>11000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19079</v>
      </c>
      <c r="E237" s="1673"/>
      <c r="F237" s="1673"/>
      <c r="G237" s="1673"/>
      <c r="H237" s="1673"/>
      <c r="I237" s="1673"/>
      <c r="J237" s="1673"/>
      <c r="K237" s="1672">
        <f t="shared" si="20"/>
        <v>19079</v>
      </c>
      <c r="L237" s="1573">
        <v>22500</v>
      </c>
    </row>
    <row r="238" spans="1:12" ht="12.75" customHeight="1" thickBot="1" x14ac:dyDescent="0.25">
      <c r="A238" s="1380" t="s">
        <v>556</v>
      </c>
      <c r="B238" s="1383" t="s">
        <v>711</v>
      </c>
      <c r="C238" s="1673"/>
      <c r="D238" s="1674">
        <f>SUM(D232:D237)</f>
        <v>47752</v>
      </c>
      <c r="E238" s="1673"/>
      <c r="F238" s="1673"/>
      <c r="G238" s="1673"/>
      <c r="H238" s="1673"/>
      <c r="I238" s="1673"/>
      <c r="J238" s="1673"/>
      <c r="K238" s="1674">
        <f>SUM(K232:K237)</f>
        <v>47752</v>
      </c>
      <c r="L238" s="1674">
        <f>SUM(L232:L237)</f>
        <v>54500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2668</v>
      </c>
      <c r="E240" s="1673"/>
      <c r="F240" s="1673"/>
      <c r="G240" s="1673"/>
      <c r="H240" s="1673"/>
      <c r="I240" s="1673"/>
      <c r="J240" s="1673"/>
      <c r="K240" s="1678">
        <f>D240</f>
        <v>2668</v>
      </c>
      <c r="L240" s="1586">
        <v>3000</v>
      </c>
    </row>
    <row r="241" spans="1:12" x14ac:dyDescent="0.2">
      <c r="A241" s="1274" t="s">
        <v>810</v>
      </c>
      <c r="B241" s="503">
        <v>2220</v>
      </c>
      <c r="C241" s="1673"/>
      <c r="D241" s="1573">
        <v>1017</v>
      </c>
      <c r="E241" s="1673"/>
      <c r="F241" s="1673"/>
      <c r="G241" s="1673"/>
      <c r="H241" s="1673"/>
      <c r="I241" s="1673"/>
      <c r="J241" s="1673"/>
      <c r="K241" s="1678">
        <f>D241</f>
        <v>1017</v>
      </c>
      <c r="L241" s="1573">
        <v>1500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3685</v>
      </c>
      <c r="E243" s="1673"/>
      <c r="F243" s="1673"/>
      <c r="G243" s="1673"/>
      <c r="H243" s="1673"/>
      <c r="I243" s="1673"/>
      <c r="J243" s="1673"/>
      <c r="K243" s="1674">
        <f>SUM(K240:K242)</f>
        <v>3685</v>
      </c>
      <c r="L243" s="1674">
        <f>SUM(L240:L242)</f>
        <v>4500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3551</v>
      </c>
      <c r="E245" s="1673"/>
      <c r="F245" s="1673"/>
      <c r="G245" s="1673"/>
      <c r="H245" s="1673"/>
      <c r="I245" s="1673"/>
      <c r="J245" s="1673"/>
      <c r="K245" s="1678">
        <f>D245</f>
        <v>3551</v>
      </c>
      <c r="L245" s="1586">
        <v>6500</v>
      </c>
    </row>
    <row r="246" spans="1:12" x14ac:dyDescent="0.2">
      <c r="A246" s="1274" t="s">
        <v>813</v>
      </c>
      <c r="B246" s="503">
        <v>2320</v>
      </c>
      <c r="C246" s="1673"/>
      <c r="D246" s="1573">
        <v>5276</v>
      </c>
      <c r="E246" s="1673"/>
      <c r="F246" s="1673"/>
      <c r="G246" s="1673"/>
      <c r="H246" s="1673"/>
      <c r="I246" s="1673"/>
      <c r="J246" s="1673"/>
      <c r="K246" s="1678">
        <f t="shared" ref="K246:K256" si="21">D246</f>
        <v>5276</v>
      </c>
      <c r="L246" s="1573">
        <v>8000</v>
      </c>
    </row>
    <row r="247" spans="1:12" x14ac:dyDescent="0.2">
      <c r="A247" s="1274" t="s">
        <v>814</v>
      </c>
      <c r="B247" s="503">
        <v>2330</v>
      </c>
      <c r="C247" s="1673"/>
      <c r="D247" s="1573">
        <v>3707</v>
      </c>
      <c r="E247" s="1673"/>
      <c r="F247" s="1673"/>
      <c r="G247" s="1673"/>
      <c r="H247" s="1673"/>
      <c r="I247" s="1673"/>
      <c r="J247" s="1673"/>
      <c r="K247" s="1678">
        <f t="shared" si="21"/>
        <v>3707</v>
      </c>
      <c r="L247" s="1573">
        <v>4600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60173</v>
      </c>
      <c r="E252" s="1673"/>
      <c r="F252" s="1673"/>
      <c r="G252" s="1673"/>
      <c r="H252" s="1673"/>
      <c r="I252" s="1673"/>
      <c r="J252" s="1673"/>
      <c r="K252" s="1678">
        <f t="shared" si="21"/>
        <v>60173</v>
      </c>
      <c r="L252" s="1573">
        <v>66000</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72707</v>
      </c>
      <c r="E257" s="1673"/>
      <c r="F257" s="1673"/>
      <c r="G257" s="1673"/>
      <c r="H257" s="1673"/>
      <c r="I257" s="1673"/>
      <c r="J257" s="1673"/>
      <c r="K257" s="1674">
        <f>SUM(K245:K256)</f>
        <v>72707</v>
      </c>
      <c r="L257" s="1674">
        <f>SUM(L245:L256)</f>
        <v>85100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46082</v>
      </c>
      <c r="E259" s="1673"/>
      <c r="F259" s="1673"/>
      <c r="G259" s="1673"/>
      <c r="H259" s="1673"/>
      <c r="I259" s="1673"/>
      <c r="J259" s="1673"/>
      <c r="K259" s="1678">
        <f>D259</f>
        <v>46082</v>
      </c>
      <c r="L259" s="1586">
        <v>46500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46082</v>
      </c>
      <c r="E261" s="1673"/>
      <c r="F261" s="1673"/>
      <c r="G261" s="1673"/>
      <c r="H261" s="1673"/>
      <c r="I261" s="1673"/>
      <c r="J261" s="1673"/>
      <c r="K261" s="1674">
        <f>SUM(K259:K260)</f>
        <v>46082</v>
      </c>
      <c r="L261" s="1674">
        <f>SUM(L259:L260)</f>
        <v>46500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24848</v>
      </c>
      <c r="E264" s="1673"/>
      <c r="F264" s="1673"/>
      <c r="G264" s="1673"/>
      <c r="H264" s="1673"/>
      <c r="I264" s="1673"/>
      <c r="J264" s="1673"/>
      <c r="K264" s="1678">
        <f t="shared" ref="K264:K269" si="22">D264</f>
        <v>24848</v>
      </c>
      <c r="L264" s="1573">
        <v>29000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127884</v>
      </c>
      <c r="E266" s="1673"/>
      <c r="F266" s="1673"/>
      <c r="G266" s="1673"/>
      <c r="H266" s="1673"/>
      <c r="I266" s="1673"/>
      <c r="J266" s="1673"/>
      <c r="K266" s="1678">
        <f t="shared" si="22"/>
        <v>127884</v>
      </c>
      <c r="L266" s="1573">
        <v>131000</v>
      </c>
    </row>
    <row r="267" spans="1:14" x14ac:dyDescent="0.2">
      <c r="A267" s="1274" t="s">
        <v>947</v>
      </c>
      <c r="B267" s="503">
        <v>2550</v>
      </c>
      <c r="C267" s="1673"/>
      <c r="D267" s="1573">
        <v>111938</v>
      </c>
      <c r="E267" s="1673"/>
      <c r="F267" s="1673"/>
      <c r="G267" s="1673"/>
      <c r="H267" s="1673"/>
      <c r="I267" s="1673"/>
      <c r="J267" s="1673"/>
      <c r="K267" s="1678">
        <f t="shared" si="22"/>
        <v>111938</v>
      </c>
      <c r="L267" s="1573">
        <v>130500</v>
      </c>
    </row>
    <row r="268" spans="1:14" x14ac:dyDescent="0.2">
      <c r="A268" s="1274" t="s">
        <v>100</v>
      </c>
      <c r="B268" s="503">
        <v>2560</v>
      </c>
      <c r="C268" s="1673"/>
      <c r="D268" s="1573">
        <v>69187</v>
      </c>
      <c r="E268" s="1673"/>
      <c r="F268" s="1673"/>
      <c r="G268" s="1673"/>
      <c r="H268" s="1673"/>
      <c r="I268" s="1673"/>
      <c r="J268" s="1673"/>
      <c r="K268" s="1678">
        <f t="shared" si="22"/>
        <v>69187</v>
      </c>
      <c r="L268" s="1573">
        <v>72000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333857</v>
      </c>
      <c r="E270" s="1673"/>
      <c r="F270" s="1673"/>
      <c r="G270" s="1673"/>
      <c r="H270" s="1673"/>
      <c r="I270" s="1673"/>
      <c r="J270" s="1673"/>
      <c r="K270" s="1674">
        <f>SUM(K263:K269)</f>
        <v>333857</v>
      </c>
      <c r="L270" s="1674">
        <f>SUM(L263:L269)</f>
        <v>362500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504083</v>
      </c>
      <c r="E279" s="1673"/>
      <c r="F279" s="1673"/>
      <c r="G279" s="1673"/>
      <c r="H279" s="1673"/>
      <c r="I279" s="1673"/>
      <c r="J279" s="1673"/>
      <c r="K279" s="1681">
        <f>SUM(K238,K243,K257,K261,K270,K277,K278)</f>
        <v>504083</v>
      </c>
      <c r="L279" s="1681">
        <f>SUM(L238,L243,L257,L261,L270,L277,L278)</f>
        <v>553100</v>
      </c>
    </row>
    <row r="280" spans="1:12" ht="15.75" customHeight="1" thickTop="1" thickBot="1" x14ac:dyDescent="0.25">
      <c r="A280" s="1362" t="s">
        <v>870</v>
      </c>
      <c r="B280" s="1351">
        <v>3000</v>
      </c>
      <c r="C280" s="1673"/>
      <c r="D280" s="1651">
        <v>100117</v>
      </c>
      <c r="E280" s="1673"/>
      <c r="F280" s="1673"/>
      <c r="G280" s="1673"/>
      <c r="H280" s="1673"/>
      <c r="I280" s="1673"/>
      <c r="J280" s="1673"/>
      <c r="K280" s="1687">
        <f>D280</f>
        <v>100117</v>
      </c>
      <c r="L280" s="1651">
        <v>114000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895639</v>
      </c>
      <c r="E295" s="1673"/>
      <c r="F295" s="1673"/>
      <c r="G295" s="1673"/>
      <c r="H295" s="1674">
        <f>H293</f>
        <v>0</v>
      </c>
      <c r="I295" s="1673"/>
      <c r="J295" s="1673"/>
      <c r="K295" s="1674">
        <f>SUM(K229,K279,K280,K285,K293,K294)</f>
        <v>895639</v>
      </c>
      <c r="L295" s="1674">
        <f>SUM(L229,L279,L280,L285,L293,L294)</f>
        <v>934100</v>
      </c>
    </row>
    <row r="296" spans="1:14" ht="13.5" thickTop="1" x14ac:dyDescent="0.2">
      <c r="A296" s="2262" t="s">
        <v>989</v>
      </c>
      <c r="B296" s="2263"/>
      <c r="C296" s="1673"/>
      <c r="D296" s="1675"/>
      <c r="E296" s="1673"/>
      <c r="F296" s="1673"/>
      <c r="G296" s="1673"/>
      <c r="H296" s="1707"/>
      <c r="I296" s="1673"/>
      <c r="J296" s="1673"/>
      <c r="K296" s="1689">
        <f>'Revenues 9-14'!G268-'Expenditures 15-22'!K295</f>
        <v>-27046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86100</v>
      </c>
      <c r="F301" s="1573">
        <v>70221</v>
      </c>
      <c r="G301" s="1573">
        <v>358197</v>
      </c>
      <c r="H301" s="1573"/>
      <c r="I301" s="1574">
        <v>306388</v>
      </c>
      <c r="J301" s="1574"/>
      <c r="K301" s="1672">
        <f>SUM(C301:J301)</f>
        <v>820906</v>
      </c>
      <c r="L301" s="1574">
        <v>575000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86100</v>
      </c>
      <c r="F303" s="1681">
        <f t="shared" si="23"/>
        <v>70221</v>
      </c>
      <c r="G303" s="1681">
        <f t="shared" si="23"/>
        <v>358197</v>
      </c>
      <c r="H303" s="1681">
        <f t="shared" si="23"/>
        <v>0</v>
      </c>
      <c r="I303" s="1681">
        <f t="shared" si="23"/>
        <v>306388</v>
      </c>
      <c r="J303" s="1681">
        <f t="shared" si="23"/>
        <v>0</v>
      </c>
      <c r="K303" s="1681">
        <f t="shared" si="23"/>
        <v>820906</v>
      </c>
      <c r="L303" s="1681">
        <f t="shared" si="23"/>
        <v>575000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86100</v>
      </c>
      <c r="F312" s="1674">
        <f>SUM(F303)</f>
        <v>70221</v>
      </c>
      <c r="G312" s="1674">
        <f>SUM(G303)</f>
        <v>358197</v>
      </c>
      <c r="H312" s="1674">
        <f>SUM(H303,H310)</f>
        <v>0</v>
      </c>
      <c r="I312" s="1674">
        <f>SUM(I303)</f>
        <v>306388</v>
      </c>
      <c r="J312" s="1674">
        <f>SUM(J303)</f>
        <v>0</v>
      </c>
      <c r="K312" s="1674">
        <f>SUM(K303,K310,K311)</f>
        <v>820906</v>
      </c>
      <c r="L312" s="1674">
        <f>SUM(L303,L310,L311)</f>
        <v>575000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256563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66905</v>
      </c>
      <c r="F320" s="1574"/>
      <c r="G320" s="1574"/>
      <c r="H320" s="1574"/>
      <c r="I320" s="1574"/>
      <c r="J320" s="1574"/>
      <c r="K320" s="1672">
        <f t="shared" ref="K320:K327" si="24">SUM(C320:J320)</f>
        <v>66905</v>
      </c>
      <c r="L320" s="1574">
        <v>5000</v>
      </c>
      <c r="M320" s="539"/>
      <c r="N320" s="539"/>
    </row>
    <row r="321" spans="1:14" s="548" customFormat="1" x14ac:dyDescent="0.2">
      <c r="A321" s="1289" t="s">
        <v>297</v>
      </c>
      <c r="B321" s="567" t="s">
        <v>281</v>
      </c>
      <c r="C321" s="1574"/>
      <c r="D321" s="1574"/>
      <c r="E321" s="1574">
        <v>499</v>
      </c>
      <c r="F321" s="1574"/>
      <c r="G321" s="1574"/>
      <c r="H321" s="1574"/>
      <c r="I321" s="1574"/>
      <c r="J321" s="1574"/>
      <c r="K321" s="1672">
        <f t="shared" si="24"/>
        <v>499</v>
      </c>
      <c r="L321" s="1574">
        <v>10000</v>
      </c>
      <c r="M321" s="539"/>
      <c r="N321" s="539"/>
    </row>
    <row r="322" spans="1:14" s="548" customFormat="1" x14ac:dyDescent="0.2">
      <c r="A322" s="1289" t="s">
        <v>236</v>
      </c>
      <c r="B322" s="567" t="s">
        <v>282</v>
      </c>
      <c r="C322" s="1574"/>
      <c r="D322" s="1574"/>
      <c r="E322" s="1574">
        <v>112949</v>
      </c>
      <c r="F322" s="1574"/>
      <c r="G322" s="1574"/>
      <c r="H322" s="1574"/>
      <c r="I322" s="1574"/>
      <c r="J322" s="1574"/>
      <c r="K322" s="1672">
        <f t="shared" si="24"/>
        <v>112949</v>
      </c>
      <c r="L322" s="1574">
        <v>200000</v>
      </c>
      <c r="M322" s="539"/>
      <c r="N322" s="539"/>
    </row>
    <row r="323" spans="1:14" s="548" customFormat="1" x14ac:dyDescent="0.2">
      <c r="A323" s="1289" t="s">
        <v>697</v>
      </c>
      <c r="B323" s="567" t="s">
        <v>283</v>
      </c>
      <c r="C323" s="1574">
        <v>429639</v>
      </c>
      <c r="D323" s="1574">
        <v>74158</v>
      </c>
      <c r="E323" s="1574"/>
      <c r="F323" s="1574">
        <v>9600</v>
      </c>
      <c r="G323" s="1574"/>
      <c r="H323" s="1574"/>
      <c r="I323" s="1574">
        <v>14702</v>
      </c>
      <c r="J323" s="1574"/>
      <c r="K323" s="1672">
        <f t="shared" si="24"/>
        <v>528099</v>
      </c>
      <c r="L323" s="1574">
        <v>558540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v>29146</v>
      </c>
      <c r="F325" s="1574"/>
      <c r="G325" s="1574"/>
      <c r="H325" s="1574"/>
      <c r="I325" s="1574"/>
      <c r="J325" s="1574"/>
      <c r="K325" s="1672">
        <f t="shared" si="24"/>
        <v>29146</v>
      </c>
      <c r="L325" s="1574">
        <v>40000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4144</v>
      </c>
      <c r="F327" s="1574"/>
      <c r="G327" s="1574"/>
      <c r="H327" s="1574"/>
      <c r="I327" s="1574"/>
      <c r="J327" s="1574"/>
      <c r="K327" s="1672">
        <f t="shared" si="24"/>
        <v>4144</v>
      </c>
      <c r="L327" s="1574">
        <v>10000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429639</v>
      </c>
      <c r="D330" s="1674">
        <f t="shared" ref="D330:J330" si="25">SUM(D319:D329)</f>
        <v>74158</v>
      </c>
      <c r="E330" s="1674">
        <f t="shared" si="25"/>
        <v>213643</v>
      </c>
      <c r="F330" s="1674">
        <f t="shared" si="25"/>
        <v>9600</v>
      </c>
      <c r="G330" s="1674">
        <f t="shared" si="25"/>
        <v>0</v>
      </c>
      <c r="H330" s="1674">
        <f t="shared" si="25"/>
        <v>0</v>
      </c>
      <c r="I330" s="1674">
        <f t="shared" si="25"/>
        <v>14702</v>
      </c>
      <c r="J330" s="1674">
        <f t="shared" si="25"/>
        <v>0</v>
      </c>
      <c r="K330" s="1674">
        <f>SUM(K319:K329)</f>
        <v>741742</v>
      </c>
      <c r="L330" s="1674">
        <f>SUM(L319:L329)</f>
        <v>823540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429639</v>
      </c>
      <c r="D342" s="1674">
        <f>SUM(D330)</f>
        <v>74158</v>
      </c>
      <c r="E342" s="1674">
        <f>SUM(E330)</f>
        <v>213643</v>
      </c>
      <c r="F342" s="1674">
        <f>SUM(F330)</f>
        <v>9600</v>
      </c>
      <c r="G342" s="1674">
        <f>SUM(G330)</f>
        <v>0</v>
      </c>
      <c r="H342" s="1674">
        <f>SUM(H330,H334,H340)</f>
        <v>0</v>
      </c>
      <c r="I342" s="1674">
        <f>SUM(I330)</f>
        <v>14702</v>
      </c>
      <c r="J342" s="1674">
        <f>SUM(J330)</f>
        <v>0</v>
      </c>
      <c r="K342" s="1674">
        <f>SUM(K330,K334,K340)</f>
        <v>741742</v>
      </c>
      <c r="L342" s="1681">
        <f>SUM(L330,L334,L340,L341)</f>
        <v>823540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40344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250000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250000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250000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250000</v>
      </c>
    </row>
    <row r="368" spans="1:14" ht="13.5" thickTop="1" x14ac:dyDescent="0.2">
      <c r="A368" s="2262" t="s">
        <v>989</v>
      </c>
      <c r="B368" s="2263"/>
      <c r="C368" s="1694"/>
      <c r="D368" s="1694"/>
      <c r="E368" s="1677"/>
      <c r="F368" s="1677"/>
      <c r="G368" s="1677"/>
      <c r="H368" s="1677"/>
      <c r="I368" s="1677"/>
      <c r="J368" s="1676"/>
      <c r="K368" s="1672">
        <f>'Revenues 9-14'!K268-'Expenditures 15-22'!K367</f>
        <v>80903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dcmitype/"/>
    <ds:schemaRef ds:uri="http://schemas.microsoft.com/sharepoint/v3"/>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elements/1.1/"/>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 (3)</vt:lpstr>
      <vt:lpstr> SEFA</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2020-11-13T13:23:07Z</cp:lastPrinted>
  <dcterms:created xsi:type="dcterms:W3CDTF">2003-10-29T19:06:34Z</dcterms:created>
  <dcterms:modified xsi:type="dcterms:W3CDTF">2020-11-13T21:01:47Z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