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F056D6A-0EF1-4FAC-B26D-A730C44A29DA}"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20-001" sheetId="175" r:id="rId31"/>
    <sheet name="2020-002 " sheetId="185" r:id="rId32"/>
    <sheet name="2020-00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32">#REF!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0">#REF!</definedName>
    <definedName name="SCHCTY" localSheetId="31">#REF!</definedName>
    <definedName name="SCHCTY" localSheetId="32">#REF!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0">#REF!</definedName>
    <definedName name="SCHNMBR" localSheetId="31">#REF!</definedName>
    <definedName name="SCHNMBR" localSheetId="32">#REF!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0">#REF!</definedName>
    <definedName name="SCHNME" localSheetId="31">#REF!</definedName>
    <definedName name="SCHNME" localSheetId="32">#REF!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0">#REF!</definedName>
    <definedName name="SUPT" localSheetId="31">#REF!</definedName>
    <definedName name="SUPT" localSheetId="32">#REF!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l="1"/>
  <c r="J7" i="184" l="1"/>
  <c r="L53" i="184" s="1"/>
  <c r="J6" i="184"/>
  <c r="L52" i="184" s="1"/>
  <c r="M68" i="184"/>
  <c r="L68" i="184"/>
  <c r="K68" i="184"/>
  <c r="G16" i="184" s="1"/>
  <c r="J68" i="184"/>
  <c r="I68" i="184"/>
  <c r="H68" i="184"/>
  <c r="G68" i="184"/>
  <c r="K19" i="184"/>
  <c r="J19" i="184"/>
  <c r="I19" i="184"/>
  <c r="L18" i="184"/>
  <c r="H18" i="184"/>
  <c r="L17" i="184"/>
  <c r="G17" i="184"/>
  <c r="L16" i="184"/>
  <c r="L15" i="184"/>
  <c r="G15" i="184"/>
  <c r="L14" i="184"/>
  <c r="G14" i="184"/>
  <c r="L13" i="184"/>
  <c r="G13" i="184"/>
  <c r="L12" i="184"/>
  <c r="G19" i="184"/>
  <c r="L19" i="184" l="1"/>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L22" i="37" l="1"/>
  <c r="H33" i="118"/>
  <c r="F70" i="34"/>
  <c r="D69" i="36"/>
  <c r="D68" i="36"/>
  <c r="H15" i="184"/>
  <c r="B7705" i="106"/>
  <c r="D7705" i="106" s="1"/>
  <c r="E67" i="184"/>
  <c r="N67" i="184" s="1"/>
  <c r="B7180" i="106"/>
  <c r="D7180" i="106" s="1"/>
  <c r="E63" i="184"/>
  <c r="N63" i="184" s="1"/>
  <c r="H12" i="184"/>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D31" i="108"/>
  <c r="E16" i="184"/>
  <c r="H16" i="184" s="1"/>
  <c r="B7189" i="106"/>
  <c r="D7189" i="106" s="1"/>
  <c r="E64" i="184"/>
  <c r="N64" i="184" s="1"/>
  <c r="B7153" i="106"/>
  <c r="D7153" i="106" s="1"/>
  <c r="E60" i="184"/>
  <c r="N60" i="184"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L16" i="11"/>
  <c r="B2061" i="106" s="1"/>
  <c r="D2061" i="106" s="1"/>
  <c r="N23" i="3"/>
  <c r="B284" i="106" s="1"/>
  <c r="D284" i="106" s="1"/>
  <c r="C367" i="29"/>
  <c r="B3622" i="106" s="1"/>
  <c r="D3622" i="106" s="1"/>
  <c r="E19" i="184"/>
  <c r="N57" i="184"/>
  <c r="N68" i="184" s="1"/>
  <c r="E68" i="184"/>
  <c r="L114" i="29"/>
  <c r="B2031" i="106"/>
  <c r="D203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<sst xmlns="http://schemas.openxmlformats.org/spreadsheetml/2006/main" count="5286" uniqueCount="2131">
  <si>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</si>
  <si>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</si>
  <si>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</si>
  <si>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</si>
  <si>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</si>
  <si>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</si>
  <si>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</si>
  <si>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</si>
  <si>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</si>
  <si>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</si>
  <si>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</si>
  <si>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</si>
  <si>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</si>
  <si>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</si>
  <si>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</si>
  <si>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</si>
  <si>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</si>
  <si>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</si>
  <si>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</si>
  <si>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</si>
  <si>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</si>
  <si>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</si>
  <si>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</si>
  <si>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</si>
  <si>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</si>
  <si>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</si>
  <si>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</si>
  <si>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</si>
  <si>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</si>
  <si>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</si>
  <si>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</si>
  <si>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</si>
  <si>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</si>
  <si>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</si>
  <si>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</si>
  <si>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</si>
  <si>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</si>
  <si>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</si>
  <si>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</si>
  <si>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</si>
  <si>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</si>
  <si>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</si>
  <si>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</si>
  <si>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</si>
  <si>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</si>
  <si>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</si>
  <si>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</si>
  <si>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</si>
  <si>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</si>
  <si>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</si>
  <si>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</si>
  <si>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</si>
  <si>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</si>
  <si>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</si>
  <si>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</si>
  <si>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</si>
  <si>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</si>
  <si>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</si>
  <si>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</si>
  <si>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</si>
  <si>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</si>
  <si>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</si>
  <si>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</si>
  <si>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</si>
  <si>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</si>
  <si>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</si>
  <si>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</si>
  <si>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</si>
  <si>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</si>
  <si>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</si>
  <si>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</si>
  <si>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</si>
  <si>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</si>
  <si>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</si>
  <si>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</si>
  <si>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</si>
  <si>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</si>
  <si>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</si>
  <si>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</si>
  <si>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</si>
  <si>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</si>
  <si>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</si>
  <si>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</si>
  <si>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</si>
  <si>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</si>
  <si>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</si>
  <si>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</si>
  <si>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</si>
  <si>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</si>
  <si>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</si>
  <si>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</si>
  <si>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</si>
  <si>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</si>
  <si>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</si>
  <si>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</si>
  <si>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</si>
  <si>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</si>
  <si>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</si>
  <si>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</si>
  <si>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</si>
  <si>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</si>
  <si>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</si>
  <si>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</si>
  <si>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</si>
  <si>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</si>
  <si>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</si>
  <si>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</si>
  <si>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</si>
  <si>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</si>
  <si>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</si>
  <si>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</si>
  <si>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</si>
  <si>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</si>
  <si>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</si>
  <si>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</si>
  <si>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</si>
  <si>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</si>
  <si>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</si>
  <si>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</si>
  <si>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</si>
  <si>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</si>
  <si>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</si>
  <si>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</si>
  <si>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</si>
  <si>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</si>
  <si>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</si>
  <si>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</si>
  <si>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</si>
  <si>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</si>
  <si>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</si>
  <si>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</si>
  <si>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</si>
  <si>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</si>
  <si>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</si>
  <si>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</si>
  <si>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</si>
  <si>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</si>
  <si>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</si>
  <si>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</si>
  <si>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</si>
  <si>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</si>
  <si>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</si>
  <si>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</si>
  <si>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</si>
  <si>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</si>
  <si>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</si>
  <si>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</si>
  <si>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</si>
  <si>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</si>
  <si>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</si>
  <si>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</si>
  <si>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</si>
  <si>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</si>
  <si>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</si>
  <si>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</si>
  <si>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</si>
  <si>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</si>
  <si>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</si>
  <si>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</si>
  <si>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</si>
  <si>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</si>
  <si>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</si>
  <si>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</si>
  <si>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</si>
  <si>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</si>
  <si>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</si>
  <si>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</si>
  <si>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</si>
  <si>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</si>
  <si>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</si>
  <si>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</si>
  <si>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</si>
  <si>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</si>
  <si>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</si>
  <si>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</si>
  <si>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</si>
  <si>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</si>
  <si>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</si>
  <si>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</si>
  <si>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</si>
  <si>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</si>
  <si>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</si>
  <si>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</si>
  <si>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</si>
  <si>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</si>
  <si>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</si>
  <si>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</si>
  <si>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</si>
  <si>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</si>
  <si>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</si>
  <si>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</si>
  <si>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</si>
  <si>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</si>
  <si>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</si>
  <si>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</si>
  <si>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</si>
  <si>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</si>
  <si>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</si>
  <si>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</si>
  <si>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</si>
  <si>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</si>
  <si>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</si>
  <si>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</si>
  <si>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</si>
  <si>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</si>
  <si>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</si>
  <si>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</si>
  <si>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</si>
  <si>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</si>
  <si>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</si>
  <si>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</si>
  <si>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</si>
  <si>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</si>
  <si>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</si>
  <si>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</si>
  <si>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</si>
  <si>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</si>
  <si>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</si>
  <si>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</si>
  <si>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</si>
  <si>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</si>
  <si>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</si>
  <si>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</si>
  <si>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</si>
  <si>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</si>
  <si>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</si>
  <si>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</si>
  <si>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</si>
  <si>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</si>
  <si>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</si>
  <si>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</si>
  <si>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</si>
  <si>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</si>
  <si>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</si>
  <si>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</si>
  <si>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</si>
  <si>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</si>
  <si>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</si>
  <si>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</si>
  <si>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</si>
  <si>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</si>
  <si>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</si>
  <si>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</si>
  <si>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</si>
  <si>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</si>
  <si>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</si>
  <si>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</si>
  <si>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</si>
  <si>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</si>
  <si>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</si>
  <si>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</si>
  <si>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</si>
  <si>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</si>
  <si>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</si>
  <si>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</si>
  <si>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</si>
  <si>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</si>
  <si>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</si>
  <si>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</si>
  <si>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</si>
  <si>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</si>
  <si>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</si>
  <si>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</si>
  <si>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</si>
  <si>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</si>
  <si>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</si>
  <si>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</si>
  <si>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</si>
  <si>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</si>
  <si>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</si>
  <si>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</si>
  <si>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</si>
  <si>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</si>
  <si>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</si>
  <si>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</si>
  <si>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</si>
  <si>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</si>
  <si>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</si>
  <si>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</si>
  <si>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</si>
  <si>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</si>
  <si>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</si>
  <si>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</si>
  <si>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</si>
  <si>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</si>
  <si>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</si>
  <si>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</si>
  <si>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</si>
  <si>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</si>
  <si>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</si>
  <si>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</si>
  <si>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</si>
  <si>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</si>
  <si>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</si>
  <si>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</si>
  <si>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</si>
  <si>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</si>
  <si>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</si>
  <si>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</si>
  <si>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</si>
  <si>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</si>
  <si>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</si>
  <si>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</si>
  <si>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</si>
  <si>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</si>
  <si>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</si>
  <si>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</si>
  <si>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</si>
  <si>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</si>
  <si>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</si>
  <si>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</si>
  <si>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</si>
  <si>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</si>
  <si>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</si>
  <si>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</si>
  <si>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</si>
  <si>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</si>
  <si>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</si>
  <si>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</si>
  <si>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</si>
  <si>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</si>
  <si>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</si>
  <si>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</si>
  <si>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</si>
  <si>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</si>
  <si>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</si>
  <si>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</si>
  <si>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</si>
  <si>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</si>
  <si>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</si>
  <si>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</si>
  <si>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</si>
  <si>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</si>
  <si>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</si>
  <si>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</si>
  <si>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</si>
  <si>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</si>
  <si>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</si>
  <si>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</si>
  <si>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</si>
  <si>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</si>
  <si>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</si>
  <si>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</si>
  <si>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</si>
  <si>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</si>
  <si>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</si>
  <si>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</si>
  <si>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</si>
  <si>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</si>
  <si>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</si>
  <si>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</si>
  <si>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</si>
  <si>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</si>
  <si>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</si>
  <si>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</si>
  <si>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</si>
  <si>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</si>
  <si>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</si>
  <si>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</si>
  <si>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</si>
  <si>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</si>
  <si>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</si>
  <si>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</si>
  <si>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</si>
  <si>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</si>
  <si>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</si>
  <si>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</si>
  <si>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</si>
  <si>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</si>
  <si>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</si>
  <si>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</si>
  <si>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</si>
  <si>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</si>
  <si>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</si>
  <si>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</si>
  <si>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</si>
  <si>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</si>
  <si>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</si>
  <si>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</si>
  <si>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</si>
  <si>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</si>
  <si>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</si>
  <si>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</si>
  <si>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</si>
  <si>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</si>
  <si>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</si>
  <si>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</si>
  <si>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</si>
  <si>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</si>
  <si>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</si>
  <si>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</si>
  <si>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</si>
  <si>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</si>
  <si>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</si>
  <si>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</si>
  <si>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</si>
  <si>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</si>
  <si>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</si>
  <si>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</si>
  <si>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</si>
  <si>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</si>
  <si>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</si>
  <si>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</si>
  <si>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</si>
  <si>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</si>
  <si>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</si>
  <si>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</si>
  <si>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</si>
  <si>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</si>
  <si>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</si>
  <si>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</si>
  <si>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</si>
  <si>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</si>
  <si>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</si>
  <si>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</si>
  <si>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</si>
  <si>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</si>
  <si>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</si>
  <si>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</si>
  <si>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</si>
  <si>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</si>
  <si>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</si>
  <si>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</si>
  <si>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</si>
  <si>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</si>
  <si>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</si>
  <si>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</si>
  <si>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</si>
  <si>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</si>
  <si>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</si>
  <si>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</si>
  <si>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</si>
  <si>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</si>
  <si>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</si>
  <si>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</si>
  <si>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</si>
  <si>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</si>
  <si>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</si>
  <si>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</si>
  <si>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</si>
  <si>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</si>
  <si>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</si>
  <si>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</si>
  <si>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</si>
  <si>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</si>
  <si>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</si>
  <si>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</si>
  <si>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</si>
  <si>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</si>
  <si>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</si>
  <si>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</si>
  <si>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</si>
  <si>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</si>
  <si>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</si>
  <si>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</si>
  <si>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</si>
  <si>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</si>
  <si>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</si>
  <si>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</si>
  <si>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</si>
  <si>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</si>
  <si>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</si>
  <si>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</si>
  <si>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</si>
  <si>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</si>
  <si>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</si>
  <si>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</si>
  <si>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</si>
  <si>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</si>
  <si>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</si>
  <si>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</si>
  <si>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</si>
  <si>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</si>
  <si>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</si>
  <si>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</si>
  <si>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</si>
  <si>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</si>
  <si>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</si>
  <si>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</si>
  <si>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</si>
  <si>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</si>
  <si>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</si>
  <si>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</si>
  <si>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</si>
  <si>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</si>
  <si>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</si>
  <si>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</si>
  <si>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</si>
  <si>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</si>
  <si>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</si>
  <si>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</si>
  <si>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</si>
  <si>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</si>
  <si>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</si>
  <si>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</si>
  <si>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</si>
  <si>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</si>
  <si>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</si>
  <si>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</si>
  <si>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</si>
  <si>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</si>
  <si>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</si>
  <si>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</si>
  <si>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</si>
  <si>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</si>
  <si>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</si>
  <si>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</si>
  <si>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</si>
  <si>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</si>
  <si>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</si>
  <si>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</si>
  <si>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</si>
  <si>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</si>
  <si>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</si>
  <si>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</si>
  <si>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</si>
  <si>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</si>
  <si>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</si>
  <si>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</si>
  <si>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</si>
  <si>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</si>
  <si>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</si>
  <si>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</si>
  <si>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</si>
  <si>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</si>
  <si>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</si>
  <si>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</si>
  <si>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</si>
  <si>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</si>
  <si>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</si>
  <si>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</si>
  <si>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</si>
  <si>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</si>
  <si>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</si>
  <si>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</si>
  <si>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</si>
  <si>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</si>
  <si>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</si>
  <si>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</si>
  <si>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</si>
  <si>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</si>
  <si>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</si>
  <si>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</si>
  <si>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</si>
  <si>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</si>
  <si>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</si>
  <si>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</si>
  <si>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</si>
  <si>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</si>
  <si>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</si>
  <si>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</si>
  <si>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</si>
  <si>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</si>
  <si>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</si>
  <si>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</si>
  <si>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</si>
  <si>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</si>
  <si>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</si>
  <si>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</si>
  <si>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</si>
  <si>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</si>
  <si>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</si>
  <si>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</si>
  <si>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</si>
  <si>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</si>
  <si>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</si>
  <si>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</si>
  <si>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</si>
  <si>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</si>
  <si>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</si>
  <si>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</si>
  <si>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</si>
  <si>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</si>
  <si>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</si>
  <si>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</si>
  <si>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</si>
  <si>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</si>
  <si>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</si>
  <si>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</si>
  <si>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</si>
  <si>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</si>
  <si>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</si>
  <si>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</si>
  <si>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</si>
  <si>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</si>
  <si>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</si>
  <si>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</si>
  <si>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</si>
  <si>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</si>
  <si>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</si>
  <si>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</si>
  <si>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</si>
  <si>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</si>
  <si>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</si>
  <si>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</si>
  <si>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</si>
  <si>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</si>
  <si>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</si>
  <si>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</si>
  <si>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</si>
  <si>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</si>
  <si>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</si>
  <si>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</si>
  <si>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</si>
  <si>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</si>
  <si>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</si>
  <si>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</si>
  <si>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</si>
  <si>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</si>
  <si>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</si>
  <si>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</si>
  <si>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</si>
  <si>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</si>
  <si>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</si>
  <si>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</si>
  <si>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</si>
  <si>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</si>
  <si>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</si>
  <si>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</si>
  <si>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</si>
  <si>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</si>
  <si>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</si>
  <si>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</si>
  <si>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</si>
  <si>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</si>
  <si>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</si>
  <si>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</si>
  <si>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</si>
  <si>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</si>
  <si>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</si>
  <si>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</si>
  <si>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</si>
  <si>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</si>
  <si>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</si>
  <si>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</si>
  <si>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</si>
  <si>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</si>
  <si>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</si>
  <si>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</si>
  <si>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</si>
  <si>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</si>
  <si>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</si>
  <si>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</si>
  <si>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</si>
  <si>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</si>
  <si>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</si>
  <si>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</si>
  <si>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</si>
  <si>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</si>
  <si>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</si>
  <si>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</si>
  <si>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</si>
  <si>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</si>
  <si>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</si>
  <si>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</si>
  <si>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</si>
  <si>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</si>
  <si>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</si>
  <si>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</si>
  <si>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</si>
  <si>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</si>
  <si>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</si>
  <si>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</si>
  <si>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</si>
  <si>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</si>
  <si>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</si>
  <si>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</si>
  <si>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</si>
  <si>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</si>
  <si>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</si>
  <si>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</si>
  <si>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</si>
  <si>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</si>
  <si>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</si>
  <si>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</si>
  <si>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</si>
  <si>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</si>
  <si>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</si>
  <si>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</si>
  <si>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</si>
  <si>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</si>
  <si>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</si>
  <si>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</si>
  <si>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</si>
  <si>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</si>
  <si>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</si>
  <si>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</si>
  <si>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</si>
  <si>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</si>
  <si>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</si>
  <si>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</si>
  <si>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</si>
  <si>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</si>
  <si>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</si>
  <si>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</si>
  <si>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</si>
  <si>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</si>
  <si>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</si>
  <si>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</si>
  <si>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</si>
  <si>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</si>
  <si>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</si>
  <si>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</si>
  <si>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</si>
  <si>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</si>
  <si>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</si>
  <si>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</si>
  <si>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</si>
  <si>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</si>
  <si>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</si>
  <si>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</si>
  <si>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</si>
  <si>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</si>
  <si>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</si>
  <si>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</si>
  <si>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</si>
  <si>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</si>
  <si>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</si>
  <si>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</si>
  <si>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</si>
  <si>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</si>
  <si>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</si>
  <si>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</si>
  <si>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</si>
  <si>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</si>
  <si>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</si>
  <si>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</si>
  <si>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</si>
  <si>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</si>
  <si>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</si>
  <si>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</si>
  <si>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</si>
  <si>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</si>
  <si>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</si>
  <si>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</si>
  <si>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</si>
  <si>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</si>
  <si>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</si>
  <si>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</si>
  <si>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</si>
  <si>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</si>
  <si>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</si>
  <si>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</si>
  <si>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</si>
  <si>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</si>
  <si>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</si>
  <si>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</si>
  <si>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</si>
  <si>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</si>
  <si>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</si>
  <si>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</si>
  <si>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</si>
  <si>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</si>
  <si>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</si>
  <si>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</si>
  <si>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</si>
  <si>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</si>
  <si>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</si>
  <si>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</si>
  <si>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</si>
  <si>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</si>
  <si>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</si>
  <si>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</si>
  <si>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</si>
  <si>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</si>
  <si>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</si>
  <si>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</si>
  <si>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</si>
  <si>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</si>
  <si>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</si>
  <si>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</si>
  <si>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</si>
  <si>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</si>
  <si>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</si>
  <si>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</si>
  <si>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</si>
  <si>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</si>
  <si>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</si>
  <si>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</si>
  <si>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</si>
  <si>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</si>
  <si>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</si>
  <si>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</si>
  <si>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</si>
  <si>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</si>
  <si>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</si>
  <si>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</si>
  <si>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</si>
  <si>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</si>
  <si>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</si>
  <si>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</si>
  <si>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</si>
  <si>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</si>
  <si>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</si>
  <si>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</si>
  <si>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</si>
  <si>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</si>
  <si>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</si>
  <si>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</si>
  <si>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</si>
  <si>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</si>
  <si>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</si>
  <si>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</si>
  <si>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</si>
  <si>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</si>
  <si>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</si>
  <si>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</si>
  <si>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</si>
  <si>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</si>
  <si>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</si>
  <si>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</si>
  <si>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</si>
  <si>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</si>
  <si>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</si>
  <si>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</si>
  <si>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</si>
  <si>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</si>
  <si>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</si>
  <si>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</si>
  <si>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</si>
  <si>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</si>
  <si>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</si>
  <si>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</si>
  <si>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</si>
  <si>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</si>
  <si>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</si>
  <si>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</si>
  <si>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</si>
  <si>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</si>
  <si>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</si>
  <si>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</si>
  <si>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</si>
  <si>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</si>
  <si>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</si>
  <si>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</si>
  <si>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</si>
  <si>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</si>
  <si>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</si>
  <si>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</si>
  <si>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</si>
  <si>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</si>
  <si>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</si>
  <si>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</si>
  <si>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</si>
  <si>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</si>
  <si>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</si>
  <si>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</si>
  <si>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</si>
  <si>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</si>
  <si>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</si>
  <si>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</si>
  <si>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</si>
  <si>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</si>
  <si>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</si>
  <si>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</si>
  <si>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</si>
  <si>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</si>
  <si>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</si>
  <si>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</si>
  <si>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</si>
  <si>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</si>
  <si>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</si>
  <si>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</si>
  <si>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</si>
  <si>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</si>
  <si>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</si>
  <si>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</si>
  <si>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</si>
  <si>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</si>
  <si>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</si>
  <si>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</si>
  <si>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</si>
  <si>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</si>
  <si>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</si>
  <si>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</si>
  <si>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</si>
  <si>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</si>
  <si>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</si>
  <si>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</si>
  <si>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</si>
  <si>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</si>
  <si>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</si>
  <si>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</si>
  <si>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</si>
  <si>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</si>
  <si>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</si>
  <si>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</si>
  <si>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</si>
  <si>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</si>
  <si>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</si>
  <si>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</si>
  <si>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</si>
  <si>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</si>
  <si>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</si>
  <si>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</si>
  <si>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</si>
  <si>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</si>
  <si>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</si>
  <si>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</si>
  <si>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</si>
  <si>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</si>
  <si>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</si>
  <si>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</si>
  <si>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</si>
  <si>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</si>
  <si>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</si>
  <si>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</si>
  <si>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</si>
  <si>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</si>
  <si>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</si>
  <si>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</si>
  <si>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</si>
  <si>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</si>
  <si>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</si>
  <si>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</si>
  <si>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</si>
  <si>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</si>
  <si>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</si>
  <si>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</si>
  <si>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</si>
  <si>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</si>
  <si>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</si>
  <si>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</si>
  <si>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</si>
  <si>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</si>
  <si>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</si>
  <si>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</si>
  <si>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</si>
  <si>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</si>
  <si>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</si>
  <si>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</si>
  <si>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</si>
  <si>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</si>
  <si>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</si>
  <si>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</si>
  <si>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</si>
  <si>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</si>
  <si>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</si>
  <si>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</si>
  <si>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</si>
  <si>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</si>
  <si>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</si>
  <si>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</si>
  <si>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</si>
  <si>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</si>
  <si>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</si>
  <si>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</si>
  <si>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</si>
  <si>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</si>
  <si>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</si>
  <si>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</si>
  <si>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</si>
  <si>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</si>
  <si>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</si>
  <si>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</si>
  <si>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</si>
  <si>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</si>
  <si>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</si>
  <si>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</si>
  <si>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</si>
  <si>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</si>
  <si>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</si>
  <si>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</si>
  <si>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</si>
  <si>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</si>
  <si>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</si>
  <si>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</si>
  <si>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</si>
  <si>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</si>
  <si>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</si>
  <si>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</si>
  <si>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</si>
  <si>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</si>
  <si>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</si>
  <si>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</si>
  <si>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</si>
  <si>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</si>
  <si>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</si>
  <si>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</si>
  <si>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</si>
  <si>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</si>
  <si>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</si>
  <si>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</si>
  <si>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</si>
  <si>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</si>
  <si>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</si>
  <si>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</si>
  <si>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</si>
  <si>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</si>
  <si>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</si>
  <si>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</si>
  <si>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</si>
  <si>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</si>
  <si>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</si>
  <si>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</si>
  <si>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</si>
  <si>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</si>
  <si>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</si>
  <si>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</si>
  <si>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</si>
  <si>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</si>
  <si>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</si>
  <si>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</si>
  <si>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</si>
  <si>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</si>
  <si>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</si>
  <si>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</si>
  <si>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</si>
  <si>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</si>
  <si>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</si>
  <si>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</si>
  <si>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</si>
  <si>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</si>
  <si>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</si>
  <si>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</si>
  <si>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</si>
  <si>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</si>
  <si>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</si>
  <si>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</si>
  <si>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</si>
  <si>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</si>
  <si>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</si>
  <si>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</si>
  <si>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</si>
  <si>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</si>
  <si>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</si>
  <si>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</si>
  <si>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</si>
  <si>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</si>
  <si>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</si>
  <si>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</si>
  <si>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</si>
  <si>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</si>
  <si>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</si>
  <si>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</si>
  <si>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</si>
  <si>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</si>
  <si>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</si>
  <si>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</si>
  <si>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</si>
  <si>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</si>
  <si>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</si>
  <si>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</si>
  <si>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</si>
  <si>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</si>
  <si>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</si>
  <si>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</si>
  <si>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</si>
  <si>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</si>
  <si>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</si>
  <si>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</si>
  <si>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</si>
  <si>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</si>
  <si>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</si>
  <si>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</si>
  <si>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</si>
  <si>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</si>
  <si>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</si>
  <si>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</si>
  <si>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</si>
  <si>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</si>
  <si>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</si>
  <si>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</si>
  <si>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</si>
  <si>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</si>
  <si>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</si>
  <si>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</si>
  <si>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</si>
  <si>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</si>
  <si>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</si>
  <si>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</si>
  <si>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</si>
  <si>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</si>
  <si>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</si>
  <si>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</si>
  <si>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</si>
  <si>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</si>
  <si>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</si>
  <si>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</si>
  <si>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</si>
  <si>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</si>
  <si>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</si>
  <si>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</si>
  <si>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</si>
  <si>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</si>
  <si>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</si>
  <si>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</si>
  <si>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</si>
  <si>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</si>
  <si>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</si>
  <si>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</si>
  <si>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</si>
  <si>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</si>
  <si>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</si>
  <si>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</si>
  <si>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</si>
  <si>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</si>
  <si>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</si>
  <si>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</si>
  <si>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</si>
  <si>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</si>
  <si>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</si>
  <si>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</si>
  <si>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</si>
  <si>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</si>
  <si>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</si>
  <si>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</si>
  <si>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</si>
  <si>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</si>
  <si>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</si>
  <si>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</si>
  <si>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</si>
  <si>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</si>
  <si>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</si>
  <si>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</si>
  <si>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</si>
  <si>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</si>
  <si>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</si>
  <si>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</si>
  <si>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</si>
  <si>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</si>
  <si>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</si>
  <si>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</si>
  <si>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</si>
  <si>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</si>
  <si>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</si>
  <si>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</si>
  <si>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</si>
  <si>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</si>
  <si>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</si>
  <si>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</si>
  <si>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</si>
  <si>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</si>
  <si>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</si>
  <si>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</si>
  <si>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</si>
  <si>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</si>
  <si>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</si>
  <si>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</si>
  <si>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</si>
  <si>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</si>
  <si>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</si>
  <si>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</si>
  <si>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</si>
  <si>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</si>
  <si>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</si>
  <si>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</si>
  <si>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</si>
  <si>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</si>
  <si>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</si>
  <si>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</si>
  <si>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</si>
  <si>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</si>
  <si>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</si>
  <si>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</si>
  <si>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</si>
  <si>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</si>
  <si>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</si>
  <si>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</si>
  <si>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</si>
  <si>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</si>
  <si>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</si>
  <si>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</si>
  <si>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</si>
  <si>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</si>
  <si>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</si>
  <si>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</si>
  <si>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</si>
  <si>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</si>
  <si>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</si>
  <si>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</si>
  <si>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</si>
  <si>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</si>
  <si>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</si>
  <si>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</si>
  <si>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</si>
  <si>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</si>
  <si>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</si>
  <si>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</si>
  <si>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</si>
  <si>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</si>
  <si>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</si>
  <si>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</si>
  <si>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</si>
  <si>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</si>
  <si>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</si>
  <si>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</si>
  <si>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</si>
  <si>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</si>
  <si>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</si>
  <si>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</si>
  <si>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</si>
  <si>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</si>
  <si>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</si>
  <si>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</si>
  <si>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</si>
  <si>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</si>
  <si>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</si>
  <si>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</si>
  <si>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</si>
  <si>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</si>
  <si>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</si>
  <si>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</si>
  <si>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</si>
  <si>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</si>
  <si>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</si>
  <si>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</si>
  <si>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</si>
  <si>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</si>
  <si>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</si>
  <si>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</si>
  <si>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</si>
  <si>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</si>
  <si>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</si>
  <si>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</si>
  <si>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</si>
  <si>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</si>
  <si>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</si>
  <si>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</si>
  <si>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</si>
  <si>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</si>
  <si>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</si>
  <si>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</si>
  <si>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</si>
  <si>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</si>
  <si>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</si>
  <si>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</si>
  <si>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</si>
  <si>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</si>
  <si>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</si>
  <si>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</si>
  <si>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</si>
  <si>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</si>
  <si>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</si>
  <si>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</si>
  <si>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</si>
  <si>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</si>
  <si>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</si>
  <si>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</si>
  <si>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</si>
  <si>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</si>
  <si>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</si>
  <si>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</si>
  <si>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</si>
  <si>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</si>
  <si>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</si>
  <si>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</si>
  <si>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</si>
  <si>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</si>
  <si>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</si>
  <si>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</si>
  <si>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</si>
  <si>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</si>
  <si>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</si>
  <si>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</si>
  <si>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</si>
  <si>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</si>
  <si>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</si>
  <si>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</si>
  <si>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</si>
  <si>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</si>
  <si>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</si>
  <si>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</si>
  <si>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</si>
  <si>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</si>
  <si>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</si>
  <si>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</si>
  <si>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</si>
  <si>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</si>
  <si>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</si>
  <si>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</si>
  <si>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</si>
  <si>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</si>
  <si>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</si>
  <si>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</si>
  <si>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</si>
  <si>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</si>
  <si>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</si>
  <si>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</si>
  <si>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</si>
  <si>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</si>
  <si>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</si>
  <si>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</si>
  <si>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</si>
  <si>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</si>
  <si>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</si>
  <si>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</si>
  <si>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</si>
  <si>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</si>
  <si>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</si>
  <si>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</si>
  <si>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</si>
  <si>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</si>
  <si>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</si>
  <si>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</si>
  <si>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</si>
  <si>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</si>
  <si>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</si>
  <si>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</si>
  <si>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</si>
  <si>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</si>
  <si>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</si>
  <si>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</si>
  <si>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</si>
  <si>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</si>
  <si>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</si>
  <si>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</si>
  <si>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</si>
  <si>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</si>
  <si>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</si>
  <si>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</si>
  <si>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</si>
  <si>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</si>
  <si>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</si>
  <si>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</si>
  <si>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</si>
  <si>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</si>
  <si>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</si>
  <si>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</si>
  <si>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</si>
  <si>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</si>
  <si>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</si>
  <si>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</si>
  <si>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</si>
  <si>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</si>
  <si>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</si>
  <si>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</si>
  <si>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</si>
  <si>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</si>
  <si>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</si>
  <si>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</si>
  <si>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</si>
  <si>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</si>
  <si>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</si>
  <si>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</si>
  <si>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</si>
  <si>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</si>
  <si>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</si>
  <si>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</si>
  <si>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</si>
  <si>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</si>
  <si>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</si>
  <si>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</si>
  <si>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</si>
  <si>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</si>
  <si>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</si>
  <si>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</si>
  <si>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</si>
  <si>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</si>
  <si>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</si>
  <si>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</si>
  <si>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</si>
  <si>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</si>
  <si>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</si>
  <si>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</si>
  <si>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</si>
  <si>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</si>
  <si>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</si>
  <si>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</si>
  <si>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</si>
  <si>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</si>
  <si>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</si>
  <si>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</si>
  <si>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</si>
  <si>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</si>
  <si>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</si>
  <si>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</si>
  <si>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</si>
  <si>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</si>
  <si>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</si>
  <si>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</si>
  <si>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</si>
  <si>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</si>
  <si>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</si>
  <si>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</si>
  <si>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</si>
  <si>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</si>
  <si>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</si>
  <si>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</si>
  <si>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</si>
  <si>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</si>
  <si>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</si>
  <si>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</si>
  <si>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</si>
  <si>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</si>
  <si>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</si>
  <si>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</si>
  <si>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</si>
  <si>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</si>
  <si>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</si>
  <si>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</si>
  <si>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</si>
  <si>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</si>
  <si>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</si>
  <si>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</si>
  <si>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</si>
  <si>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</si>
  <si>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</si>
  <si>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</si>
  <si>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</si>
  <si>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</si>
  <si>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</si>
  <si>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</si>
  <si>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</si>
  <si>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</si>
  <si>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</si>
  <si>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</si>
  <si>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</si>
  <si>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</si>
  <si>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</si>
  <si>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</si>
  <si>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</si>
  <si>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</si>
  <si>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</si>
  <si>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</si>
  <si>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</si>
  <si>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</si>
  <si>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</si>
  <si>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</si>
  <si>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</si>
  <si>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</si>
  <si>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</si>
  <si>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</si>
  <si>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</si>
  <si>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</si>
  <si>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</si>
  <si>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</si>
  <si>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</si>
  <si>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</si>
  <si>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</si>
  <si>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</si>
  <si>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</si>
  <si>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</si>
  <si>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</si>
  <si>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</si>
  <si>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</si>
  <si>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</si>
  <si>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</si>
  <si>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</si>
  <si>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</si>
  <si>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</si>
  <si>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</si>
  <si>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</si>
  <si>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</si>
  <si>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</si>
  <si>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</si>
  <si>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</si>
  <si>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</si>
  <si>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</si>
  <si>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</si>
  <si>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</si>
  <si>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</si>
  <si>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</si>
  <si>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</si>
  <si>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</si>
  <si>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</si>
  <si>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</si>
  <si>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</si>
  <si>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</si>
  <si>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</si>
  <si>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</si>
  <si>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</si>
  <si>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</si>
  <si>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</si>
  <si>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</si>
  <si>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</si>
  <si>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</si>
  <si>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</si>
  <si>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</si>
  <si>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</si>
  <si>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</si>
  <si>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</si>
  <si>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</si>
  <si>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</si>
  <si>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</si>
  <si>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</si>
  <si>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</si>
  <si>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</si>
  <si>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</si>
  <si>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</si>
  <si>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</si>
  <si>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</si>
  <si>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</si>
  <si>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</si>
  <si>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</si>
  <si>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</si>
  <si>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</si>
  <si>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</si>
  <si>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</si>
  <si>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</si>
  <si>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</si>
  <si>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</si>
  <si>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</si>
  <si>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</si>
  <si>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</si>
  <si>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</si>
  <si>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</si>
  <si>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</si>
  <si>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</si>
  <si>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</si>
  <si>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</si>
  <si>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</si>
  <si>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</si>
  <si>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</si>
  <si>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</si>
  <si>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</si>
  <si>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</si>
  <si>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</si>
  <si>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</si>
  <si>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</si>
  <si>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</si>
  <si>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</si>
  <si>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</si>
  <si>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</si>
  <si>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</si>
  <si>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</si>
  <si>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</si>
  <si>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</si>
  <si>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</si>
  <si>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</si>
  <si>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</si>
  <si>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</si>
  <si>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</si>
  <si>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</si>
  <si>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</si>
  <si>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</si>
  <si>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</si>
  <si>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</si>
  <si>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</si>
  <si>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</si>
  <si>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</si>
  <si>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</si>
  <si>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</si>
  <si>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</si>
  <si>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</si>
  <si>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</si>
  <si>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</si>
  <si>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</si>
  <si>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</si>
  <si>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</si>
  <si>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</si>
  <si>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</si>
  <si>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</si>
  <si>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</si>
  <si>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</si>
  <si>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</si>
  <si>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</si>
  <si>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</si>
  <si>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</si>
  <si>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</si>
  <si>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</si>
  <si>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</si>
  <si>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</si>
  <si>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</si>
  <si>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</si>
  <si>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</si>
  <si>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</si>
  <si>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</si>
  <si>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</si>
  <si>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</si>
  <si>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</si>
  <si>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</si>
  <si>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</si>
  <si>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</si>
  <si>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</si>
  <si>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</si>
  <si>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</si>
  <si>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</si>
  <si>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</si>
  <si>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</si>
  <si>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</si>
  <si>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</si>
  <si>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</si>
  <si>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</si>
  <si>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</si>
  <si>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</si>
  <si>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</si>
  <si>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</si>
  <si>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</si>
  <si>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</si>
  <si>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</si>
  <si>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</si>
  <si>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</si>
  <si>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</si>
  <si>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</si>
  <si>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</si>
  <si>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</si>
  <si>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</si>
  <si>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</si>
  <si>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</si>
  <si>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</si>
  <si>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</si>
  <si>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</si>
  <si>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</si>
  <si>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</si>
  <si>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</si>
  <si>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</si>
  <si>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</si>
  <si>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</si>
  <si>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</si>
  <si>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</si>
  <si>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</si>
  <si>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</si>
  <si>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</si>
  <si>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</si>
  <si>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</si>
  <si>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</si>
  <si>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</si>
  <si>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</si>
  <si>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</si>
  <si>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</si>
  <si>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</si>
  <si>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</si>
  <si>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</si>
  <si>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</si>
  <si>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</si>
  <si>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</si>
  <si>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</si>
  <si>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</si>
  <si>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</si>
  <si>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</si>
  <si>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</si>
  <si>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</si>
  <si>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</si>
  <si>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</si>
  <si>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</si>
  <si>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</si>
  <si>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</si>
  <si>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</si>
  <si>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</si>
  <si>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</si>
  <si>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</si>
  <si>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</si>
  <si>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</si>
  <si>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</si>
  <si>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</si>
  <si>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</si>
  <si>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</si>
  <si>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</si>
  <si>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</si>
  <si>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</si>
  <si>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</si>
  <si>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</si>
  <si>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</si>
  <si>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</si>
  <si>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</si>
  <si>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</si>
  <si>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</si>
  <si>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</si>
  <si>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</si>
  <si>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</si>
  <si>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</si>
  <si>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</si>
  <si>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</si>
  <si>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</si>
  <si>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</si>
  <si>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</si>
  <si>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</si>
  <si>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</si>
  <si>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</si>
  <si>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</si>
  <si>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</si>
  <si>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</si>
  <si>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</si>
  <si>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</si>
  <si>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</si>
  <si>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</si>
  <si>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</si>
  <si>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</si>
  <si>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</si>
  <si>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</si>
  <si>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</si>
  <si>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</si>
  <si>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</si>
  <si>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</si>
  <si>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</si>
  <si>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</si>
  <si>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</si>
  <si>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</si>
  <si>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</si>
  <si>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</si>
  <si>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</si>
  <si>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</si>
  <si>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</si>
  <si>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</si>
  <si>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</si>
  <si>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</si>
  <si>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</si>
  <si>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</si>
  <si>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</si>
  <si>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</si>
  <si>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</si>
  <si>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</si>
  <si>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</si>
  <si>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</si>
  <si>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</si>
  <si>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</si>
  <si>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</si>
  <si>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</si>
  <si>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</si>
  <si>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</si>
  <si>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</si>
  <si>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</si>
  <si>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</si>
  <si>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</si>
  <si>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</si>
  <si>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</si>
  <si>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</si>
  <si>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</si>
  <si>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</si>
  <si>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</si>
  <si>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</si>
  <si>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</si>
  <si>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</si>
  <si>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</si>
  <si>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</si>
  <si>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</si>
  <si>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</si>
  <si>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</si>
  <si>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</si>
  <si>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</si>
  <si>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</si>
  <si>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</si>
  <si>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</si>
  <si>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</si>
  <si>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</si>
  <si>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</si>
  <si>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</si>
  <si>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</si>
  <si>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</si>
  <si>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</si>
  <si>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</si>
  <si>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</si>
  <si>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</si>
  <si>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</si>
  <si>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</si>
  <si>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</si>
  <si>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</si>
  <si>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</si>
  <si>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</si>
  <si>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</si>
  <si>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</si>
  <si>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</si>
  <si>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</si>
  <si>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</si>
  <si>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</si>
  <si>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</si>
  <si>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</si>
  <si>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</si>
  <si>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</si>
  <si>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</si>
  <si>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</si>
  <si>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</si>
  <si>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</si>
  <si>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</si>
  <si>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</si>
  <si>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</si>
  <si>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</si>
  <si>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</si>
  <si>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</si>
  <si>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</si>
  <si>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</si>
  <si>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</si>
  <si>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</si>
  <si>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</si>
  <si>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</si>
  <si>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</si>
  <si>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</si>
  <si>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</si>
  <si>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</si>
  <si>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</si>
  <si>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</si>
  <si>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</si>
  <si>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</si>
  <si>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</si>
  <si>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</si>
  <si>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</si>
  <si>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</si>
  <si>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</si>
  <si>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</si>
  <si>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</si>
  <si>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</si>
  <si>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</si>
  <si>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</si>
  <si>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</si>
  <si>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</si>
  <si>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</si>
  <si>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</si>
  <si>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</si>
  <si>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</si>
  <si>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</si>
  <si>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</si>
  <si>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</si>
  <si>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</si>
  <si>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</si>
  <si>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</si>
  <si>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</si>
  <si>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</si>
  <si>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</si>
  <si>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</si>
  <si>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</si>
  <si>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</si>
  <si>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</si>
  <si>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</si>
  <si>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</si>
  <si>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</si>
  <si>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</si>
  <si>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</si>
  <si>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</si>
  <si>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</si>
  <si>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</si>
  <si>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</si>
  <si>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</si>
  <si>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</si>
  <si>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</si>
  <si>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</si>
  <si>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</si>
  <si>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</si>
  <si>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</si>
  <si>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</si>
  <si>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</si>
  <si>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</si>
  <si>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</si>
  <si>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</si>
  <si>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</si>
  <si>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</si>
  <si>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</si>
  <si>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</si>
  <si>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</si>
  <si>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</si>
  <si>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</si>
  <si>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</si>
  <si>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</si>
  <si>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</si>
  <si>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</si>
  <si>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</si>
  <si>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</si>
  <si>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</si>
  <si>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</si>
  <si>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</si>
  <si>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</si>
  <si>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</si>
  <si>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</si>
  <si>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</si>
  <si>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</si>
  <si>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</si>
  <si>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</si>
  <si>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</si>
  <si>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</si>
  <si>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</si>
  <si>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</si>
  <si>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</si>
  <si>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</si>
  <si>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</si>
  <si>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</si>
  <si>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</si>
  <si>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</si>
  <si>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</si>
  <si>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</si>
  <si>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</si>
  <si>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</si>
  <si>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</si>
  <si>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</si>
  <si>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</si>
  <si>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</si>
  <si>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</si>
  <si>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</si>
  <si>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</si>
  <si>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</si>
  <si>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</si>
  <si>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</si>
  <si>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</si>
  <si>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</si>
  <si>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</si>
  <si>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</si>
  <si>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</si>
  <si>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</si>
  <si>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</si>
  <si>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</si>
  <si>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</si>
  <si>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</si>
  <si>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</si>
  <si>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</si>
  <si>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</si>
  <si>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</si>
  <si>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</si>
  <si>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</si>
  <si>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</si>
  <si>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</si>
  <si>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</si>
  <si>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</si>
  <si>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</si>
  <si>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</si>
  <si>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</si>
  <si>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</si>
  <si>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</si>
  <si>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</si>
  <si>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</si>
  <si>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</si>
  <si>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</si>
  <si>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</si>
  <si>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</si>
  <si>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</si>
  <si>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</si>
  <si>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</si>
  <si>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</si>
  <si>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</si>
  <si>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</si>
  <si>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</si>
  <si>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</si>
  <si>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</si>
  <si>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</si>
  <si>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</si>
  <si>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</si>
  <si>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</si>
  <si>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</si>
  <si>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</si>
  <si>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</si>
  <si>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</si>
  <si>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</si>
  <si>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</si>
  <si>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</si>
  <si>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</si>
  <si>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</si>
  <si>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</si>
  <si>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</si>
  <si>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</si>
  <si>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</si>
  <si>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</si>
  <si>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</si>
  <si>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</si>
  <si>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</si>
  <si>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</si>
  <si>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</si>
  <si>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</si>
  <si>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</si>
  <si>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</si>
  <si>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</si>
  <si>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</si>
  <si>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</si>
  <si>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</si>
  <si>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</si>
  <si>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</si>
  <si>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</si>
  <si>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</si>
  <si>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</si>
  <si>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</si>
  <si>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</si>
  <si>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</si>
  <si>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</si>
  <si>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</si>
  <si>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</si>
  <si>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</si>
  <si>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</si>
  <si>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</si>
  <si>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</si>
  <si>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</si>
  <si>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</si>
  <si>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</si>
  <si>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</si>
  <si>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</si>
  <si>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</si>
  <si>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</si>
  <si>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</si>
  <si>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</si>
  <si>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</si>
  <si>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</si>
  <si>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</si>
  <si>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</si>
  <si>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</si>
  <si>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</si>
  <si>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</si>
  <si>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</si>
  <si>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</si>
  <si>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</si>
  <si>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</si>
  <si>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</si>
  <si>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</si>
  <si>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</si>
  <si>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</si>
  <si>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</si>
  <si>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</si>
  <si>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</si>
  <si>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</si>
  <si>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</si>
  <si>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</si>
  <si>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</si>
  <si>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</si>
  <si>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</si>
  <si>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</si>
  <si>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</si>
  <si>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</si>
  <si>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</si>
  <si>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</si>
  <si>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</si>
  <si>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</si>
  <si>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</si>
  <si>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</si>
  <si>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</si>
  <si>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</si>
  <si>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</si>
  <si>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</si>
  <si>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</si>
  <si>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</si>
  <si>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</si>
  <si>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</si>
  <si>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</si>
  <si>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</si>
  <si>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</si>
  <si>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</si>
  <si>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</si>
  <si>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</si>
  <si>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</si>
  <si>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</si>
  <si>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</si>
  <si>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</si>
  <si>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</si>
  <si>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</si>
  <si>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</si>
  <si>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</si>
  <si>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</si>
  <si>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</si>
  <si>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</si>
  <si>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</si>
  <si>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CORY A. BROWN</t>
  </si>
  <si>
    <t>FAYETTE</t>
  </si>
  <si>
    <t>421 SOUTH COLLEGE</t>
  </si>
  <si>
    <t>BROWNSTOWN</t>
  </si>
  <si>
    <t>mshack@bcusd201.com</t>
  </si>
  <si>
    <t>MICHAEL SHACKELFORD</t>
  </si>
  <si>
    <t>618-427-3355</t>
  </si>
  <si>
    <t>618-427-3704</t>
  </si>
  <si>
    <t>JULIE WOLLERMAN</t>
  </si>
  <si>
    <t>juliewollerman@roe3.org</t>
  </si>
  <si>
    <t>618-283-5011</t>
  </si>
  <si>
    <t>618-283-5013</t>
  </si>
  <si>
    <t>G.O. School Bonds (QZAB)</t>
  </si>
  <si>
    <t>G.O. Refunding School Bonds, Series 2019</t>
  </si>
  <si>
    <t>G.O. School Bonds, Series 2008A-QZAB</t>
  </si>
  <si>
    <t>G.O. School Bonds, Series 2008B-QZAB</t>
  </si>
  <si>
    <t>G.O. School Bonds, Series 2008C-QZAB</t>
  </si>
  <si>
    <t>G.O. School Bonds, Series 2011A-QZAB</t>
  </si>
  <si>
    <t>ILLINOIS SCHOOL DISTRICT AGENCY</t>
  </si>
  <si>
    <t>MID-STATE SPECIAL EDUCATION</t>
  </si>
  <si>
    <t>QUALITY NETWORK SOLUTIONS</t>
  </si>
  <si>
    <t>OKAW AREA VOCATIONAL</t>
  </si>
  <si>
    <t>VANDALIA ED/BD PROGRAM</t>
  </si>
  <si>
    <t>EGYPTIAN TRUST INSURANCE COMPANY</t>
  </si>
  <si>
    <t>SEPCO</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</si>
  <si>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</si>
  <si>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</si>
  <si>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</si>
  <si>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</si>
  <si>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</si>
  <si>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</si>
  <si>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</si>
  <si>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</si>
  <si>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</si>
  <si>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</si>
  <si>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</si>
  <si>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</si>
  <si>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</si>
  <si>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</si>
  <si>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</si>
  <si>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</si>
  <si>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</si>
  <si>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</si>
  <si>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</si>
  <si>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</si>
  <si>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</si>
  <si>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</si>
  <si>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</si>
  <si>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</si>
  <si>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</si>
  <si>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</si>
  <si>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</si>
  <si>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</si>
  <si>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</si>
  <si>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</si>
  <si>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</si>
  <si>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</si>
  <si>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</si>
  <si>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Page 5, Line 12 "Other Current Assets"</t>
  </si>
  <si>
    <t>Operations and Maintenance Fund</t>
  </si>
  <si>
    <t xml:space="preserve">   Prepaid Payroll Deductions &amp; Withholdings $11</t>
  </si>
  <si>
    <t>Page 11, Line 107 "Other Local Revenues"</t>
  </si>
  <si>
    <t>Page 12, Line 168 "Other Restricted Revenue from State Sources"</t>
  </si>
  <si>
    <t xml:space="preserve"> Educational Fund</t>
  </si>
  <si>
    <t xml:space="preserve">    Library Grant $750</t>
  </si>
  <si>
    <t>Page 12, Line 180 "Other Restricted Grants-In-Aid Received Directly from the Federal Gov't"</t>
  </si>
  <si>
    <t>Page 15, Line 41 "Other Support Services - Pupils"</t>
  </si>
  <si>
    <t xml:space="preserve">   Prepaid Payroll Deductions &amp; Withholdings $1,358</t>
  </si>
  <si>
    <t xml:space="preserve">   Reimbursements $15</t>
  </si>
  <si>
    <t xml:space="preserve">   Reimbursements $2,734</t>
  </si>
  <si>
    <t xml:space="preserve">   REAP Grant $14,191</t>
  </si>
  <si>
    <t>Page 14, Line 265 "Other Restricted Revenue from Federal Sources"</t>
  </si>
  <si>
    <t xml:space="preserve">   Supplies &amp; Materials - Graduation Supplies $1,258</t>
  </si>
  <si>
    <t xml:space="preserve">   Puchased Services- Graduation Rental $400</t>
  </si>
  <si>
    <t>TR-Pupil Transportation Services-Purchased Services</t>
  </si>
  <si>
    <t>Kansas State Bank</t>
  </si>
  <si>
    <t>Adequate internal controls require segregaton of duties exist between access to both physical assets and the related accounting records.</t>
  </si>
  <si>
    <t>One employee has access to both the physical assets and the related accounting records.  One employee is responsible for all phases of accounting transactions.</t>
  </si>
  <si>
    <t>The condition applies to cash, receipts, payroll and disbursement areas.</t>
  </si>
  <si>
    <t>The current staffing configuration increases the risk that errors and irregularities could occur and not be detected.</t>
  </si>
  <si>
    <t>The District bookkeeper is an authorized signer on the District's operating account and can process ACHs on the District's operating account.</t>
  </si>
  <si>
    <t xml:space="preserve">A new staffing configuration should be developed and implemented. In addition, we recommend the District appoint a person other than the District bookkeeper to be the District Treasurer. </t>
  </si>
  <si>
    <t>The District has operated with the current staffing configuration due to lack of resources to hire additional District office staff.  Alternate internal controls including Board oversight and Superintendent monitoring are used to minimize the control weakness.</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</si>
  <si>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</si>
  <si>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</si>
  <si>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</si>
  <si>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The treasurer's bond was not adequate the month of January 2020.</t>
  </si>
  <si>
    <t xml:space="preserve">An additional treasurer's bond was not purchased to cover the bond proceeds the district received in January 2020. </t>
  </si>
  <si>
    <t xml:space="preserve">Prior to the issuance of bonded debt, the district should purchase an additional treasurer's bond equal to at least 25% of the anticipated bond proceeds. </t>
  </si>
  <si>
    <t xml:space="preserve">Management will implement the auditor's recommendation for all future bonded debt issuances. </t>
  </si>
  <si>
    <t xml:space="preserve">The Illinois State Board of Education (ISBE) requires the filing of grant expenditure reports by their applicable due date. </t>
  </si>
  <si>
    <t xml:space="preserve">The June 30, 2020 Early Childhood Block Grant expenditure report was not filed with ISBE before its due date of July 20, 2020. </t>
  </si>
  <si>
    <t xml:space="preserve">The June 30, 2020 Early Childhood Block Grant expenditure report was filed with ISBE on August 26, 2020. </t>
  </si>
  <si>
    <t xml:space="preserve">The District Superintendent should monitor the submission of all grant expenditure reports to ensure they are timely filed with ISBE. </t>
  </si>
  <si>
    <t>Management will implement the auditor's recommendation during the year ended June 30, 2021.</t>
  </si>
  <si>
    <t xml:space="preserve">The District was not in compliance with ISBE grant expenditure reporting requirements for a grant material to the District's financial statements. </t>
  </si>
  <si>
    <t xml:space="preserve">The late filing was an oversight by District personnel. </t>
  </si>
  <si>
    <t>066-003845</t>
  </si>
  <si>
    <t>G.O. School Bonds, Series 2011B-QZAB</t>
  </si>
  <si>
    <t>Alternate Revenue Bonds, Series 2020</t>
  </si>
  <si>
    <t>Alternate Revenue Bonds</t>
  </si>
  <si>
    <t xml:space="preserve">   Reimbursement $133</t>
  </si>
  <si>
    <t xml:space="preserve">    Federal Programs-Emergency Relief $1,050</t>
  </si>
  <si>
    <t>Page 25, Line 10 "Other Receipts"</t>
  </si>
  <si>
    <t xml:space="preserve">  Mobile Home Taxes $33</t>
  </si>
  <si>
    <t xml:space="preserve">   Grain Sales $6,448</t>
  </si>
  <si>
    <t xml:space="preserve"> Brownstown CUSD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</si>
</sst>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Font="1" applyAlignment="1" applyProtection="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57150</xdr:rowOff>
        </xdr:from>
        <xdr:to>
          <xdr:col>1</xdr:col>
          <xdr:colOff>866775</xdr:colOff>
          <xdr:row>4</xdr:row>
          <xdr:rowOff>95250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0</xdr:row>
          <xdr:rowOff>66675</xdr:rowOff>
        </xdr:from>
        <xdr:to>
          <xdr:col>1</xdr:col>
          <xdr:colOff>2886075</xdr:colOff>
          <xdr:row>4</xdr:row>
          <xdr:rowOff>95250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2962275</xdr:colOff>
          <xdr:row>0</xdr:row>
          <xdr:rowOff>66675</xdr:rowOff>
        </xdr:from>
        <xdr:to>
          <xdr:col>1</xdr:col>
          <xdr:colOff>3876675</xdr:colOff>
          <xdr:row>4</xdr:row>
          <xdr:rowOff>104775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xdr:row>
          <xdr:rowOff>161925</xdr:rowOff>
        </xdr:from>
        <xdr:to>
          <xdr:col>1</xdr:col>
          <xdr:colOff>876300</xdr:colOff>
          <xdr:row>9</xdr:row>
          <xdr:rowOff>28575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4</xdr:row>
          <xdr:rowOff>161925</xdr:rowOff>
        </xdr:from>
        <xdr:to>
          <xdr:col>1</xdr:col>
          <xdr:colOff>1876425</xdr:colOff>
          <xdr:row>9</xdr:row>
          <xdr:rowOff>28575</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9525</xdr:rowOff>
        </xdr:from>
        <xdr:to>
          <xdr:col>1</xdr:col>
          <xdr:colOff>2886075</xdr:colOff>
          <xdr:row>9</xdr:row>
          <xdr:rowOff>47625</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2962275</xdr:colOff>
          <xdr:row>4</xdr:row>
          <xdr:rowOff>152400</xdr:rowOff>
        </xdr:from>
        <xdr:to>
          <xdr:col>1</xdr:col>
          <xdr:colOff>3876675</xdr:colOff>
          <xdr:row>9</xdr:row>
          <xdr:rowOff>28575</xdr:rowOff>
        </xdr:to>
        <xdr:sp macro="" textlink="">
          <xdr:nvSpPr>
            <xdr:cNvPr id="45064" name="Object 8" hidden="1">
              <a:extLst>
                <a:ext uri="{63B3BB69-23CF-44E3-9099-C40C66FF867C}">
                  <a14:compatExt spid="_x0000_s45064"/>
                </a:ext>
                <a:ext uri="{FF2B5EF4-FFF2-40B4-BE49-F238E27FC236}">
                  <a16:creationId xmlns:a16="http://schemas.microsoft.com/office/drawing/2014/main" id="{00000000-0008-0000-1400-000008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57150</xdr:rowOff>
        </xdr:from>
        <xdr:to>
          <xdr:col>1</xdr:col>
          <xdr:colOff>1876425</xdr:colOff>
          <xdr:row>4</xdr:row>
          <xdr:rowOff>95250</xdr:rowOff>
        </xdr:to>
        <xdr:sp macro="" textlink="">
          <xdr:nvSpPr>
            <xdr:cNvPr id="45065" name="Object 9" hidden="1">
              <a:extLst>
                <a:ext uri="{63B3BB69-23CF-44E3-9099-C40C66FF867C}">
                  <a14:compatExt spid="_x0000_s45065"/>
                </a:ext>
                <a:ext uri="{FF2B5EF4-FFF2-40B4-BE49-F238E27FC236}">
                  <a16:creationId xmlns:a16="http://schemas.microsoft.com/office/drawing/2014/main" id="{00000000-0008-0000-1400-000009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1">
        <f>+'AFR20'!E4</f>
        <v>44119</v>
      </c>
      <c r="C1" s="2021"/>
      <c r="D1" s="2022"/>
      <c r="I1" s="2100" t="s">
        <v>402</v>
      </c>
      <c r="J1" s="2101"/>
      <c r="K1" s="2101"/>
      <c r="L1" s="2101"/>
      <c r="M1" s="2101"/>
      <c r="N1" s="2101"/>
      <c r="O1" s="2101"/>
      <c r="P1" s="2101"/>
      <c r="Q1" s="2101"/>
      <c r="R1" s="2101"/>
      <c r="S1" s="2101"/>
    </row>
    <row r="2" spans="1:32" ht="12" customHeight="1" x14ac:dyDescent="0.2">
      <c r="A2" s="1816" t="str">
        <f>"Due to ISBE on "</f>
        <v xml:space="preserve">Due to ISBE on </v>
      </c>
      <c r="B2" s="2023">
        <f>+'AFR20'!F4</f>
        <v>44151</v>
      </c>
      <c r="C2" s="2023"/>
      <c r="D2" s="2024"/>
      <c r="I2" s="2102" t="s">
        <v>2000</v>
      </c>
      <c r="J2" s="2101"/>
      <c r="K2" s="2101"/>
      <c r="L2" s="2101"/>
      <c r="M2" s="2101"/>
      <c r="N2" s="2101"/>
      <c r="O2" s="2101"/>
      <c r="P2" s="2101"/>
      <c r="Q2" s="2101"/>
      <c r="R2" s="2101"/>
      <c r="S2" s="2101"/>
    </row>
    <row r="3" spans="1:32" ht="12" customHeight="1" x14ac:dyDescent="0.2">
      <c r="A3" s="1819" t="str">
        <f>"SD/JA"&amp;MID('AFR20'!E2,3,2)</f>
        <v>SD/JA20</v>
      </c>
      <c r="B3" s="151"/>
      <c r="C3" s="151"/>
      <c r="D3" s="152"/>
      <c r="I3" s="2102" t="s">
        <v>52</v>
      </c>
      <c r="J3" s="2101"/>
      <c r="K3" s="2101"/>
      <c r="L3" s="2101"/>
      <c r="M3" s="2101"/>
      <c r="N3" s="2101"/>
      <c r="O3" s="2101"/>
      <c r="P3" s="2101"/>
      <c r="Q3" s="2101"/>
      <c r="R3" s="2101"/>
      <c r="S3" s="2101"/>
    </row>
    <row r="4" spans="1:32" ht="12" customHeight="1" x14ac:dyDescent="0.2">
      <c r="A4" s="37"/>
      <c r="I4" s="2102" t="s">
        <v>521</v>
      </c>
      <c r="J4" s="2101"/>
      <c r="K4" s="2101"/>
      <c r="L4" s="2101"/>
      <c r="M4" s="2101"/>
      <c r="N4" s="2101"/>
      <c r="O4" s="2101"/>
      <c r="P4" s="2101"/>
      <c r="Q4" s="2101"/>
      <c r="R4" s="2101"/>
      <c r="S4" s="2101"/>
    </row>
    <row r="5" spans="1:32" ht="14.1" customHeight="1" x14ac:dyDescent="0.2">
      <c r="B5" s="101" t="s">
        <v>2015</v>
      </c>
      <c r="C5" s="26" t="s">
        <v>903</v>
      </c>
      <c r="D5" s="81"/>
      <c r="E5" s="81"/>
      <c r="H5" s="38"/>
      <c r="I5" s="2109" t="s">
        <v>675</v>
      </c>
      <c r="J5" s="2054"/>
      <c r="K5" s="2054"/>
      <c r="L5" s="2054"/>
      <c r="M5" s="2054"/>
      <c r="N5" s="2054"/>
      <c r="O5" s="2054"/>
      <c r="P5" s="2054"/>
      <c r="Q5" s="2054"/>
      <c r="R5" s="2054"/>
      <c r="S5" s="2054"/>
      <c r="AF5" s="1812"/>
    </row>
    <row r="6" spans="1:32" ht="14.1" customHeight="1" x14ac:dyDescent="0.2">
      <c r="B6" s="101"/>
      <c r="C6" s="26" t="s">
        <v>904</v>
      </c>
      <c r="D6" s="81"/>
      <c r="E6" s="81"/>
      <c r="I6" s="2108" t="s">
        <v>876</v>
      </c>
      <c r="J6" s="2054"/>
      <c r="K6" s="2054"/>
      <c r="L6" s="2054"/>
      <c r="M6" s="2054"/>
      <c r="N6" s="2054"/>
      <c r="O6" s="2054"/>
      <c r="P6" s="2054"/>
      <c r="Q6" s="2054"/>
      <c r="R6" s="2054"/>
      <c r="S6" s="2054"/>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669</v>
      </c>
      <c r="J9" s="2106"/>
      <c r="K9" s="2106"/>
      <c r="L9" s="2106"/>
      <c r="M9" s="2106"/>
      <c r="N9" s="2106"/>
      <c r="O9" s="2106"/>
      <c r="P9" s="2106"/>
      <c r="Q9" s="2106"/>
      <c r="R9" s="2106"/>
      <c r="S9" s="2107"/>
      <c r="T9" s="2050" t="s">
        <v>530</v>
      </c>
      <c r="U9" s="2051"/>
      <c r="V9" s="2051"/>
      <c r="W9" s="2051"/>
      <c r="X9" s="2051"/>
      <c r="Y9" s="2051"/>
      <c r="Z9" s="2051"/>
      <c r="AA9" s="2052"/>
    </row>
    <row r="10" spans="1:32" ht="13.5" customHeight="1" x14ac:dyDescent="0.2">
      <c r="A10" s="2059" t="s">
        <v>670</v>
      </c>
      <c r="B10" s="2060"/>
      <c r="C10" s="2060"/>
      <c r="D10" s="2060"/>
      <c r="E10" s="2060"/>
      <c r="F10" s="2060"/>
      <c r="G10" s="2060"/>
      <c r="H10" s="2061"/>
      <c r="I10" s="29"/>
      <c r="J10" s="30"/>
      <c r="K10" s="28"/>
      <c r="R10" s="30"/>
      <c r="S10" s="30"/>
      <c r="T10" s="2053"/>
      <c r="U10" s="2054"/>
      <c r="V10" s="2054"/>
      <c r="W10" s="2054"/>
      <c r="X10" s="2054"/>
      <c r="Y10" s="2054"/>
      <c r="Z10" s="2054"/>
      <c r="AA10" s="2055"/>
    </row>
    <row r="11" spans="1:32" ht="14.25" customHeight="1" x14ac:dyDescent="0.2">
      <c r="A11" s="2062" t="s">
        <v>948</v>
      </c>
      <c r="B11" s="2063"/>
      <c r="C11" s="2063"/>
      <c r="D11" s="2063"/>
      <c r="E11" s="2063"/>
      <c r="F11" s="2063"/>
      <c r="G11" s="2063"/>
      <c r="H11" s="2064"/>
      <c r="I11" s="27"/>
      <c r="J11" s="71"/>
      <c r="K11" s="27"/>
      <c r="O11" s="144" t="s">
        <v>2015</v>
      </c>
      <c r="P11" s="97" t="s">
        <v>199</v>
      </c>
      <c r="Q11" s="30"/>
      <c r="R11" s="28"/>
      <c r="S11" s="27"/>
      <c r="T11" s="2056"/>
      <c r="U11" s="2057"/>
      <c r="V11" s="2057"/>
      <c r="W11" s="2057"/>
      <c r="X11" s="2057"/>
      <c r="Y11" s="2057"/>
      <c r="Z11" s="2057"/>
      <c r="AA11" s="205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0">
        <v>3026201026</v>
      </c>
      <c r="B13" s="2071"/>
      <c r="C13" s="2071"/>
      <c r="D13" s="2071"/>
      <c r="E13" s="2071"/>
      <c r="F13" s="2071"/>
      <c r="G13" s="2071"/>
      <c r="H13" s="2072"/>
      <c r="I13" s="31"/>
      <c r="J13" s="30"/>
      <c r="K13" s="28"/>
      <c r="L13" s="30"/>
      <c r="M13" s="30"/>
      <c r="N13" s="30"/>
      <c r="O13" s="30"/>
      <c r="P13" s="30"/>
      <c r="Q13" s="30"/>
      <c r="R13" s="30"/>
      <c r="S13" s="30"/>
      <c r="T13" s="2075" t="s">
        <v>2016</v>
      </c>
      <c r="U13" s="2076"/>
      <c r="V13" s="2076"/>
      <c r="W13" s="2076"/>
      <c r="X13" s="2076"/>
      <c r="Y13" s="2077"/>
      <c r="Z13" s="2077"/>
      <c r="AA13" s="207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8" t="s">
        <v>2025</v>
      </c>
      <c r="B15" s="2073"/>
      <c r="C15" s="2073"/>
      <c r="D15" s="2073"/>
      <c r="E15" s="2073"/>
      <c r="F15" s="2073"/>
      <c r="G15" s="2073"/>
      <c r="H15" s="2074"/>
      <c r="T15" s="2036" t="s">
        <v>2024</v>
      </c>
      <c r="U15" s="2037"/>
      <c r="V15" s="2037"/>
      <c r="W15" s="2037"/>
      <c r="X15" s="2037"/>
      <c r="Y15" s="2079"/>
      <c r="Z15" s="2079"/>
      <c r="AA15" s="208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8" t="s">
        <v>2130</v>
      </c>
      <c r="B17" s="2098"/>
      <c r="C17" s="2098"/>
      <c r="D17" s="2098"/>
      <c r="E17" s="2098"/>
      <c r="F17" s="2098"/>
      <c r="G17" s="2098"/>
      <c r="H17" s="2099"/>
      <c r="T17" s="2085" t="s">
        <v>2017</v>
      </c>
      <c r="U17" s="2086"/>
      <c r="V17" s="2086"/>
      <c r="W17" s="2086"/>
      <c r="X17" s="2086"/>
      <c r="Y17" s="2086"/>
      <c r="Z17" s="2086"/>
      <c r="AA17" s="2087"/>
    </row>
    <row r="18" spans="1:27" ht="13.5" customHeight="1" x14ac:dyDescent="0.2">
      <c r="A18" s="82" t="s">
        <v>527</v>
      </c>
      <c r="B18" s="73"/>
      <c r="C18" s="69"/>
      <c r="D18" s="73"/>
      <c r="E18" s="73"/>
      <c r="F18" s="73"/>
      <c r="G18" s="73"/>
      <c r="H18" s="53"/>
      <c r="I18" s="2095" t="s">
        <v>671</v>
      </c>
      <c r="J18" s="2096"/>
      <c r="K18" s="2096"/>
      <c r="L18" s="2096"/>
      <c r="M18" s="2096"/>
      <c r="N18" s="2096"/>
      <c r="O18" s="2096"/>
      <c r="P18" s="2096"/>
      <c r="Q18" s="2096"/>
      <c r="R18" s="2096"/>
      <c r="S18" s="2097"/>
      <c r="T18" s="82" t="s">
        <v>705</v>
      </c>
      <c r="U18" s="48"/>
      <c r="V18" s="69"/>
      <c r="W18" s="47"/>
      <c r="X18" s="82" t="s">
        <v>264</v>
      </c>
      <c r="Y18" s="78"/>
      <c r="Z18" s="154" t="s">
        <v>672</v>
      </c>
      <c r="AA18" s="44"/>
    </row>
    <row r="19" spans="1:27" ht="13.5" customHeight="1" x14ac:dyDescent="0.2">
      <c r="A19" s="2068" t="s">
        <v>2026</v>
      </c>
      <c r="B19" s="2069"/>
      <c r="C19" s="2069"/>
      <c r="D19" s="2069"/>
      <c r="E19" s="2069"/>
      <c r="F19" s="2069"/>
      <c r="G19" s="2069"/>
      <c r="H19" s="2067"/>
      <c r="I19" s="30"/>
      <c r="J19" s="96"/>
      <c r="K19" s="40"/>
      <c r="L19" s="38"/>
      <c r="M19" s="109" t="s">
        <v>312</v>
      </c>
      <c r="P19" s="27"/>
      <c r="Q19" s="27"/>
      <c r="R19" s="27"/>
      <c r="S19" s="31"/>
      <c r="T19" s="2068" t="s">
        <v>2018</v>
      </c>
      <c r="U19" s="2066"/>
      <c r="V19" s="2066"/>
      <c r="W19" s="2067"/>
      <c r="X19" s="2083" t="s">
        <v>2019</v>
      </c>
      <c r="Y19" s="2084"/>
      <c r="Z19" s="2081">
        <v>62565</v>
      </c>
      <c r="AA19" s="208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5" t="s">
        <v>2027</v>
      </c>
      <c r="B21" s="2066"/>
      <c r="C21" s="2066"/>
      <c r="D21" s="2066"/>
      <c r="E21" s="2066"/>
      <c r="F21" s="2066"/>
      <c r="G21" s="2066"/>
      <c r="H21" s="2067"/>
      <c r="I21" s="2091" t="s">
        <v>673</v>
      </c>
      <c r="J21" s="2054"/>
      <c r="K21" s="2054"/>
      <c r="L21" s="2054"/>
      <c r="M21" s="2054"/>
      <c r="N21" s="2054"/>
      <c r="O21" s="2054"/>
      <c r="P21" s="2054"/>
      <c r="Q21" s="2054"/>
      <c r="R21" s="2054"/>
      <c r="S21" s="2055"/>
      <c r="T21" s="2033" t="s">
        <v>2020</v>
      </c>
      <c r="U21" s="2034"/>
      <c r="V21" s="2034"/>
      <c r="W21" s="2034"/>
      <c r="X21" s="2047" t="s">
        <v>2021</v>
      </c>
      <c r="Y21" s="2048"/>
      <c r="Z21" s="2048"/>
      <c r="AA21" s="2049"/>
    </row>
    <row r="22" spans="1:27" ht="13.5" customHeight="1" x14ac:dyDescent="0.2">
      <c r="A22" s="84" t="s">
        <v>528</v>
      </c>
      <c r="B22" s="56"/>
      <c r="C22" s="56"/>
      <c r="D22" s="56"/>
      <c r="E22" s="56"/>
      <c r="F22" s="56"/>
      <c r="G22" s="56"/>
      <c r="H22" s="57"/>
      <c r="I22" s="2092" t="s">
        <v>1409</v>
      </c>
      <c r="J22" s="2093"/>
      <c r="K22" s="2093"/>
      <c r="L22" s="2093"/>
      <c r="M22" s="2093"/>
      <c r="N22" s="2093"/>
      <c r="O22" s="2093"/>
      <c r="P22" s="2093"/>
      <c r="Q22" s="2093"/>
      <c r="R22" s="2093"/>
      <c r="S22" s="2094"/>
      <c r="T22" s="82" t="s">
        <v>1496</v>
      </c>
      <c r="U22" s="48"/>
      <c r="V22" s="69"/>
      <c r="W22" s="48"/>
      <c r="X22" s="155" t="s">
        <v>1306</v>
      </c>
      <c r="Z22" s="43"/>
      <c r="AA22" s="44"/>
    </row>
    <row r="23" spans="1:27" ht="13.5" customHeight="1" x14ac:dyDescent="0.2">
      <c r="A23" s="2088" t="s">
        <v>2028</v>
      </c>
      <c r="B23" s="2089"/>
      <c r="C23" s="2089"/>
      <c r="D23" s="2089"/>
      <c r="E23" s="2089"/>
      <c r="F23" s="2089"/>
      <c r="G23" s="2089"/>
      <c r="H23" s="2090"/>
      <c r="T23" s="2028" t="s">
        <v>2121</v>
      </c>
      <c r="U23" s="2029"/>
      <c r="V23" s="2029"/>
      <c r="W23" s="2029"/>
      <c r="X23" s="2044">
        <v>44530</v>
      </c>
      <c r="Y23" s="2045"/>
      <c r="Z23" s="2045"/>
      <c r="AA23" s="2046"/>
    </row>
    <row r="24" spans="1:27" ht="14.1" customHeight="1" x14ac:dyDescent="0.2">
      <c r="A24" s="85" t="s">
        <v>672</v>
      </c>
      <c r="B24" s="46"/>
      <c r="C24" s="46"/>
      <c r="D24" s="46"/>
      <c r="E24" s="46"/>
      <c r="F24" s="46"/>
      <c r="G24" s="46"/>
      <c r="H24" s="58"/>
      <c r="J24" s="2130">
        <f>IF(B5="x",IF(AUDITCHECK!D29="AFR form Incomplete.","",IF(AUDITCHECK!D29="Deficit reduction plan is required.","School District must complete a deficit reduction plan in the 2020-2021 Budget",)),"")</f>
        <v>0</v>
      </c>
      <c r="K24" s="2130"/>
      <c r="L24" s="2130"/>
      <c r="M24" s="2130"/>
      <c r="N24" s="2130"/>
      <c r="O24" s="2130"/>
      <c r="P24" s="2130"/>
      <c r="Q24" s="2130"/>
      <c r="R24" s="2130"/>
      <c r="S24" s="2131"/>
      <c r="T24" s="102" t="s">
        <v>528</v>
      </c>
      <c r="U24" s="103"/>
      <c r="V24" s="103"/>
      <c r="W24" s="103"/>
      <c r="X24" s="104"/>
      <c r="Y24" s="104"/>
      <c r="Z24" s="104"/>
      <c r="AA24" s="105"/>
    </row>
    <row r="25" spans="1:27" ht="14.1" customHeight="1" x14ac:dyDescent="0.2">
      <c r="A25" s="2065">
        <v>62418</v>
      </c>
      <c r="B25" s="2066"/>
      <c r="C25" s="2066"/>
      <c r="D25" s="2066"/>
      <c r="E25" s="2066"/>
      <c r="F25" s="2066"/>
      <c r="G25" s="2066"/>
      <c r="H25" s="2067"/>
      <c r="I25" s="110"/>
      <c r="J25" s="2132"/>
      <c r="K25" s="2132"/>
      <c r="L25" s="2132"/>
      <c r="M25" s="2132"/>
      <c r="N25" s="2132"/>
      <c r="O25" s="2132"/>
      <c r="P25" s="2132"/>
      <c r="Q25" s="2132"/>
      <c r="R25" s="2132"/>
      <c r="S25" s="2133"/>
      <c r="T25" s="2025" t="s">
        <v>2022</v>
      </c>
      <c r="U25" s="2026"/>
      <c r="V25" s="2026"/>
      <c r="W25" s="2026"/>
      <c r="X25" s="2026"/>
      <c r="Y25" s="2026"/>
      <c r="Z25" s="2026"/>
      <c r="AA25" s="20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3" t="s">
        <v>1491</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9"/>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8" t="s">
        <v>2029</v>
      </c>
      <c r="B38" s="2098"/>
      <c r="C38" s="2098"/>
      <c r="D38" s="2098"/>
      <c r="E38" s="2098"/>
      <c r="F38" s="2066"/>
      <c r="G38" s="2066"/>
      <c r="H38" s="2067"/>
      <c r="I38" s="2117"/>
      <c r="J38" s="2037"/>
      <c r="K38" s="2037"/>
      <c r="L38" s="2037"/>
      <c r="M38" s="2037"/>
      <c r="N38" s="2037"/>
      <c r="O38" s="2037"/>
      <c r="P38" s="2038"/>
      <c r="Q38" s="2038"/>
      <c r="R38" s="2038"/>
      <c r="S38" s="2039"/>
      <c r="T38" s="2036" t="s">
        <v>2032</v>
      </c>
      <c r="U38" s="2037"/>
      <c r="V38" s="2037"/>
      <c r="W38" s="2037"/>
      <c r="X38" s="2038"/>
      <c r="Y38" s="2038"/>
      <c r="Z38" s="2038"/>
      <c r="AA38" s="2039"/>
    </row>
    <row r="39" spans="1:27" ht="12" customHeight="1" x14ac:dyDescent="0.2">
      <c r="A39" s="2121" t="s">
        <v>528</v>
      </c>
      <c r="B39" s="2122"/>
      <c r="C39" s="69"/>
      <c r="D39" s="66"/>
      <c r="E39" s="66"/>
      <c r="F39" s="76"/>
      <c r="G39" s="66"/>
      <c r="H39" s="53"/>
      <c r="I39" s="2121" t="s">
        <v>528</v>
      </c>
      <c r="J39" s="2122"/>
      <c r="K39" s="2122"/>
      <c r="L39" s="2122"/>
      <c r="M39" s="2122"/>
      <c r="N39" s="64"/>
      <c r="O39" s="69"/>
      <c r="P39" s="69"/>
      <c r="Q39" s="75"/>
      <c r="R39" s="69"/>
      <c r="S39" s="53"/>
      <c r="T39" s="69" t="s">
        <v>528</v>
      </c>
      <c r="U39" s="48"/>
      <c r="V39" s="69"/>
      <c r="W39" s="47"/>
      <c r="X39" s="75"/>
      <c r="Y39" s="43"/>
      <c r="Z39" s="43"/>
      <c r="AA39" s="44"/>
    </row>
    <row r="40" spans="1:27" ht="13.5" customHeight="1" x14ac:dyDescent="0.2">
      <c r="A40" s="2124" t="s">
        <v>2028</v>
      </c>
      <c r="B40" s="2125"/>
      <c r="C40" s="2126"/>
      <c r="D40" s="2126"/>
      <c r="E40" s="2126"/>
      <c r="F40" s="2127"/>
      <c r="G40" s="2127"/>
      <c r="H40" s="2128"/>
      <c r="I40" s="2040"/>
      <c r="J40" s="2042"/>
      <c r="K40" s="2042"/>
      <c r="L40" s="2042"/>
      <c r="M40" s="2042"/>
      <c r="N40" s="2042"/>
      <c r="O40" s="2042"/>
      <c r="P40" s="2042"/>
      <c r="Q40" s="2042"/>
      <c r="R40" s="2042"/>
      <c r="S40" s="2043"/>
      <c r="T40" s="2040" t="s">
        <v>2033</v>
      </c>
      <c r="U40" s="2041"/>
      <c r="V40" s="2042"/>
      <c r="W40" s="2042"/>
      <c r="X40" s="2042"/>
      <c r="Y40" s="2042"/>
      <c r="Z40" s="2042"/>
      <c r="AA40" s="204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4" t="s">
        <v>2030</v>
      </c>
      <c r="B42" s="2115"/>
      <c r="C42" s="2116"/>
      <c r="D42" s="2129" t="s">
        <v>2031</v>
      </c>
      <c r="E42" s="2115"/>
      <c r="F42" s="2115"/>
      <c r="G42" s="2115"/>
      <c r="H42" s="2116"/>
      <c r="I42" s="2035"/>
      <c r="J42" s="2031"/>
      <c r="K42" s="2031"/>
      <c r="L42" s="2031"/>
      <c r="M42" s="2031"/>
      <c r="N42" s="2031"/>
      <c r="O42" s="2032"/>
      <c r="P42" s="2030"/>
      <c r="Q42" s="2031"/>
      <c r="R42" s="2031"/>
      <c r="S42" s="2032"/>
      <c r="T42" s="2035" t="s">
        <v>2034</v>
      </c>
      <c r="U42" s="2031"/>
      <c r="V42" s="2031"/>
      <c r="W42" s="2032"/>
      <c r="X42" s="2030" t="s">
        <v>2035</v>
      </c>
      <c r="Y42" s="2031"/>
      <c r="Z42" s="2031"/>
      <c r="AA42" s="203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8"/>
      <c r="B44" s="2119"/>
      <c r="C44" s="2119"/>
      <c r="D44" s="2119"/>
      <c r="E44" s="2119"/>
      <c r="F44" s="2119"/>
      <c r="G44" s="2119"/>
      <c r="H44" s="2120"/>
      <c r="I44" s="2110"/>
      <c r="J44" s="2112"/>
      <c r="K44" s="2112"/>
      <c r="L44" s="2112"/>
      <c r="M44" s="2112"/>
      <c r="N44" s="2112"/>
      <c r="O44" s="2112"/>
      <c r="P44" s="2112"/>
      <c r="Q44" s="2112"/>
      <c r="R44" s="2112"/>
      <c r="S44" s="2113"/>
      <c r="T44" s="2110"/>
      <c r="U44" s="2111"/>
      <c r="V44" s="2111"/>
      <c r="W44" s="2111"/>
      <c r="X44" s="2111"/>
      <c r="Y44" s="2111"/>
      <c r="Z44" s="2112"/>
      <c r="AA44" s="211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ZUe6MXs74lnrxY3Vt4sjWXVBEF+Yk4EbeURyveAvY4YAXnj2Oj9y/ejwRPTWLGm4dCV3uKwG7eSVcYIbii4NMw==" saltValue="jTMAhwk6NAHvLICGiIU14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1" sqref="E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2"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3"/>
      <c r="B3" s="1294"/>
      <c r="C3" s="1295"/>
      <c r="D3" s="1296" t="s">
        <v>254</v>
      </c>
      <c r="E3" s="1295"/>
      <c r="F3" s="1296" t="s">
        <v>255</v>
      </c>
    </row>
    <row r="4" spans="1:8" ht="13.7" customHeight="1" x14ac:dyDescent="0.2">
      <c r="A4" s="579" t="s">
        <v>1144</v>
      </c>
      <c r="B4" s="1706">
        <f>'Revenues 9-14'!C5</f>
        <v>406405</v>
      </c>
      <c r="C4" s="1707"/>
      <c r="D4" s="1708">
        <f>B4-C4</f>
        <v>406405</v>
      </c>
      <c r="E4" s="1707">
        <v>440910</v>
      </c>
      <c r="F4" s="1708">
        <f>E4-C4</f>
        <v>440910</v>
      </c>
    </row>
    <row r="5" spans="1:8" ht="13.7" customHeight="1" x14ac:dyDescent="0.2">
      <c r="A5" s="579" t="s">
        <v>864</v>
      </c>
      <c r="B5" s="1709">
        <f>'Revenues 9-14'!D5</f>
        <v>126334</v>
      </c>
      <c r="C5" s="1654"/>
      <c r="D5" s="1710">
        <f t="shared" ref="D5:D18" si="0">B5-C5</f>
        <v>126334</v>
      </c>
      <c r="E5" s="1654">
        <v>137066</v>
      </c>
      <c r="F5" s="1710">
        <f>E5-C5</f>
        <v>137066</v>
      </c>
    </row>
    <row r="6" spans="1:8" ht="13.7" customHeight="1" x14ac:dyDescent="0.2">
      <c r="A6" s="579" t="s">
        <v>408</v>
      </c>
      <c r="B6" s="1709">
        <f>'Revenues 9-14'!E5</f>
        <v>151871</v>
      </c>
      <c r="C6" s="1654"/>
      <c r="D6" s="1710">
        <f t="shared" si="0"/>
        <v>151871</v>
      </c>
      <c r="E6" s="1654">
        <v>152986</v>
      </c>
      <c r="F6" s="1710">
        <f t="shared" ref="F6:F18" si="1">E6-C6</f>
        <v>152986</v>
      </c>
    </row>
    <row r="7" spans="1:8" ht="13.7" customHeight="1" x14ac:dyDescent="0.2">
      <c r="A7" s="579" t="s">
        <v>154</v>
      </c>
      <c r="B7" s="1709">
        <f>'Revenues 9-14'!F5</f>
        <v>44173</v>
      </c>
      <c r="C7" s="1654"/>
      <c r="D7" s="1710">
        <f t="shared" si="0"/>
        <v>44173</v>
      </c>
      <c r="E7" s="1654">
        <v>47924</v>
      </c>
      <c r="F7" s="1710">
        <f t="shared" si="1"/>
        <v>47924</v>
      </c>
    </row>
    <row r="8" spans="1:8" ht="13.7" customHeight="1" x14ac:dyDescent="0.2">
      <c r="A8" s="579" t="s">
        <v>1168</v>
      </c>
      <c r="B8" s="1709">
        <f>'Revenues 9-14'!G5</f>
        <v>64565</v>
      </c>
      <c r="C8" s="1654"/>
      <c r="D8" s="1710">
        <f t="shared" si="0"/>
        <v>64565</v>
      </c>
      <c r="E8" s="1654">
        <v>65000</v>
      </c>
      <c r="F8" s="1710">
        <f t="shared" si="1"/>
        <v>65000</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11044</v>
      </c>
      <c r="C10" s="1654"/>
      <c r="D10" s="1710">
        <f t="shared" si="0"/>
        <v>11044</v>
      </c>
      <c r="E10" s="1654">
        <v>11982</v>
      </c>
      <c r="F10" s="1710">
        <f t="shared" si="1"/>
        <v>11982</v>
      </c>
    </row>
    <row r="11" spans="1:8" x14ac:dyDescent="0.2">
      <c r="A11" s="579" t="s">
        <v>406</v>
      </c>
      <c r="B11" s="1709">
        <f>'Revenues 9-14'!J5</f>
        <v>114220</v>
      </c>
      <c r="C11" s="1654"/>
      <c r="D11" s="1710">
        <f t="shared" si="0"/>
        <v>114220</v>
      </c>
      <c r="E11" s="1654">
        <v>110000</v>
      </c>
      <c r="F11" s="1710">
        <f t="shared" si="1"/>
        <v>110000</v>
      </c>
    </row>
    <row r="12" spans="1:8" ht="13.7" customHeight="1" x14ac:dyDescent="0.2">
      <c r="A12" s="579" t="s">
        <v>156</v>
      </c>
      <c r="B12" s="1709">
        <f>'Revenues 9-14'!K5</f>
        <v>11044</v>
      </c>
      <c r="C12" s="1654"/>
      <c r="D12" s="1710">
        <f t="shared" si="0"/>
        <v>11044</v>
      </c>
      <c r="E12" s="1654">
        <v>11982</v>
      </c>
      <c r="F12" s="1710">
        <f t="shared" si="1"/>
        <v>11982</v>
      </c>
    </row>
    <row r="13" spans="1:8" ht="13.7" customHeight="1" x14ac:dyDescent="0.2">
      <c r="A13" s="579" t="s">
        <v>929</v>
      </c>
      <c r="B13" s="1709">
        <f>SUM('Revenues 9-14'!C6:D6)</f>
        <v>11044</v>
      </c>
      <c r="C13" s="1654"/>
      <c r="D13" s="1710">
        <f t="shared" si="0"/>
        <v>11044</v>
      </c>
      <c r="E13" s="1654">
        <v>11982</v>
      </c>
      <c r="F13" s="1710">
        <f t="shared" si="1"/>
        <v>11982</v>
      </c>
    </row>
    <row r="14" spans="1:8" ht="13.7" customHeight="1" x14ac:dyDescent="0.2">
      <c r="A14" s="579" t="s">
        <v>407</v>
      </c>
      <c r="B14" s="1709">
        <f>SUM('Revenues 9-14'!C7:D7,'Revenues 9-14'!F7:H7)</f>
        <v>8836</v>
      </c>
      <c r="C14" s="1654"/>
      <c r="D14" s="1710">
        <f t="shared" si="0"/>
        <v>8836</v>
      </c>
      <c r="E14" s="1654">
        <v>9585</v>
      </c>
      <c r="F14" s="1710">
        <f t="shared" si="1"/>
        <v>9585</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69522</v>
      </c>
      <c r="C16" s="1654"/>
      <c r="D16" s="1710">
        <f t="shared" si="0"/>
        <v>69522</v>
      </c>
      <c r="E16" s="1654">
        <v>69999</v>
      </c>
      <c r="F16" s="1710">
        <f t="shared" si="1"/>
        <v>69999</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1019058</v>
      </c>
      <c r="C19" s="1711">
        <f>SUM(C4:C18)</f>
        <v>0</v>
      </c>
      <c r="D19" s="1711">
        <f>SUM(D4:D18)</f>
        <v>1019058</v>
      </c>
      <c r="E19" s="1711">
        <f>SUM(E4:E18)</f>
        <v>1069416</v>
      </c>
      <c r="F19" s="1711">
        <f>SUM(F4:F18)</f>
        <v>1069416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8" t="s">
        <v>625</v>
      </c>
      <c r="B1" s="2279"/>
      <c r="C1" s="585"/>
    </row>
    <row r="2" spans="1:7" ht="33.75" x14ac:dyDescent="0.2">
      <c r="A2" s="2287" t="s">
        <v>1776</v>
      </c>
      <c r="B2" s="2288"/>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1" t="s">
        <v>1103</v>
      </c>
      <c r="B3" s="2292"/>
      <c r="C3" s="2280"/>
      <c r="D3" s="2281"/>
      <c r="E3" s="2281"/>
      <c r="F3" s="2282"/>
    </row>
    <row r="4" spans="1:7" ht="12.75" customHeight="1" thickBot="1" x14ac:dyDescent="0.25">
      <c r="A4" s="2289" t="s">
        <v>626</v>
      </c>
      <c r="B4" s="2290"/>
      <c r="C4" s="1647"/>
      <c r="D4" s="1647"/>
      <c r="E4" s="1647"/>
      <c r="F4" s="1717">
        <f>SUM(C4+D4)-E4</f>
        <v>0</v>
      </c>
    </row>
    <row r="5" spans="1:7" ht="15.75" customHeight="1" thickTop="1" x14ac:dyDescent="0.2">
      <c r="A5" s="2274" t="s">
        <v>1100</v>
      </c>
      <c r="B5" s="2275"/>
      <c r="C5" s="2283"/>
      <c r="D5" s="2284"/>
      <c r="E5" s="2284"/>
      <c r="F5" s="2285"/>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76" t="s">
        <v>627</v>
      </c>
      <c r="B15" s="2277"/>
      <c r="C15" s="1717">
        <f>SUM(C6:C14)</f>
        <v>0</v>
      </c>
      <c r="D15" s="1717">
        <f>SUM(D6:D14)</f>
        <v>0</v>
      </c>
      <c r="E15" s="1717">
        <f>SUM(E6:E14)</f>
        <v>0</v>
      </c>
      <c r="F15" s="1717">
        <f>SUM(F6:F14)</f>
        <v>0</v>
      </c>
      <c r="G15" s="473"/>
    </row>
    <row r="16" spans="1:7" s="197" customFormat="1" ht="15.75" customHeight="1" thickTop="1" x14ac:dyDescent="0.2">
      <c r="A16" s="2286" t="s">
        <v>1101</v>
      </c>
      <c r="B16" s="2275"/>
      <c r="C16" s="2283"/>
      <c r="D16" s="2284"/>
      <c r="E16" s="2284"/>
      <c r="F16" s="2285"/>
    </row>
    <row r="17" spans="1:11" ht="12.75" customHeight="1" thickBot="1" x14ac:dyDescent="0.25">
      <c r="A17" s="2299" t="s">
        <v>64</v>
      </c>
      <c r="B17" s="2300"/>
      <c r="C17" s="1718"/>
      <c r="D17" s="1654"/>
      <c r="E17" s="1718"/>
      <c r="F17" s="1717">
        <f>SUM(C17+D17)-E17</f>
        <v>0</v>
      </c>
    </row>
    <row r="18" spans="1:11" ht="12.75" customHeight="1" thickTop="1" thickBot="1" x14ac:dyDescent="0.25">
      <c r="A18" s="2299" t="s">
        <v>6</v>
      </c>
      <c r="B18" s="2300"/>
      <c r="C18" s="1718"/>
      <c r="D18" s="1654"/>
      <c r="E18" s="1718"/>
      <c r="F18" s="1717">
        <f>SUM(C18+D18)-E18</f>
        <v>0</v>
      </c>
    </row>
    <row r="19" spans="1:11" ht="12.75" customHeight="1" thickTop="1" thickBot="1" x14ac:dyDescent="0.25">
      <c r="A19" s="2299" t="s">
        <v>385</v>
      </c>
      <c r="B19" s="2300"/>
      <c r="C19" s="1718"/>
      <c r="D19" s="1654"/>
      <c r="E19" s="1718"/>
      <c r="F19" s="1717">
        <f>SUM(C19+D19)-E19</f>
        <v>0</v>
      </c>
    </row>
    <row r="20" spans="1:11" ht="12.75" customHeight="1" thickTop="1" thickBot="1" x14ac:dyDescent="0.25">
      <c r="A20" s="2299" t="s">
        <v>445</v>
      </c>
      <c r="B20" s="2300"/>
      <c r="C20" s="1718"/>
      <c r="D20" s="1654"/>
      <c r="E20" s="1718"/>
      <c r="F20" s="1717">
        <f>SUM(C20+D20)-E20</f>
        <v>0</v>
      </c>
    </row>
    <row r="21" spans="1:11" ht="14.25" thickTop="1" thickBot="1" x14ac:dyDescent="0.25">
      <c r="A21" s="2276" t="s">
        <v>628</v>
      </c>
      <c r="B21" s="2277"/>
      <c r="C21" s="1717">
        <f>SUM(C17:C20)</f>
        <v>0</v>
      </c>
      <c r="D21" s="1717">
        <f>SUM(D17:D20)</f>
        <v>0</v>
      </c>
      <c r="E21" s="1717">
        <f>SUM(E17:E20)</f>
        <v>0</v>
      </c>
      <c r="F21" s="1717">
        <f>SUM(F17:F20)</f>
        <v>0</v>
      </c>
      <c r="G21" s="473"/>
    </row>
    <row r="22" spans="1:11" ht="15.75" customHeight="1" thickTop="1" x14ac:dyDescent="0.2">
      <c r="A22" s="2301" t="s">
        <v>1102</v>
      </c>
      <c r="B22" s="2275"/>
      <c r="C22" s="2283"/>
      <c r="D22" s="2284"/>
      <c r="E22" s="2284"/>
      <c r="F22" s="2285"/>
    </row>
    <row r="23" spans="1:11" ht="13.5" thickBot="1" x14ac:dyDescent="0.25">
      <c r="A23" s="2289" t="s">
        <v>629</v>
      </c>
      <c r="B23" s="2290"/>
      <c r="C23" s="1647"/>
      <c r="D23" s="1647"/>
      <c r="E23" s="1647"/>
      <c r="F23" s="1717">
        <f>SUM(C23+D23)-E23</f>
        <v>0</v>
      </c>
      <c r="G23" s="473"/>
    </row>
    <row r="24" spans="1:11" ht="15.75" customHeight="1" thickTop="1" x14ac:dyDescent="0.2">
      <c r="A24" s="2301" t="s">
        <v>2003</v>
      </c>
      <c r="B24" s="2275"/>
      <c r="C24" s="2283"/>
      <c r="D24" s="2284"/>
      <c r="E24" s="2284"/>
      <c r="F24" s="2285"/>
    </row>
    <row r="25" spans="1:11" ht="13.5" thickBot="1" x14ac:dyDescent="0.25">
      <c r="A25" s="2289" t="s">
        <v>2004</v>
      </c>
      <c r="B25" s="2290"/>
      <c r="C25" s="1647"/>
      <c r="D25" s="1647"/>
      <c r="E25" s="1647"/>
      <c r="F25" s="1717">
        <f>SUM(C25+D25)-E25</f>
        <v>0</v>
      </c>
      <c r="G25" s="473"/>
    </row>
    <row r="26" spans="1:11" ht="15.75" customHeight="1" thickTop="1" x14ac:dyDescent="0.2">
      <c r="A26" s="2274" t="s">
        <v>652</v>
      </c>
      <c r="B26" s="2275"/>
      <c r="C26" s="589"/>
      <c r="D26" s="589"/>
      <c r="E26" s="589"/>
      <c r="F26" s="590"/>
    </row>
    <row r="27" spans="1:11" ht="13.5" thickBot="1" x14ac:dyDescent="0.25">
      <c r="A27" s="2276" t="s">
        <v>1060</v>
      </c>
      <c r="B27" s="2277"/>
      <c r="C27" s="1654"/>
      <c r="D27" s="1654"/>
      <c r="E27" s="1654"/>
      <c r="F27" s="1717">
        <f>SUM(C27+D27)-E27</f>
        <v>0</v>
      </c>
      <c r="G27" s="473"/>
    </row>
    <row r="28" spans="1:11" ht="7.5" customHeight="1" thickTop="1" x14ac:dyDescent="0.2">
      <c r="A28" s="489"/>
    </row>
    <row r="29" spans="1:11" ht="23.25" customHeight="1" x14ac:dyDescent="0.2">
      <c r="A29" s="2302" t="s">
        <v>578</v>
      </c>
      <c r="B29" s="2279"/>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2038</v>
      </c>
      <c r="B31" s="595">
        <v>39519</v>
      </c>
      <c r="C31" s="1719">
        <v>236667</v>
      </c>
      <c r="D31" s="1720">
        <v>7</v>
      </c>
      <c r="E31" s="1719">
        <v>80099</v>
      </c>
      <c r="F31" s="1719"/>
      <c r="G31" s="1719"/>
      <c r="H31" s="1719">
        <v>15546</v>
      </c>
      <c r="I31" s="1721">
        <f>((E31+F31)-H31)+G31</f>
        <v>64553</v>
      </c>
      <c r="J31" s="1719">
        <v>61954</v>
      </c>
      <c r="K31" s="596"/>
    </row>
    <row r="32" spans="1:11" ht="12" customHeight="1" x14ac:dyDescent="0.2">
      <c r="A32" s="594" t="s">
        <v>2039</v>
      </c>
      <c r="B32" s="595">
        <v>39519</v>
      </c>
      <c r="C32" s="1719">
        <v>236667</v>
      </c>
      <c r="D32" s="1720">
        <v>7</v>
      </c>
      <c r="E32" s="1719">
        <v>80098</v>
      </c>
      <c r="F32" s="1719"/>
      <c r="G32" s="1719"/>
      <c r="H32" s="1719">
        <v>15546</v>
      </c>
      <c r="I32" s="1721">
        <f>((E32+F32)-H32)+G32</f>
        <v>64552</v>
      </c>
      <c r="J32" s="1719">
        <v>64552</v>
      </c>
      <c r="K32" s="596"/>
    </row>
    <row r="33" spans="1:11" ht="12" customHeight="1" x14ac:dyDescent="0.2">
      <c r="A33" s="594" t="s">
        <v>2040</v>
      </c>
      <c r="B33" s="595">
        <v>39519</v>
      </c>
      <c r="C33" s="1719">
        <v>236666</v>
      </c>
      <c r="D33" s="1720">
        <v>7</v>
      </c>
      <c r="E33" s="1719">
        <v>80099</v>
      </c>
      <c r="F33" s="1719"/>
      <c r="G33" s="1719"/>
      <c r="H33" s="1719">
        <v>15547</v>
      </c>
      <c r="I33" s="1721">
        <f t="shared" ref="I33:I48" si="1">((E33+F33)-H33)+G33</f>
        <v>64552</v>
      </c>
      <c r="J33" s="1719">
        <v>64552</v>
      </c>
      <c r="K33" s="596"/>
    </row>
    <row r="34" spans="1:11" ht="12" customHeight="1" x14ac:dyDescent="0.2">
      <c r="A34" s="594" t="s">
        <v>2041</v>
      </c>
      <c r="B34" s="595">
        <v>40633</v>
      </c>
      <c r="C34" s="1719">
        <v>265000</v>
      </c>
      <c r="D34" s="1720">
        <v>7</v>
      </c>
      <c r="E34" s="1719">
        <v>133000</v>
      </c>
      <c r="F34" s="1719"/>
      <c r="G34" s="1719"/>
      <c r="H34" s="1719">
        <v>19000</v>
      </c>
      <c r="I34" s="1721">
        <f t="shared" si="1"/>
        <v>114000</v>
      </c>
      <c r="J34" s="1719">
        <v>114000</v>
      </c>
      <c r="K34" s="597"/>
    </row>
    <row r="35" spans="1:11" ht="12" customHeight="1" x14ac:dyDescent="0.2">
      <c r="A35" s="594" t="s">
        <v>2122</v>
      </c>
      <c r="B35" s="595">
        <v>40633</v>
      </c>
      <c r="C35" s="1722">
        <v>500000</v>
      </c>
      <c r="D35" s="1720">
        <v>7</v>
      </c>
      <c r="E35" s="1722">
        <v>252000</v>
      </c>
      <c r="F35" s="1722"/>
      <c r="G35" s="1722"/>
      <c r="H35" s="1722">
        <v>36000</v>
      </c>
      <c r="I35" s="1721">
        <f t="shared" si="1"/>
        <v>216000</v>
      </c>
      <c r="J35" s="1722">
        <v>216000</v>
      </c>
      <c r="K35" s="597"/>
    </row>
    <row r="36" spans="1:11" ht="12" customHeight="1" x14ac:dyDescent="0.2">
      <c r="A36" s="594" t="s">
        <v>2037</v>
      </c>
      <c r="B36" s="595">
        <v>43538</v>
      </c>
      <c r="C36" s="1719">
        <v>301300</v>
      </c>
      <c r="D36" s="1720">
        <v>3</v>
      </c>
      <c r="E36" s="1719">
        <v>301300</v>
      </c>
      <c r="F36" s="1719"/>
      <c r="G36" s="1719"/>
      <c r="H36" s="1719">
        <v>40700</v>
      </c>
      <c r="I36" s="1721">
        <f t="shared" si="1"/>
        <v>260600</v>
      </c>
      <c r="J36" s="1719">
        <v>260600</v>
      </c>
      <c r="K36" s="598"/>
    </row>
    <row r="37" spans="1:11" ht="12" customHeight="1" x14ac:dyDescent="0.2">
      <c r="A37" s="594" t="s">
        <v>2123</v>
      </c>
      <c r="B37" s="595">
        <v>43837</v>
      </c>
      <c r="C37" s="1574">
        <v>2500000</v>
      </c>
      <c r="D37" s="1723">
        <v>8</v>
      </c>
      <c r="E37" s="1574"/>
      <c r="F37" s="1574">
        <v>2500000</v>
      </c>
      <c r="G37" s="1574"/>
      <c r="H37" s="1574"/>
      <c r="I37" s="1721">
        <f t="shared" si="1"/>
        <v>2500000</v>
      </c>
      <c r="J37" s="1574">
        <v>2383328</v>
      </c>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4276300</v>
      </c>
      <c r="D49" s="1727"/>
      <c r="E49" s="1721">
        <f t="shared" ref="E49:J49" si="2">SUM(E31:E48)</f>
        <v>926596</v>
      </c>
      <c r="F49" s="1721">
        <f t="shared" si="2"/>
        <v>2500000</v>
      </c>
      <c r="G49" s="1721">
        <f t="shared" si="2"/>
        <v>0</v>
      </c>
      <c r="H49" s="1721">
        <f t="shared" si="2"/>
        <v>142339</v>
      </c>
      <c r="I49" s="1721">
        <f t="shared" si="2"/>
        <v>3284257</v>
      </c>
      <c r="J49" s="1721">
        <f t="shared" si="2"/>
        <v>3164986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3" t="s">
        <v>580</v>
      </c>
      <c r="C52" s="2294"/>
      <c r="D52" s="2294"/>
      <c r="E52" s="603" t="s">
        <v>839</v>
      </c>
      <c r="F52" s="2295" t="s">
        <v>2036</v>
      </c>
      <c r="G52" s="2296"/>
      <c r="H52" s="596"/>
      <c r="I52" s="596"/>
      <c r="J52" s="600"/>
    </row>
    <row r="53" spans="1:11" ht="11.25" customHeight="1" x14ac:dyDescent="0.2">
      <c r="A53" s="604" t="s">
        <v>906</v>
      </c>
      <c r="B53" s="605" t="s">
        <v>944</v>
      </c>
      <c r="C53" s="600"/>
      <c r="D53" s="597"/>
      <c r="E53" s="603" t="s">
        <v>494</v>
      </c>
      <c r="F53" s="2297" t="s">
        <v>2124</v>
      </c>
      <c r="G53" s="2298"/>
      <c r="H53" s="596"/>
      <c r="I53" s="596"/>
      <c r="J53" s="600"/>
    </row>
    <row r="54" spans="1:11" ht="11.25" customHeight="1" x14ac:dyDescent="0.2">
      <c r="A54" s="606" t="s">
        <v>907</v>
      </c>
      <c r="B54" s="601" t="s">
        <v>945</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98"/>
      <c r="I1" s="614"/>
      <c r="J1" s="400"/>
    </row>
    <row r="2" spans="1:11" ht="26.25" x14ac:dyDescent="0.2">
      <c r="A2" s="2306" t="s">
        <v>1655</v>
      </c>
      <c r="B2" s="2307"/>
      <c r="C2" s="2307"/>
      <c r="D2" s="2307"/>
      <c r="E2" s="2308"/>
      <c r="F2" s="615" t="s">
        <v>897</v>
      </c>
      <c r="G2" s="616" t="s">
        <v>1652</v>
      </c>
      <c r="H2" s="616" t="s">
        <v>407</v>
      </c>
      <c r="I2" s="616" t="s">
        <v>1147</v>
      </c>
      <c r="J2" s="616" t="s">
        <v>1786</v>
      </c>
      <c r="K2" s="616" t="s">
        <v>137</v>
      </c>
    </row>
    <row r="3" spans="1:11" x14ac:dyDescent="0.2">
      <c r="A3" s="2309" t="str">
        <f>"Cash Basis Fund Balance as of July 1, "&amp;'AFR20'!E2-1</f>
        <v>Cash Basis Fund Balance as of July 1, 2019</v>
      </c>
      <c r="B3" s="2310"/>
      <c r="C3" s="2310"/>
      <c r="D3" s="2310"/>
      <c r="E3" s="2311"/>
      <c r="F3" s="617"/>
      <c r="G3" s="1729"/>
      <c r="H3" s="1729"/>
      <c r="I3" s="1729"/>
      <c r="J3" s="1730"/>
      <c r="K3" s="1730"/>
    </row>
    <row r="4" spans="1:11" x14ac:dyDescent="0.2">
      <c r="A4" s="2312" t="s">
        <v>366</v>
      </c>
      <c r="B4" s="2313"/>
      <c r="C4" s="2313"/>
      <c r="D4" s="2313"/>
      <c r="E4" s="2294"/>
      <c r="F4" s="620"/>
      <c r="G4" s="1731"/>
      <c r="H4" s="1732"/>
      <c r="I4" s="1731"/>
      <c r="J4" s="1733"/>
      <c r="K4" s="1733"/>
    </row>
    <row r="5" spans="1:11" x14ac:dyDescent="0.2">
      <c r="A5" s="2332" t="s">
        <v>1059</v>
      </c>
      <c r="B5" s="2303"/>
      <c r="C5" s="2303"/>
      <c r="D5" s="2303"/>
      <c r="E5" s="2333"/>
      <c r="F5" s="622" t="s">
        <v>842</v>
      </c>
      <c r="G5" s="1734"/>
      <c r="H5" s="1729">
        <v>8836</v>
      </c>
      <c r="I5" s="1735"/>
      <c r="J5" s="1736"/>
      <c r="K5" s="1736"/>
    </row>
    <row r="6" spans="1:11" x14ac:dyDescent="0.2">
      <c r="A6" s="625" t="s">
        <v>714</v>
      </c>
      <c r="B6" s="626"/>
      <c r="C6" s="626"/>
      <c r="D6" s="626"/>
      <c r="E6" s="627"/>
      <c r="F6" s="628" t="s">
        <v>843</v>
      </c>
      <c r="G6" s="1729"/>
      <c r="H6" s="1729"/>
      <c r="I6" s="1729"/>
      <c r="J6" s="1730">
        <v>140</v>
      </c>
      <c r="K6" s="1730"/>
    </row>
    <row r="7" spans="1:11" x14ac:dyDescent="0.2">
      <c r="A7" s="629" t="s">
        <v>244</v>
      </c>
      <c r="B7" s="630"/>
      <c r="C7" s="630"/>
      <c r="D7" s="630"/>
      <c r="E7" s="631"/>
      <c r="F7" s="622" t="s">
        <v>844</v>
      </c>
      <c r="G7" s="1731"/>
      <c r="H7" s="1731"/>
      <c r="I7" s="1731"/>
      <c r="J7" s="1737"/>
      <c r="K7" s="1730">
        <v>1175</v>
      </c>
    </row>
    <row r="8" spans="1:11" x14ac:dyDescent="0.2">
      <c r="A8" s="629" t="s">
        <v>342</v>
      </c>
      <c r="B8" s="630"/>
      <c r="C8" s="630"/>
      <c r="D8" s="630"/>
      <c r="E8" s="631"/>
      <c r="F8" s="622" t="s">
        <v>845</v>
      </c>
      <c r="G8" s="1738"/>
      <c r="H8" s="1738"/>
      <c r="I8" s="1738"/>
      <c r="J8" s="1730">
        <v>126535</v>
      </c>
      <c r="K8" s="1733"/>
    </row>
    <row r="9" spans="1:11" x14ac:dyDescent="0.2">
      <c r="A9" s="629" t="s">
        <v>137</v>
      </c>
      <c r="B9" s="630"/>
      <c r="C9" s="630"/>
      <c r="D9" s="630"/>
      <c r="E9" s="631"/>
      <c r="F9" s="628" t="s">
        <v>847</v>
      </c>
      <c r="G9" s="1738"/>
      <c r="H9" s="1734"/>
      <c r="I9" s="1734"/>
      <c r="J9" s="1737"/>
      <c r="K9" s="1730">
        <v>2342</v>
      </c>
    </row>
    <row r="10" spans="1:11" x14ac:dyDescent="0.2">
      <c r="A10" s="2332" t="s">
        <v>1787</v>
      </c>
      <c r="B10" s="2303"/>
      <c r="C10" s="2303"/>
      <c r="D10" s="2303"/>
      <c r="E10" s="2334"/>
      <c r="F10" s="633" t="s">
        <v>856</v>
      </c>
      <c r="G10" s="1738"/>
      <c r="H10" s="1739">
        <v>33</v>
      </c>
      <c r="I10" s="1729"/>
      <c r="J10" s="1730"/>
      <c r="K10" s="1730"/>
    </row>
    <row r="11" spans="1:11" x14ac:dyDescent="0.2">
      <c r="A11" s="2332" t="s">
        <v>159</v>
      </c>
      <c r="B11" s="2303"/>
      <c r="C11" s="2303"/>
      <c r="D11" s="2303"/>
      <c r="E11" s="2333"/>
      <c r="F11" s="622" t="s">
        <v>846</v>
      </c>
      <c r="G11" s="1734"/>
      <c r="H11" s="1729"/>
      <c r="I11" s="1729"/>
      <c r="J11" s="1730"/>
      <c r="K11" s="1736"/>
    </row>
    <row r="12" spans="1:11" ht="13.5" thickBot="1" x14ac:dyDescent="0.25">
      <c r="A12" s="2320" t="s">
        <v>898</v>
      </c>
      <c r="B12" s="2321"/>
      <c r="C12" s="2321"/>
      <c r="D12" s="2321"/>
      <c r="E12" s="2322"/>
      <c r="F12" s="1433"/>
      <c r="G12" s="1740">
        <f>SUM(G5:G11)</f>
        <v>0</v>
      </c>
      <c r="H12" s="1740">
        <f>SUM(H5:H11)</f>
        <v>8869</v>
      </c>
      <c r="I12" s="1740">
        <f>SUM(I5:I11)</f>
        <v>0</v>
      </c>
      <c r="J12" s="1740">
        <f>SUM(J5:J11)</f>
        <v>126675</v>
      </c>
      <c r="K12" s="1740">
        <f>SUM(K5:K11)</f>
        <v>3517</v>
      </c>
    </row>
    <row r="13" spans="1:11" ht="13.5" thickTop="1" x14ac:dyDescent="0.2">
      <c r="A13" s="2314" t="s">
        <v>367</v>
      </c>
      <c r="B13" s="2315"/>
      <c r="C13" s="2315"/>
      <c r="D13" s="2315"/>
      <c r="E13" s="2316"/>
      <c r="F13" s="634"/>
      <c r="G13" s="1741"/>
      <c r="H13" s="1742"/>
      <c r="I13" s="1743"/>
      <c r="J13" s="1743"/>
      <c r="K13" s="1743"/>
    </row>
    <row r="14" spans="1:11" x14ac:dyDescent="0.2">
      <c r="A14" s="2338" t="s">
        <v>453</v>
      </c>
      <c r="B14" s="2338"/>
      <c r="C14" s="2338"/>
      <c r="D14" s="2338"/>
      <c r="E14" s="2339"/>
      <c r="F14" s="635" t="s">
        <v>848</v>
      </c>
      <c r="G14" s="1738"/>
      <c r="H14" s="1729">
        <v>8869</v>
      </c>
      <c r="I14" s="1734"/>
      <c r="J14" s="1736"/>
      <c r="K14" s="1730">
        <v>3517</v>
      </c>
    </row>
    <row r="15" spans="1:11" x14ac:dyDescent="0.2">
      <c r="A15" s="2303" t="s">
        <v>4</v>
      </c>
      <c r="B15" s="2303"/>
      <c r="C15" s="2303"/>
      <c r="D15" s="2303"/>
      <c r="E15" s="2333"/>
      <c r="F15" s="635" t="s">
        <v>849</v>
      </c>
      <c r="G15" s="1734"/>
      <c r="H15" s="1729"/>
      <c r="I15" s="1729"/>
      <c r="J15" s="1730">
        <v>1550</v>
      </c>
      <c r="K15" s="1730"/>
    </row>
    <row r="16" spans="1:11" x14ac:dyDescent="0.2">
      <c r="A16" s="2303" t="s">
        <v>295</v>
      </c>
      <c r="B16" s="2303"/>
      <c r="C16" s="2303"/>
      <c r="D16" s="2303"/>
      <c r="E16" s="2333"/>
      <c r="F16" s="635" t="s">
        <v>916</v>
      </c>
      <c r="G16" s="1735"/>
      <c r="H16" s="1731"/>
      <c r="I16" s="1731"/>
      <c r="J16" s="1733"/>
      <c r="K16" s="1733"/>
    </row>
    <row r="17" spans="1:15" x14ac:dyDescent="0.2">
      <c r="A17" s="2327" t="s">
        <v>928</v>
      </c>
      <c r="B17" s="2327"/>
      <c r="C17" s="2327"/>
      <c r="D17" s="2327"/>
      <c r="E17" s="2328"/>
      <c r="F17" s="636"/>
      <c r="G17" s="1744"/>
      <c r="H17" s="1745"/>
      <c r="I17" s="1745"/>
      <c r="J17" s="1746"/>
      <c r="K17" s="1747"/>
    </row>
    <row r="18" spans="1:15" x14ac:dyDescent="0.2">
      <c r="A18" s="2317" t="s">
        <v>365</v>
      </c>
      <c r="B18" s="2318"/>
      <c r="C18" s="2318"/>
      <c r="D18" s="2318"/>
      <c r="E18" s="2319"/>
      <c r="F18" s="635" t="s">
        <v>925</v>
      </c>
      <c r="G18" s="1738"/>
      <c r="H18" s="1738"/>
      <c r="I18" s="1738"/>
      <c r="J18" s="1730"/>
      <c r="K18" s="1748"/>
    </row>
    <row r="19" spans="1:15" ht="21.75" customHeight="1" x14ac:dyDescent="0.2">
      <c r="A19" s="2340" t="s">
        <v>1783</v>
      </c>
      <c r="B19" s="2340"/>
      <c r="C19" s="2340"/>
      <c r="D19" s="2340"/>
      <c r="E19" s="2341"/>
      <c r="F19" s="635" t="s">
        <v>926</v>
      </c>
      <c r="G19" s="1738"/>
      <c r="H19" s="1738"/>
      <c r="I19" s="1738"/>
      <c r="J19" s="1730"/>
      <c r="K19" s="1748"/>
    </row>
    <row r="20" spans="1:15" x14ac:dyDescent="0.2">
      <c r="A20" s="2317" t="s">
        <v>1788</v>
      </c>
      <c r="B20" s="2318"/>
      <c r="C20" s="2318"/>
      <c r="D20" s="2318"/>
      <c r="E20" s="2319"/>
      <c r="F20" s="635" t="s">
        <v>927</v>
      </c>
      <c r="G20" s="1738"/>
      <c r="H20" s="1738"/>
      <c r="I20" s="1738"/>
      <c r="J20" s="1730"/>
      <c r="K20" s="1748"/>
    </row>
    <row r="21" spans="1:15" ht="13.5" thickBot="1" x14ac:dyDescent="0.25">
      <c r="A21" s="2323" t="s">
        <v>633</v>
      </c>
      <c r="B21" s="2323"/>
      <c r="C21" s="2323"/>
      <c r="D21" s="2323"/>
      <c r="E21" s="2323"/>
      <c r="F21" s="1434"/>
      <c r="G21" s="1745"/>
      <c r="H21" s="1749"/>
      <c r="I21" s="1749"/>
      <c r="J21" s="1750">
        <f>SUM(J18:J20)</f>
        <v>0</v>
      </c>
      <c r="K21" s="1746"/>
    </row>
    <row r="22" spans="1:15" ht="13.5" thickTop="1" x14ac:dyDescent="0.2">
      <c r="A22" s="2303" t="s">
        <v>1789</v>
      </c>
      <c r="B22" s="2303"/>
      <c r="C22" s="2303"/>
      <c r="D22" s="2303"/>
      <c r="E22" s="2333"/>
      <c r="F22" s="635" t="s">
        <v>856</v>
      </c>
      <c r="G22" s="1738"/>
      <c r="H22" s="1729"/>
      <c r="I22" s="1729"/>
      <c r="J22" s="1751"/>
      <c r="K22" s="1730"/>
    </row>
    <row r="23" spans="1:15" ht="13.5" thickBot="1" x14ac:dyDescent="0.25">
      <c r="A23" s="2324" t="s">
        <v>899</v>
      </c>
      <c r="B23" s="2323"/>
      <c r="C23" s="2323"/>
      <c r="D23" s="2323"/>
      <c r="E23" s="2323"/>
      <c r="F23" s="1436"/>
      <c r="G23" s="1740">
        <f>SUM(G14:G16,G21,G22)</f>
        <v>0</v>
      </c>
      <c r="H23" s="1740">
        <f>SUM(H14:H16,H21,H22)</f>
        <v>8869</v>
      </c>
      <c r="I23" s="1740">
        <f>SUM(I14:I16,I21,I22)</f>
        <v>0</v>
      </c>
      <c r="J23" s="1740">
        <f>SUM(J14:J16,J21,J22)</f>
        <v>1550</v>
      </c>
      <c r="K23" s="1740">
        <f>SUM(K14:K16,K21,K22)</f>
        <v>3517</v>
      </c>
      <c r="M23" s="1831"/>
      <c r="N23" s="1831"/>
      <c r="O23" s="1831"/>
    </row>
    <row r="24" spans="1:15" ht="14.25" thickTop="1" thickBot="1" x14ac:dyDescent="0.25">
      <c r="A24" s="2325" t="str">
        <f>"Ending Cash Basis Fund Balance as of June 30, "&amp;'AFR20'!E2</f>
        <v>Ending Cash Basis Fund Balance as of June 30, 2020</v>
      </c>
      <c r="B24" s="2326"/>
      <c r="C24" s="2326"/>
      <c r="D24" s="2326"/>
      <c r="E24" s="2326"/>
      <c r="F24" s="1437"/>
      <c r="G24" s="1752">
        <f>SUM(G3,G12)-G23</f>
        <v>0</v>
      </c>
      <c r="H24" s="1752">
        <f>SUM(H3,H12)-H23</f>
        <v>0</v>
      </c>
      <c r="I24" s="1752">
        <f>SUM(I3,I12)-I23</f>
        <v>0</v>
      </c>
      <c r="J24" s="1752">
        <f>SUM(J3,J12)-J23</f>
        <v>125125</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125125</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1158</v>
      </c>
      <c r="B33" s="341"/>
      <c r="C33" s="341"/>
      <c r="D33" s="341"/>
      <c r="E33" s="341"/>
      <c r="F33" s="341"/>
      <c r="G33" s="653"/>
      <c r="H33" s="2337"/>
      <c r="I33" s="2336"/>
      <c r="J33" s="2336"/>
      <c r="K33" s="2336"/>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3" t="s">
        <v>538</v>
      </c>
      <c r="B41" s="2304"/>
      <c r="C41" s="2304"/>
      <c r="D41" s="2304"/>
      <c r="E41" s="2304"/>
      <c r="F41" s="230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1872</v>
      </c>
      <c r="B1" s="2345"/>
      <c r="C1" s="2346"/>
      <c r="D1" s="666"/>
      <c r="E1" s="667"/>
      <c r="F1" s="667"/>
      <c r="G1" s="668"/>
      <c r="H1" s="669"/>
      <c r="I1" s="670"/>
      <c r="J1" s="2342"/>
      <c r="K1" s="2343"/>
      <c r="L1" s="2343"/>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41000</v>
      </c>
      <c r="D5" s="1755">
        <v>5608</v>
      </c>
      <c r="E5" s="1755"/>
      <c r="F5" s="1750">
        <f>(C5+D5)-E5</f>
        <v>46608</v>
      </c>
      <c r="G5" s="676"/>
      <c r="H5" s="680"/>
      <c r="I5" s="680"/>
      <c r="J5" s="680"/>
      <c r="K5" s="637"/>
      <c r="L5" s="1442">
        <f>F5-K5</f>
        <v>46608</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6199755</v>
      </c>
      <c r="D8" s="1756">
        <v>143151</v>
      </c>
      <c r="E8" s="1756"/>
      <c r="F8" s="1750">
        <f>(C8+D8)-E8</f>
        <v>6342906</v>
      </c>
      <c r="G8" s="681">
        <v>50</v>
      </c>
      <c r="H8" s="619">
        <v>2912906</v>
      </c>
      <c r="I8" s="619">
        <v>97233</v>
      </c>
      <c r="J8" s="619"/>
      <c r="K8" s="1442">
        <f>(H8+I8)-J8</f>
        <v>3010139</v>
      </c>
      <c r="L8" s="1442">
        <f>F8-K8</f>
        <v>3332767</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345458</v>
      </c>
      <c r="D10" s="1757">
        <v>21300</v>
      </c>
      <c r="E10" s="1757"/>
      <c r="F10" s="1758">
        <f>(C10+D10)-E10</f>
        <v>366758</v>
      </c>
      <c r="G10" s="681">
        <v>20</v>
      </c>
      <c r="H10" s="683">
        <v>187103</v>
      </c>
      <c r="I10" s="683">
        <v>11092</v>
      </c>
      <c r="J10" s="683"/>
      <c r="K10" s="1442">
        <f>(H10+I10)-J10</f>
        <v>198195</v>
      </c>
      <c r="L10" s="1442">
        <f>F10-K10</f>
        <v>168563</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653708</v>
      </c>
      <c r="D12" s="1756">
        <v>36084</v>
      </c>
      <c r="E12" s="1756">
        <v>193320</v>
      </c>
      <c r="F12" s="1750">
        <f>(C12+D12)-E12</f>
        <v>496472</v>
      </c>
      <c r="G12" s="681">
        <v>10</v>
      </c>
      <c r="H12" s="619">
        <v>459335</v>
      </c>
      <c r="I12" s="619">
        <v>49109</v>
      </c>
      <c r="J12" s="619">
        <v>193320</v>
      </c>
      <c r="K12" s="1442">
        <f>(H12+I12)-J12</f>
        <v>315124</v>
      </c>
      <c r="L12" s="1442">
        <f>F12-K12</f>
        <v>181348</v>
      </c>
    </row>
    <row r="13" spans="1:14" ht="14.25" thickTop="1" thickBot="1" x14ac:dyDescent="0.25">
      <c r="A13" s="684" t="s">
        <v>1111</v>
      </c>
      <c r="B13" s="679">
        <v>252</v>
      </c>
      <c r="C13" s="1756">
        <v>241560</v>
      </c>
      <c r="D13" s="1756"/>
      <c r="E13" s="1756"/>
      <c r="F13" s="1750">
        <f>(C13+D13)-E13</f>
        <v>241560</v>
      </c>
      <c r="G13" s="681">
        <v>5</v>
      </c>
      <c r="H13" s="619">
        <v>227722</v>
      </c>
      <c r="I13" s="619">
        <v>4060</v>
      </c>
      <c r="J13" s="619"/>
      <c r="K13" s="1442">
        <f>(H13+I13)-J13</f>
        <v>231782</v>
      </c>
      <c r="L13" s="1442">
        <f>F13-K13</f>
        <v>9778</v>
      </c>
    </row>
    <row r="14" spans="1:14" ht="14.25" thickTop="1" thickBot="1" x14ac:dyDescent="0.25">
      <c r="A14" s="684" t="s">
        <v>1112</v>
      </c>
      <c r="B14" s="679">
        <v>253</v>
      </c>
      <c r="C14" s="1730">
        <v>2755</v>
      </c>
      <c r="D14" s="1730"/>
      <c r="E14" s="1730"/>
      <c r="F14" s="1750">
        <f>(C14+D14)-E14</f>
        <v>2755</v>
      </c>
      <c r="G14" s="681">
        <v>3</v>
      </c>
      <c r="H14" s="619">
        <v>2755</v>
      </c>
      <c r="I14" s="619"/>
      <c r="J14" s="619"/>
      <c r="K14" s="1442">
        <f>(H14+I14)-J14</f>
        <v>2755</v>
      </c>
      <c r="L14" s="1442">
        <f>F14-K14</f>
        <v>0</v>
      </c>
    </row>
    <row r="15" spans="1:14" ht="15" customHeight="1" thickTop="1" thickBot="1" x14ac:dyDescent="0.25">
      <c r="A15" s="1366" t="s">
        <v>525</v>
      </c>
      <c r="B15" s="1365">
        <v>260</v>
      </c>
      <c r="C15" s="1756">
        <v>0</v>
      </c>
      <c r="D15" s="1756">
        <v>1139903</v>
      </c>
      <c r="E15" s="1756"/>
      <c r="F15" s="1750">
        <f>(C15+D15)-E15</f>
        <v>1139903</v>
      </c>
      <c r="G15" s="685" t="s">
        <v>856</v>
      </c>
      <c r="H15" s="632"/>
      <c r="I15" s="632"/>
      <c r="J15" s="632"/>
      <c r="K15" s="632"/>
      <c r="L15" s="1442">
        <f>F15-K15</f>
        <v>1139903</v>
      </c>
    </row>
    <row r="16" spans="1:14" ht="15" customHeight="1" thickTop="1" thickBot="1" x14ac:dyDescent="0.25">
      <c r="A16" s="1438" t="s">
        <v>638</v>
      </c>
      <c r="B16" s="1439">
        <v>200</v>
      </c>
      <c r="C16" s="1750">
        <f>SUM(C3,C5:C6,C8:C10,C12:C15)</f>
        <v>7484236</v>
      </c>
      <c r="D16" s="1750">
        <f>SUM(D3,D5:D6,D8:D10,D12:D15)</f>
        <v>1346046</v>
      </c>
      <c r="E16" s="1750">
        <f>SUM(E3,E5:E6,E8:E10,E12:E15)</f>
        <v>193320</v>
      </c>
      <c r="F16" s="1750">
        <f>SUM(F3,F5:F6,F8:F10,F12:F15)</f>
        <v>8636962</v>
      </c>
      <c r="G16" s="681"/>
      <c r="H16" s="1435">
        <f>SUM(H3,H6,H8:H10,H12:H14,)</f>
        <v>3789821</v>
      </c>
      <c r="I16" s="1435">
        <f>SUM(I3,I6,I8:I10,I12:I14,)</f>
        <v>161494</v>
      </c>
      <c r="J16" s="1435">
        <f>SUM(J3,J6,J8:J10,J12:J14,)</f>
        <v>193320</v>
      </c>
      <c r="K16" s="1435">
        <f>(H16+I16)-J16</f>
        <v>3757995</v>
      </c>
      <c r="L16" s="1435">
        <f>F16-K16</f>
        <v>4878967</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161494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8"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3828221</v>
      </c>
      <c r="G8" s="701"/>
    </row>
    <row r="9" spans="1:9" x14ac:dyDescent="0.2">
      <c r="A9" s="705" t="s">
        <v>457</v>
      </c>
      <c r="B9" s="706" t="s">
        <v>1845</v>
      </c>
      <c r="C9" s="707"/>
      <c r="D9" s="705" t="s">
        <v>498</v>
      </c>
      <c r="E9" s="704"/>
      <c r="F9" s="1760">
        <f>'Expenditures 15-22'!K151</f>
        <v>313053</v>
      </c>
      <c r="G9" s="708"/>
    </row>
    <row r="10" spans="1:9" x14ac:dyDescent="0.2">
      <c r="A10" s="705" t="s">
        <v>496</v>
      </c>
      <c r="B10" s="706" t="s">
        <v>1846</v>
      </c>
      <c r="C10" s="707"/>
      <c r="D10" s="705" t="s">
        <v>498</v>
      </c>
      <c r="E10" s="704"/>
      <c r="F10" s="1760">
        <f>'Expenditures 15-22'!K174</f>
        <v>171701</v>
      </c>
      <c r="G10" s="708"/>
    </row>
    <row r="11" spans="1:9" x14ac:dyDescent="0.2">
      <c r="A11" s="705" t="s">
        <v>458</v>
      </c>
      <c r="B11" s="706" t="s">
        <v>1847</v>
      </c>
      <c r="C11" s="707"/>
      <c r="D11" s="705" t="s">
        <v>498</v>
      </c>
      <c r="E11" s="704"/>
      <c r="F11" s="1760">
        <f>'Expenditures 15-22'!K210</f>
        <v>260303</v>
      </c>
      <c r="G11" s="708"/>
    </row>
    <row r="12" spans="1:9" x14ac:dyDescent="0.2">
      <c r="A12" s="705" t="s">
        <v>459</v>
      </c>
      <c r="B12" s="706" t="s">
        <v>1848</v>
      </c>
      <c r="C12" s="707"/>
      <c r="D12" s="705" t="s">
        <v>498</v>
      </c>
      <c r="E12" s="704"/>
      <c r="F12" s="1760">
        <f>'Expenditures 15-22'!K295</f>
        <v>120251</v>
      </c>
      <c r="G12" s="708"/>
    </row>
    <row r="13" spans="1:9" x14ac:dyDescent="0.2">
      <c r="A13" s="705" t="s">
        <v>106</v>
      </c>
      <c r="B13" s="706" t="s">
        <v>1849</v>
      </c>
      <c r="C13" s="707"/>
      <c r="D13" s="705" t="s">
        <v>498</v>
      </c>
      <c r="E13" s="704"/>
      <c r="F13" s="1760">
        <f>'Expenditures 15-22'!K342</f>
        <v>91143</v>
      </c>
      <c r="G13" s="709"/>
    </row>
    <row r="14" spans="1:9" ht="12" customHeight="1" thickBot="1" x14ac:dyDescent="0.25">
      <c r="A14" s="1443"/>
      <c r="B14" s="1444"/>
      <c r="C14" s="1445"/>
      <c r="D14" s="1446" t="s">
        <v>498</v>
      </c>
      <c r="E14" s="1447" t="s">
        <v>951</v>
      </c>
      <c r="F14" s="1761">
        <f>SUM(F8:F13)</f>
        <v>4784672</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122079</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64126</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32036</v>
      </c>
      <c r="G52" s="701"/>
    </row>
    <row r="53" spans="1:7" x14ac:dyDescent="0.2">
      <c r="A53" s="705" t="s">
        <v>456</v>
      </c>
      <c r="B53" s="705" t="s">
        <v>1455</v>
      </c>
      <c r="C53" s="724">
        <f>'Expenditures 15-22'!B102</f>
        <v>4000</v>
      </c>
      <c r="D53" s="723" t="str">
        <f>'Expenditures 15-22'!A102</f>
        <v>Total Payments to Other Govt Units</v>
      </c>
      <c r="E53" s="704"/>
      <c r="F53" s="1767">
        <f>'Expenditures 15-22'!K102</f>
        <v>832348</v>
      </c>
      <c r="G53" s="701"/>
    </row>
    <row r="54" spans="1:7" x14ac:dyDescent="0.2">
      <c r="A54" s="705" t="s">
        <v>456</v>
      </c>
      <c r="B54" s="705" t="s">
        <v>1456</v>
      </c>
      <c r="C54" s="724" t="s">
        <v>974</v>
      </c>
      <c r="D54" s="720" t="s">
        <v>1085</v>
      </c>
      <c r="E54" s="704"/>
      <c r="F54" s="1767">
        <f>'Expenditures 15-22'!G114</f>
        <v>43521</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159950</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142339</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0</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3828</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3593</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1403820</v>
      </c>
      <c r="G77" s="701"/>
    </row>
    <row r="78" spans="1:9" s="728" customFormat="1" ht="12" customHeight="1" thickTop="1" thickBot="1" x14ac:dyDescent="0.25">
      <c r="A78" s="1450"/>
      <c r="B78" s="1448"/>
      <c r="C78" s="1445"/>
      <c r="D78" s="1449" t="s">
        <v>2009</v>
      </c>
      <c r="E78" s="1447"/>
      <c r="F78" s="1773">
        <f>(F14-F77)</f>
        <v>3380852</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374.6</v>
      </c>
      <c r="G79" s="733"/>
      <c r="H79" s="705"/>
      <c r="I79" s="705"/>
    </row>
    <row r="80" spans="1:9" s="728" customFormat="1" ht="12" customHeight="1" thickBot="1" x14ac:dyDescent="0.25">
      <c r="A80" s="1452"/>
      <c r="B80" s="1448"/>
      <c r="C80" s="1445"/>
      <c r="D80" s="1449" t="s">
        <v>2010</v>
      </c>
      <c r="E80" s="1447" t="s">
        <v>951</v>
      </c>
      <c r="F80" s="1775">
        <f>IF(F79&gt;0,F78/F79," Complete Line 79")</f>
        <v>9025.2322477309117</v>
      </c>
      <c r="G80" s="705"/>
    </row>
    <row r="81" spans="1:7" s="728" customFormat="1" ht="8.25" customHeight="1" thickTop="1" x14ac:dyDescent="0.2">
      <c r="A81" s="734"/>
      <c r="B81" s="705"/>
      <c r="C81" s="707"/>
      <c r="D81" s="735"/>
      <c r="E81" s="704"/>
      <c r="F81" s="1776"/>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6368</v>
      </c>
      <c r="G95" s="745"/>
    </row>
    <row r="96" spans="1:7" x14ac:dyDescent="0.2">
      <c r="A96" s="741" t="s">
        <v>139</v>
      </c>
      <c r="B96" s="741" t="s">
        <v>174</v>
      </c>
      <c r="C96" s="743">
        <v>1700</v>
      </c>
      <c r="D96" s="751" t="str">
        <f>'Revenues 9-14'!A82</f>
        <v>Total District/School Activity Income</v>
      </c>
      <c r="E96" s="739"/>
      <c r="F96" s="1778">
        <f>SUM('Revenues 9-14'!C82,'Revenues 9-14'!D82)</f>
        <v>6143</v>
      </c>
      <c r="G96" s="745"/>
    </row>
    <row r="97" spans="1:7" x14ac:dyDescent="0.2">
      <c r="A97" s="741" t="s">
        <v>456</v>
      </c>
      <c r="B97" s="741" t="s">
        <v>175</v>
      </c>
      <c r="C97" s="743">
        <f>'Revenues 9-14'!B84</f>
        <v>1811</v>
      </c>
      <c r="D97" s="744" t="str">
        <f>'Revenues 9-14'!A84</f>
        <v>Rentals - Regular Textbooks</v>
      </c>
      <c r="E97" s="739"/>
      <c r="F97" s="1778">
        <f>'Revenues 9-14'!C84</f>
        <v>19663</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15997</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0</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2342</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2342</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171104</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14191</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168358</v>
      </c>
      <c r="G126" s="763"/>
    </row>
    <row r="127" spans="1:7" x14ac:dyDescent="0.2">
      <c r="A127" s="760" t="s">
        <v>663</v>
      </c>
      <c r="B127" s="760" t="s">
        <v>1928</v>
      </c>
      <c r="C127" s="765">
        <v>4300</v>
      </c>
      <c r="D127" s="766" t="str">
        <f>'Revenues 9-14'!A204</f>
        <v>Total Title I</v>
      </c>
      <c r="E127" s="739"/>
      <c r="F127" s="1778">
        <f>SUM('Revenues 9-14'!C204,'Revenues 9-14'!D204,'Revenues 9-14'!F204,'Revenues 9-14'!G204)</f>
        <v>164727</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10940</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110134</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17767</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17767</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21646</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9618</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19658</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1050</v>
      </c>
      <c r="G171" s="760"/>
    </row>
    <row r="172" spans="1:7" x14ac:dyDescent="0.2">
      <c r="A172" s="1529" t="s">
        <v>5</v>
      </c>
      <c r="B172" s="1530" t="s">
        <v>1882</v>
      </c>
      <c r="C172" s="1531">
        <v>3100</v>
      </c>
      <c r="D172" s="1532" t="s">
        <v>1884</v>
      </c>
      <c r="E172" s="739"/>
      <c r="F172" s="1779">
        <v>118085</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880883</v>
      </c>
    </row>
    <row r="176" spans="1:7" ht="12" customHeight="1" x14ac:dyDescent="0.2">
      <c r="A176" s="1443"/>
      <c r="B176" s="1453"/>
      <c r="C176" s="1454"/>
      <c r="D176" s="1455" t="s">
        <v>2011</v>
      </c>
      <c r="E176" s="1456"/>
      <c r="F176" s="1778">
        <f>'PCTC-OEPP 27-28'!F78-F175</f>
        <v>2499969</v>
      </c>
    </row>
    <row r="177" spans="1:9" ht="12" customHeight="1" x14ac:dyDescent="0.2">
      <c r="A177" s="1443"/>
      <c r="B177" s="1453"/>
      <c r="C177" s="1454"/>
      <c r="D177" s="1455" t="s">
        <v>1791</v>
      </c>
      <c r="E177" s="1456"/>
      <c r="F177" s="1778">
        <f>'Cap Outlay Deprec 26'!I18</f>
        <v>161494</v>
      </c>
    </row>
    <row r="178" spans="1:9" ht="12" customHeight="1" x14ac:dyDescent="0.2">
      <c r="A178" s="1443"/>
      <c r="B178" s="1453"/>
      <c r="C178" s="1454"/>
      <c r="D178" s="1455" t="s">
        <v>2012</v>
      </c>
      <c r="E178" s="1456"/>
      <c r="F178" s="1778">
        <f>F176+F177</f>
        <v>2661463</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374.6</v>
      </c>
      <c r="G179" s="763"/>
      <c r="I179" s="701"/>
    </row>
    <row r="180" spans="1:9" ht="12" customHeight="1" thickBot="1" x14ac:dyDescent="0.25">
      <c r="A180" s="1443"/>
      <c r="B180" s="1457"/>
      <c r="C180" s="1454"/>
      <c r="D180" s="1455" t="s">
        <v>2014</v>
      </c>
      <c r="E180" s="1456" t="s">
        <v>1525</v>
      </c>
      <c r="F180" s="1783">
        <f>F178/F179</f>
        <v>7104.8131340096097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4" zoomScaleNormal="100" workbookViewId="0">
      <selection activeCell="A19" sqref="A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1" t="s">
        <v>1792</v>
      </c>
      <c r="B4" s="2362"/>
      <c r="C4" s="2362"/>
      <c r="D4" s="2362"/>
      <c r="E4" s="2362"/>
      <c r="F4" s="2363"/>
    </row>
    <row r="5" spans="1:6" x14ac:dyDescent="0.25">
      <c r="A5" s="2364"/>
      <c r="B5" s="2365"/>
      <c r="C5" s="2365"/>
      <c r="D5" s="2365"/>
      <c r="E5" s="2365"/>
      <c r="F5" s="2366"/>
    </row>
    <row r="6" spans="1:6" ht="18.75" x14ac:dyDescent="0.25">
      <c r="A6" s="1852" t="s">
        <v>1793</v>
      </c>
      <c r="B6" s="1853"/>
      <c r="C6" s="1854"/>
      <c r="D6" s="1854"/>
      <c r="E6" s="1854"/>
      <c r="F6" s="1855"/>
    </row>
    <row r="7" spans="1:6" ht="47.25" customHeight="1" x14ac:dyDescent="0.25">
      <c r="A7" s="2367" t="s">
        <v>1982</v>
      </c>
      <c r="B7" s="2368"/>
      <c r="C7" s="2368"/>
      <c r="D7" s="2368"/>
      <c r="E7" s="2368"/>
      <c r="F7" s="2369"/>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70" t="s">
        <v>1978</v>
      </c>
      <c r="B10" s="2371"/>
      <c r="C10" s="2371"/>
      <c r="D10" s="2371"/>
      <c r="E10" s="2371"/>
      <c r="F10" s="2372"/>
    </row>
    <row r="11" spans="1:6" ht="33" customHeight="1" x14ac:dyDescent="0.25">
      <c r="A11" s="2367" t="s">
        <v>1983</v>
      </c>
      <c r="B11" s="2368"/>
      <c r="C11" s="2368"/>
      <c r="D11" s="2368"/>
      <c r="E11" s="2368"/>
      <c r="F11" s="2369"/>
    </row>
    <row r="12" spans="1:6" ht="15" customHeight="1" x14ac:dyDescent="0.25">
      <c r="A12" s="1858" t="s">
        <v>1979</v>
      </c>
      <c r="B12" s="1859"/>
      <c r="C12" s="1860"/>
      <c r="D12" s="1860"/>
      <c r="E12" s="1860"/>
      <c r="F12" s="1861"/>
    </row>
    <row r="13" spans="1:6" ht="17.25" customHeight="1" x14ac:dyDescent="0.25">
      <c r="A13" s="2367" t="s">
        <v>1980</v>
      </c>
      <c r="B13" s="2368"/>
      <c r="C13" s="2368"/>
      <c r="D13" s="2368"/>
      <c r="E13" s="2368"/>
      <c r="F13" s="2369"/>
    </row>
    <row r="14" spans="1:6" ht="15" customHeight="1" x14ac:dyDescent="0.25">
      <c r="A14" s="1858" t="s">
        <v>1797</v>
      </c>
      <c r="B14" s="1859"/>
      <c r="C14" s="1860"/>
      <c r="D14" s="1860"/>
      <c r="E14" s="1860"/>
      <c r="F14" s="1861"/>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8" t="s">
        <v>2098</v>
      </c>
      <c r="B18" s="1892">
        <v>402550300</v>
      </c>
      <c r="C18" s="2019" t="s">
        <v>2099</v>
      </c>
      <c r="D18" s="1870">
        <v>59705</v>
      </c>
      <c r="E18" s="1890" t="str">
        <f t="shared" ref="E18:E34" si="0">IF(D18&lt;25000,D18,"25,000")</f>
        <v>25,000</v>
      </c>
      <c r="F18" s="1890">
        <f t="shared" ref="F18:F34" si="1">IF(D18&gt;=25000,(D18-E18),"0")</f>
        <v>34705</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59705</v>
      </c>
      <c r="E36" s="1877">
        <f>SUM(E18:E35)</f>
        <v>0</v>
      </c>
      <c r="F36" s="1878">
        <f>SUM(F18:F35)</f>
        <v>34705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1657</v>
      </c>
      <c r="B5" s="2374"/>
      <c r="C5" s="2374"/>
      <c r="D5" s="2374"/>
      <c r="E5" s="2374"/>
      <c r="F5" s="2374"/>
      <c r="G5" s="237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92434</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6">
        <v>18900</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1889164</v>
      </c>
      <c r="F19" s="1787"/>
      <c r="G19" s="1789">
        <f>'Expenditures 15-22'!K33-SUM('Expenditures 15-22'!G33,'Expenditures 15-22'!I33)+'Expenditures 15-22'!D229</f>
        <v>1889164</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241129</v>
      </c>
      <c r="F21" s="1790"/>
      <c r="G21" s="1793">
        <f>'Expenditures 15-22'!K42-SUM('Expenditures 15-22'!G42,'Expenditures 15-22'!I42)+'Expenditures 15-22'!K120-SUM('Expenditures 15-22'!G120,'Expenditures 15-22'!I120)+'Expenditures 15-22'!K180-SUM('Expenditures 15-22'!G180,'Expenditures 15-22'!I180)+'Expenditures 15-22'!D238</f>
        <v>241129</v>
      </c>
      <c r="H21" s="817"/>
      <c r="I21" s="157"/>
    </row>
    <row r="22" spans="1:9" s="542" customFormat="1" ht="12" customHeight="1" x14ac:dyDescent="0.2">
      <c r="A22" s="824" t="s">
        <v>560</v>
      </c>
      <c r="B22" s="825"/>
      <c r="C22" s="823">
        <v>2200</v>
      </c>
      <c r="D22" s="1790"/>
      <c r="E22" s="1792">
        <f>'Expenditures 15-22'!K47-SUM('Expenditures 15-22'!G47,'Expenditures 15-22'!I47)+'Expenditures 15-22'!D243</f>
        <v>65457</v>
      </c>
      <c r="F22" s="1790"/>
      <c r="G22" s="1793">
        <f>'Expenditures 15-22'!K47-SUM('Expenditures 15-22'!G47,'Expenditures 15-22'!I47)+'Expenditures 15-22'!D243</f>
        <v>65457</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272408</v>
      </c>
      <c r="F23" s="1790"/>
      <c r="G23" s="1792">
        <f>'Expenditures 15-22'!K53-SUM('Expenditures 15-22'!G53,'Expenditures 15-22'!I53)+'Expenditures 15-22'!D257+'Expenditures 15-22'!K330-SUM('Expenditures 15-22'!G330,'Expenditures 15-22'!I330)</f>
        <v>272408</v>
      </c>
      <c r="H23" s="817"/>
      <c r="I23" s="157"/>
    </row>
    <row r="24" spans="1:9" s="542" customFormat="1" ht="12" customHeight="1" x14ac:dyDescent="0.2">
      <c r="A24" s="824" t="s">
        <v>562</v>
      </c>
      <c r="B24" s="825"/>
      <c r="C24" s="823">
        <v>2400</v>
      </c>
      <c r="D24" s="1790"/>
      <c r="E24" s="1792">
        <f>'Expenditures 15-22'!K57-SUM('Expenditures 15-22'!G57,'Expenditures 15-22'!I57)+'Expenditures 15-22'!D261</f>
        <v>175638</v>
      </c>
      <c r="F24" s="1790"/>
      <c r="G24" s="1793">
        <f>'Expenditures 15-22'!K57-SUM('Expenditures 15-22'!G57,'Expenditures 15-22'!I57)+'Expenditures 15-22'!D261</f>
        <v>175638</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56243</v>
      </c>
      <c r="E27" s="1792">
        <f>E8</f>
        <v>0</v>
      </c>
      <c r="F27" s="1792">
        <f>'Expenditures 15-22'!K60-SUM('Expenditures 15-22'!G60,'Expenditures 15-22'!I60)+'Expenditures 15-22'!D264-E8</f>
        <v>56243</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369921</v>
      </c>
      <c r="F28" s="1794">
        <f>'Expenditures 15-22'!K61-SUM('Expenditures 15-22'!G61,'Expenditures 15-22'!I61)+'Expenditures 15-22'!K124-SUM('Expenditures 15-22'!G124,'Expenditures 15-22'!I124)+'Expenditures 15-22'!D266-E9</f>
        <v>369921</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280997</v>
      </c>
      <c r="F29" s="1790"/>
      <c r="G29" s="1793">
        <f>'Expenditures 15-22'!K62-SUM('Expenditures 15-22'!G62,'Expenditures 15-22'!I62)+'Expenditures 15-22'!K125-SUM('Expenditures 15-22'!G125,'Expenditures 15-22'!I125)+'Expenditures 15-22'!K182-SUM('Expenditures 15-22'!G182,'Expenditures 15-22'!I182)+'Expenditures 15-22'!D267</f>
        <v>280997</v>
      </c>
      <c r="H29" s="815"/>
    </row>
    <row r="30" spans="1:9" ht="12" customHeight="1" x14ac:dyDescent="0.2">
      <c r="A30" s="824" t="s">
        <v>100</v>
      </c>
      <c r="B30" s="827"/>
      <c r="C30" s="823">
        <v>2560</v>
      </c>
      <c r="D30" s="1790"/>
      <c r="E30" s="1792">
        <f>'Expenditures 15-22'!K63-SUM('Expenditures 15-22'!G63,'Expenditures 15-22'!I63)+'Expenditures 15-22'!D268-E10</f>
        <v>98132</v>
      </c>
      <c r="F30" s="1790"/>
      <c r="G30" s="1792">
        <f>'Expenditures 15-22'!K63-SUM('Expenditures 15-22'!G63,'Expenditures 15-22'!I63)+'Expenditures 15-22'!D268-E10</f>
        <v>98132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35629</v>
      </c>
      <c r="F39" s="1790"/>
      <c r="G39" s="1792">
        <f>'Expenditures 15-22'!K75-SUM('Expenditures 15-22'!G75,'Expenditures 15-22'!I75)+'Expenditures 15-22'!K130-SUM('Expenditures 15-22'!G130,'Expenditures 15-22'!I130)+'Expenditures 15-22'!K185-SUM('Expenditures 15-22'!G185,'Expenditures 15-22'!I185)+'Expenditures 15-22'!D280</f>
        <v>35629</v>
      </c>
    </row>
    <row r="40" spans="1:7" ht="12" customHeight="1" x14ac:dyDescent="0.2">
      <c r="A40" s="820" t="s">
        <v>1795</v>
      </c>
      <c r="B40" s="821"/>
      <c r="C40" s="823"/>
      <c r="D40" s="1790"/>
      <c r="E40" s="1794">
        <f>-'Contracts Paid in CY 29'!F36</f>
        <v>-34705</v>
      </c>
      <c r="F40" s="1790"/>
      <c r="G40" s="1794">
        <f>-'Contracts Paid in CY 29'!F36</f>
        <v>-34705</v>
      </c>
    </row>
    <row r="41" spans="1:7" ht="12" customHeight="1" x14ac:dyDescent="0.2">
      <c r="A41" s="828" t="s">
        <v>155</v>
      </c>
      <c r="B41" s="829"/>
      <c r="C41" s="830"/>
      <c r="D41" s="1794">
        <f>SUM(D19:D39)</f>
        <v>56243</v>
      </c>
      <c r="E41" s="1794">
        <f>SUM(E19:E40)</f>
        <v>3393770</v>
      </c>
      <c r="F41" s="1794">
        <f>SUM(F19:F39)</f>
        <v>426164</v>
      </c>
      <c r="G41" s="1794">
        <f>SUM(G19:G40)</f>
        <v>3023849</v>
      </c>
    </row>
    <row r="42" spans="1:7" x14ac:dyDescent="0.2">
      <c r="A42" s="817"/>
      <c r="B42" s="157"/>
      <c r="C42" s="831"/>
      <c r="D42" s="2376" t="s">
        <v>519</v>
      </c>
      <c r="E42" s="2377"/>
      <c r="F42" s="832" t="s">
        <v>520</v>
      </c>
      <c r="G42" s="833"/>
    </row>
    <row r="43" spans="1:7" ht="12" customHeight="1" x14ac:dyDescent="0.2">
      <c r="A43" s="817"/>
      <c r="B43" s="157"/>
      <c r="C43" s="831"/>
      <c r="D43" s="1458" t="s">
        <v>470</v>
      </c>
      <c r="E43" s="1795">
        <f>D41</f>
        <v>56243</v>
      </c>
      <c r="F43" s="1458" t="s">
        <v>470</v>
      </c>
      <c r="G43" s="1795">
        <f>F41</f>
        <v>426164</v>
      </c>
    </row>
    <row r="44" spans="1:7" ht="12" customHeight="1" x14ac:dyDescent="0.2">
      <c r="A44" s="817"/>
      <c r="B44" s="157"/>
      <c r="C44" s="831"/>
      <c r="D44" s="1458" t="s">
        <v>471</v>
      </c>
      <c r="E44" s="1795">
        <f>E41</f>
        <v>3393770</v>
      </c>
      <c r="F44" s="1458" t="s">
        <v>471</v>
      </c>
      <c r="G44" s="1795">
        <f>G41</f>
        <v>3023849</v>
      </c>
    </row>
    <row r="45" spans="1:7" ht="12" customHeight="1" x14ac:dyDescent="0.2">
      <c r="A45" s="817"/>
      <c r="B45" s="157"/>
      <c r="C45" s="157"/>
      <c r="D45" s="1459" t="s">
        <v>998</v>
      </c>
      <c r="E45" s="1796">
        <f>(E43/E44)</f>
        <v>1.6572425355872673E-2</v>
      </c>
      <c r="F45" s="1459" t="s">
        <v>998</v>
      </c>
      <c r="G45" s="1796">
        <f>(G43/G44)</f>
        <v>0.14093428607050154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D20" sqref="D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4" t="s">
        <v>1360</v>
      </c>
      <c r="B1" s="2384"/>
      <c r="C1" s="2384"/>
      <c r="D1" s="2384"/>
      <c r="E1" s="2384"/>
      <c r="F1" s="2384"/>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5" t="s">
        <v>1526</v>
      </c>
      <c r="B5" s="2386"/>
      <c r="C5" s="2387"/>
      <c r="D5" s="2387"/>
      <c r="E5" s="2387"/>
      <c r="F5" s="2387"/>
      <c r="G5" s="1507"/>
      <c r="L5" s="1507"/>
      <c r="M5" s="1840"/>
      <c r="N5" s="1840"/>
      <c r="O5" s="1840"/>
    </row>
    <row r="6" spans="1:15" ht="12" customHeight="1" x14ac:dyDescent="0.25">
      <c r="A6" s="1480"/>
      <c r="B6" s="1481"/>
      <c r="C6" s="2388" t="str">
        <f>COVER!A17</f>
        <v xml:space="preserve"> Brownstown CUSD 201</v>
      </c>
      <c r="D6" s="2388"/>
      <c r="E6" s="2388"/>
      <c r="F6" s="1482"/>
      <c r="G6" s="1507"/>
      <c r="L6" s="1507"/>
      <c r="M6" s="1840"/>
      <c r="N6" s="1840"/>
      <c r="O6" s="1840"/>
    </row>
    <row r="7" spans="1:15" ht="11.25" customHeight="1" thickBot="1" x14ac:dyDescent="0.3">
      <c r="A7" s="1480"/>
      <c r="B7" s="1481"/>
      <c r="C7" s="2389">
        <f>COVER!A13</f>
        <v>3026201026</v>
      </c>
      <c r="D7" s="2389"/>
      <c r="E7" s="2389"/>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t="s">
        <v>2015</v>
      </c>
      <c r="E13" s="1498"/>
      <c r="F13" s="1497" t="s">
        <v>2046</v>
      </c>
      <c r="G13" s="1507"/>
      <c r="H13" s="1507">
        <f t="shared" si="0"/>
        <v>0</v>
      </c>
      <c r="I13" s="1507">
        <f t="shared" si="1"/>
        <v>5</v>
      </c>
      <c r="J13" s="1507">
        <f t="shared" si="2"/>
        <v>0</v>
      </c>
      <c r="L13" s="1507"/>
      <c r="M13" s="1840"/>
      <c r="N13" s="1840"/>
      <c r="O13" s="1840"/>
    </row>
    <row r="14" spans="1:15" ht="12" customHeight="1" x14ac:dyDescent="0.2">
      <c r="A14" s="1493" t="s">
        <v>1367</v>
      </c>
      <c r="B14" s="1494"/>
      <c r="C14" s="1495"/>
      <c r="D14" s="1495" t="s">
        <v>2015</v>
      </c>
      <c r="E14" s="1498"/>
      <c r="F14" s="1497" t="s">
        <v>2047</v>
      </c>
      <c r="G14" s="1507"/>
      <c r="H14" s="1507">
        <f t="shared" si="0"/>
        <v>0</v>
      </c>
      <c r="I14" s="1507">
        <f t="shared" si="1"/>
        <v>5</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t="s">
        <v>2015</v>
      </c>
      <c r="E16" s="1498"/>
      <c r="F16" s="1497" t="s">
        <v>2048</v>
      </c>
      <c r="G16" s="1507"/>
      <c r="H16" s="1507">
        <f t="shared" si="0"/>
        <v>0</v>
      </c>
      <c r="I16" s="1507">
        <f t="shared" si="1"/>
        <v>5</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t="s">
        <v>2015</v>
      </c>
      <c r="D19" s="1495"/>
      <c r="E19" s="1498"/>
      <c r="F19" s="1497" t="s">
        <v>2042</v>
      </c>
      <c r="G19" s="1507"/>
      <c r="H19" s="1507">
        <f t="shared" si="0"/>
        <v>5</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1497" t="s">
        <v>2043</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t="s">
        <v>2015</v>
      </c>
      <c r="D29" s="1495" t="s">
        <v>2015</v>
      </c>
      <c r="E29" s="1498"/>
      <c r="F29" s="1497" t="s">
        <v>2044</v>
      </c>
      <c r="G29" s="1507"/>
      <c r="H29" s="1507">
        <f t="shared" si="0"/>
        <v>5</v>
      </c>
      <c r="I29" s="1507">
        <f t="shared" si="1"/>
        <v>5</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2045</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20</v>
      </c>
      <c r="I34" s="1507">
        <f>SUM(I11:I32)</f>
        <v>30</v>
      </c>
      <c r="J34" s="1507">
        <f>SUM(J11:J32)</f>
        <v>0</v>
      </c>
      <c r="K34" s="1507">
        <f>SUM(H34:J34)</f>
        <v>50</v>
      </c>
      <c r="L34" s="1507"/>
      <c r="M34" s="1840"/>
      <c r="N34" s="1840"/>
      <c r="O34" s="1840"/>
    </row>
    <row r="35" spans="1:15" ht="12" customHeight="1" x14ac:dyDescent="0.2">
      <c r="A35" s="1500" t="s">
        <v>1373</v>
      </c>
      <c r="B35" s="1501"/>
      <c r="C35" s="2390"/>
      <c r="D35" s="2390"/>
      <c r="E35" s="2390"/>
      <c r="F35" s="2391"/>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95"/>
      <c r="B38" s="2396"/>
      <c r="C38" s="2396"/>
      <c r="D38" s="2396"/>
      <c r="E38" s="2396"/>
      <c r="F38" s="2397"/>
    </row>
    <row r="39" spans="1:15" ht="4.5" hidden="1" customHeight="1" x14ac:dyDescent="0.2">
      <c r="A39" s="1502"/>
      <c r="B39" s="1502"/>
      <c r="C39" s="1502"/>
      <c r="D39" s="1502"/>
      <c r="E39" s="1502"/>
      <c r="F39" s="1502"/>
    </row>
    <row r="40" spans="1:15" s="1499" customFormat="1" ht="12" customHeight="1" x14ac:dyDescent="0.25">
      <c r="A40" s="1503" t="s">
        <v>1372</v>
      </c>
      <c r="B40" s="1504"/>
      <c r="C40" s="2398"/>
      <c r="D40" s="2398"/>
      <c r="E40" s="2398"/>
      <c r="F40" s="2399"/>
      <c r="H40" s="1508"/>
      <c r="I40" s="1508"/>
      <c r="J40" s="1508"/>
      <c r="K40" s="1508"/>
    </row>
    <row r="41" spans="1:15" s="1499" customFormat="1" ht="12" customHeight="1" x14ac:dyDescent="0.25">
      <c r="A41" s="2400"/>
      <c r="B41" s="2401"/>
      <c r="C41" s="2401"/>
      <c r="D41" s="2401"/>
      <c r="E41" s="2401"/>
      <c r="F41" s="2402"/>
      <c r="H41" s="1508"/>
      <c r="I41" s="1508"/>
      <c r="J41" s="1508"/>
      <c r="K41" s="1508"/>
    </row>
    <row r="42" spans="1:15" s="1499" customFormat="1" ht="12" customHeight="1" x14ac:dyDescent="0.25">
      <c r="A42" s="2400"/>
      <c r="B42" s="2401"/>
      <c r="C42" s="2401"/>
      <c r="D42" s="2401"/>
      <c r="E42" s="2401"/>
      <c r="F42" s="2402"/>
      <c r="H42" s="1508"/>
      <c r="I42" s="1508"/>
      <c r="J42" s="1508"/>
      <c r="K42" s="1508"/>
    </row>
    <row r="43" spans="1:15" s="1499" customFormat="1" ht="15" x14ac:dyDescent="0.25">
      <c r="A43" s="2392"/>
      <c r="B43" s="2393"/>
      <c r="C43" s="2393"/>
      <c r="D43" s="2393"/>
      <c r="E43" s="2393"/>
      <c r="F43" s="2394"/>
      <c r="H43" s="1508"/>
      <c r="I43" s="1508"/>
      <c r="J43" s="1508"/>
      <c r="K43" s="1508"/>
    </row>
    <row r="44" spans="1:15" s="1499" customFormat="1" ht="12" hidden="1" customHeight="1" x14ac:dyDescent="0.25">
      <c r="A44" s="2392"/>
      <c r="B44" s="2393"/>
      <c r="C44" s="2393"/>
      <c r="D44" s="2393"/>
      <c r="E44" s="2393"/>
      <c r="F44" s="239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D49" zoomScaleNormal="100" workbookViewId="0">
      <selection activeCell="M62" sqref="M62"/>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21" t="str">
        <f>COVER!A17</f>
        <v xml:space="preserve"> Brownstown CUSD 201</v>
      </c>
      <c r="K6" s="2421"/>
      <c r="L6" s="2435"/>
      <c r="M6" s="838"/>
      <c r="N6" s="1912"/>
    </row>
    <row r="7" spans="1:14" x14ac:dyDescent="0.2">
      <c r="A7" s="2436" t="s">
        <v>863</v>
      </c>
      <c r="B7" s="2437"/>
      <c r="C7" s="2437"/>
      <c r="D7" s="2437"/>
      <c r="E7" s="2438"/>
      <c r="F7" s="839"/>
      <c r="G7" s="838"/>
      <c r="H7" s="838"/>
      <c r="I7" s="1915" t="s">
        <v>369</v>
      </c>
      <c r="J7" s="2423">
        <f>COVER!A13</f>
        <v>3026201026</v>
      </c>
      <c r="K7" s="2423"/>
      <c r="L7" s="2423"/>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2049</v>
      </c>
      <c r="F9" s="1842"/>
      <c r="G9" s="1842"/>
      <c r="H9" s="1842"/>
      <c r="I9" s="1922" t="s">
        <v>2050</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39" t="s">
        <v>478</v>
      </c>
      <c r="B11" s="2440"/>
      <c r="C11" s="2441"/>
      <c r="D11" s="1931" t="s">
        <v>865</v>
      </c>
      <c r="E11" s="1931" t="s">
        <v>64</v>
      </c>
      <c r="F11" s="1931" t="s">
        <v>6</v>
      </c>
      <c r="G11" s="1932" t="s">
        <v>2051</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108748</v>
      </c>
      <c r="F12" s="1938"/>
      <c r="G12" s="1939">
        <v>13492</v>
      </c>
      <c r="H12" s="1937">
        <f t="shared" ref="H12:H18" si="0">SUM(E12:G12)</f>
        <v>122240</v>
      </c>
      <c r="I12" s="1940">
        <v>114300</v>
      </c>
      <c r="J12" s="1938"/>
      <c r="K12" s="1940">
        <v>12600</v>
      </c>
      <c r="L12" s="1937">
        <f t="shared" ref="L12:L18" si="1">SUM(I12:K12)</f>
        <v>126900</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42" t="s">
        <v>7</v>
      </c>
      <c r="C18" s="2443"/>
      <c r="D18" s="2444"/>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108748</v>
      </c>
      <c r="F19" s="1947">
        <f t="shared" si="2"/>
        <v>0</v>
      </c>
      <c r="G19" s="1947">
        <f t="shared" ref="G19" si="3">SUM(G12:G17)-G18</f>
        <v>13492</v>
      </c>
      <c r="H19" s="1947">
        <f t="shared" si="2"/>
        <v>122240</v>
      </c>
      <c r="I19" s="1947">
        <f t="shared" si="2"/>
        <v>114300</v>
      </c>
      <c r="J19" s="1947">
        <f t="shared" si="2"/>
        <v>0</v>
      </c>
      <c r="K19" s="1947">
        <f t="shared" si="2"/>
        <v>12600</v>
      </c>
      <c r="L19" s="1947">
        <f t="shared" si="2"/>
        <v>126900</v>
      </c>
      <c r="M19" s="838"/>
      <c r="N19" s="1912"/>
    </row>
    <row r="20" spans="1:14" ht="13.5" thickTop="1" x14ac:dyDescent="0.2">
      <c r="A20" s="1934">
        <v>9</v>
      </c>
      <c r="B20" s="2445" t="s">
        <v>2052</v>
      </c>
      <c r="C20" s="2445"/>
      <c r="D20" s="2446"/>
      <c r="E20" s="1948"/>
      <c r="F20" s="1948"/>
      <c r="G20" s="1948"/>
      <c r="H20" s="1948"/>
      <c r="I20" s="1948"/>
      <c r="J20" s="1948"/>
      <c r="K20" s="1948"/>
      <c r="L20" s="1949">
        <f>IF(AND(H19&gt;0,L19&gt;0),(((L19-H19)/H19)),"Enter Budget Data")</f>
        <v>3.8121727748691096E-2</v>
      </c>
      <c r="M20" s="838"/>
      <c r="N20" s="1912"/>
    </row>
    <row r="21" spans="1:14" x14ac:dyDescent="0.2">
      <c r="A21" s="1950" t="s">
        <v>194</v>
      </c>
      <c r="B21" s="1951" t="s">
        <v>2053</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2054</v>
      </c>
      <c r="B24" s="1959"/>
      <c r="C24" s="1960"/>
      <c r="D24" s="1960"/>
      <c r="E24" s="1960"/>
      <c r="F24" s="1960"/>
      <c r="G24" s="1960"/>
      <c r="H24" s="1960"/>
      <c r="I24" s="1960"/>
      <c r="J24" s="1960"/>
      <c r="K24" s="1960"/>
      <c r="L24" s="838"/>
      <c r="M24" s="838"/>
      <c r="N24" s="1912"/>
    </row>
    <row r="25" spans="1:14" x14ac:dyDescent="0.2">
      <c r="A25" s="1958" t="s">
        <v>2055</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47"/>
      <c r="D27" s="2447"/>
      <c r="E27" s="843"/>
      <c r="F27" s="2448"/>
      <c r="G27" s="2448"/>
      <c r="H27" s="2448"/>
      <c r="I27" s="838"/>
      <c r="J27" s="838"/>
      <c r="K27" s="838"/>
      <c r="L27" s="838"/>
      <c r="M27" s="838"/>
      <c r="N27" s="1912"/>
    </row>
    <row r="28" spans="1:14" x14ac:dyDescent="0.2">
      <c r="A28" s="1909"/>
      <c r="B28" s="1956"/>
      <c r="C28" s="1962" t="s">
        <v>1025</v>
      </c>
      <c r="D28" s="844"/>
      <c r="E28" s="1963"/>
      <c r="F28" s="2449" t="s">
        <v>1489</v>
      </c>
      <c r="G28" s="2449"/>
      <c r="H28" s="2449"/>
      <c r="I28" s="838"/>
      <c r="J28" s="838"/>
      <c r="K28" s="838"/>
      <c r="L28" s="838"/>
      <c r="M28" s="838"/>
      <c r="N28" s="1912"/>
    </row>
    <row r="29" spans="1:14" x14ac:dyDescent="0.2">
      <c r="A29" s="1909"/>
      <c r="B29" s="1956"/>
      <c r="C29" s="2450"/>
      <c r="D29" s="2450"/>
      <c r="E29" s="845"/>
      <c r="F29" s="2450"/>
      <c r="G29" s="2450"/>
      <c r="H29" s="2450"/>
      <c r="I29" s="838"/>
      <c r="J29" s="838"/>
      <c r="K29" s="838"/>
      <c r="L29" s="838"/>
      <c r="M29" s="838"/>
      <c r="N29" s="1912"/>
    </row>
    <row r="30" spans="1:14" x14ac:dyDescent="0.2">
      <c r="A30" s="1909"/>
      <c r="B30" s="1956"/>
      <c r="C30" s="1964" t="s">
        <v>1541</v>
      </c>
      <c r="D30" s="838"/>
      <c r="E30" s="1965"/>
      <c r="F30" s="2434" t="s">
        <v>1490</v>
      </c>
      <c r="G30" s="2434"/>
      <c r="H30" s="2434"/>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11" t="s">
        <v>2056</v>
      </c>
      <c r="D34" s="2412"/>
      <c r="E34" s="2412"/>
      <c r="F34" s="2412"/>
      <c r="G34" s="2412"/>
      <c r="H34" s="2412"/>
      <c r="I34" s="2412"/>
      <c r="J34" s="2412"/>
      <c r="K34" s="1969"/>
      <c r="L34" s="838"/>
      <c r="M34" s="838"/>
      <c r="N34" s="1912"/>
    </row>
    <row r="35" spans="1:14" x14ac:dyDescent="0.2">
      <c r="A35" s="1909"/>
      <c r="B35" s="838"/>
      <c r="C35" s="2412"/>
      <c r="D35" s="2412"/>
      <c r="E35" s="2412"/>
      <c r="F35" s="2412"/>
      <c r="G35" s="2412"/>
      <c r="H35" s="2412"/>
      <c r="I35" s="2412"/>
      <c r="J35" s="2412"/>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11" t="s">
        <v>2057</v>
      </c>
      <c r="D37" s="2412"/>
      <c r="E37" s="2412"/>
      <c r="F37" s="2412"/>
      <c r="G37" s="2412"/>
      <c r="H37" s="2412"/>
      <c r="I37" s="2412"/>
      <c r="J37" s="2412"/>
      <c r="K37" s="1969"/>
      <c r="L37" s="1971"/>
      <c r="M37" s="838"/>
      <c r="N37" s="1912"/>
    </row>
    <row r="38" spans="1:14" ht="38.25" customHeight="1" x14ac:dyDescent="0.2">
      <c r="A38" s="1909"/>
      <c r="B38" s="838"/>
      <c r="C38" s="2412"/>
      <c r="D38" s="2412"/>
      <c r="E38" s="2412"/>
      <c r="F38" s="2412"/>
      <c r="G38" s="2412"/>
      <c r="H38" s="2412"/>
      <c r="I38" s="2412"/>
      <c r="J38" s="2412"/>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13" t="s">
        <v>2058</v>
      </c>
      <c r="D40" s="2414"/>
      <c r="E40" s="2414"/>
      <c r="F40" s="2414"/>
      <c r="G40" s="2414"/>
      <c r="H40" s="2414"/>
      <c r="I40" s="2414"/>
      <c r="J40" s="2414"/>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15" t="s">
        <v>2059</v>
      </c>
      <c r="B43" s="2416"/>
      <c r="C43" s="2416"/>
      <c r="D43" s="2416"/>
      <c r="E43" s="2416"/>
      <c r="F43" s="2416"/>
      <c r="G43" s="2416"/>
      <c r="H43" s="2416"/>
      <c r="I43" s="2416"/>
      <c r="J43" s="2416"/>
      <c r="K43" s="2416"/>
      <c r="L43" s="2416"/>
      <c r="M43" s="2416"/>
      <c r="N43" s="2417"/>
    </row>
    <row r="44" spans="1:14" x14ac:dyDescent="0.2">
      <c r="A44" s="1979"/>
      <c r="B44" s="1980"/>
      <c r="C44" s="1980"/>
      <c r="D44" s="1980"/>
      <c r="E44" s="1980"/>
      <c r="F44" s="1980"/>
      <c r="G44" s="1980"/>
      <c r="H44" s="1980"/>
      <c r="I44" s="1980"/>
      <c r="J44" s="1980"/>
      <c r="K44" s="1980"/>
      <c r="L44" s="1980"/>
      <c r="M44" s="1980"/>
      <c r="N44" s="1981"/>
    </row>
    <row r="45" spans="1:14" x14ac:dyDescent="0.2">
      <c r="A45" s="1979" t="s">
        <v>2060</v>
      </c>
      <c r="B45" s="1980"/>
      <c r="C45" s="1980"/>
      <c r="D45" s="1980"/>
      <c r="E45" s="1980"/>
      <c r="F45" s="1980"/>
      <c r="G45" s="1980"/>
      <c r="H45" s="1980"/>
      <c r="I45" s="1980"/>
      <c r="J45" s="1980"/>
      <c r="K45" s="1980"/>
      <c r="L45" s="1980"/>
      <c r="M45" s="1980"/>
      <c r="N45" s="1981"/>
    </row>
    <row r="46" spans="1:14" x14ac:dyDescent="0.2">
      <c r="A46" s="2418" t="s">
        <v>2061</v>
      </c>
      <c r="B46" s="2419"/>
      <c r="C46" s="2419"/>
      <c r="D46" s="2419"/>
      <c r="E46" s="2419"/>
      <c r="F46" s="2419"/>
      <c r="G46" s="2419"/>
      <c r="H46" s="2419"/>
      <c r="I46" s="2419"/>
      <c r="J46" s="2419"/>
      <c r="K46" s="2419"/>
      <c r="L46" s="2419"/>
      <c r="M46" s="2419"/>
      <c r="N46" s="2420"/>
    </row>
    <row r="47" spans="1:14" x14ac:dyDescent="0.2">
      <c r="A47" s="2418"/>
      <c r="B47" s="2419"/>
      <c r="C47" s="2419"/>
      <c r="D47" s="2419"/>
      <c r="E47" s="2419"/>
      <c r="F47" s="2419"/>
      <c r="G47" s="2419"/>
      <c r="H47" s="2419"/>
      <c r="I47" s="2419"/>
      <c r="J47" s="2419"/>
      <c r="K47" s="2419"/>
      <c r="L47" s="2419"/>
      <c r="M47" s="2419"/>
      <c r="N47" s="2420"/>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2062</v>
      </c>
      <c r="B49" s="1986"/>
      <c r="C49" s="1986"/>
      <c r="D49" s="1987"/>
      <c r="E49" s="1987"/>
      <c r="F49" s="1987"/>
      <c r="G49" s="1987"/>
      <c r="H49" s="1987"/>
      <c r="I49" s="1987"/>
      <c r="J49" s="1987"/>
      <c r="K49" s="1987"/>
      <c r="L49" s="1987"/>
      <c r="M49" s="1987"/>
      <c r="N49" s="1988"/>
    </row>
    <row r="50" spans="1:14" ht="15" x14ac:dyDescent="0.25">
      <c r="A50" s="1985" t="s">
        <v>2063</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21" t="str">
        <f>J6</f>
        <v xml:space="preserve"> Brownstown CUSD 201</v>
      </c>
      <c r="M52" s="2421"/>
      <c r="N52" s="2422"/>
    </row>
    <row r="53" spans="1:14" x14ac:dyDescent="0.2">
      <c r="A53" s="1979"/>
      <c r="B53" s="1980"/>
      <c r="C53" s="1980"/>
      <c r="D53" s="1980"/>
      <c r="E53" s="1980"/>
      <c r="F53" s="1980"/>
      <c r="G53" s="1980"/>
      <c r="H53" s="1980"/>
      <c r="I53" s="1980"/>
      <c r="J53" s="1980"/>
      <c r="K53" s="1915" t="s">
        <v>369</v>
      </c>
      <c r="L53" s="2423">
        <f>J7</f>
        <v>3026201026</v>
      </c>
      <c r="M53" s="2423"/>
      <c r="N53" s="242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25"/>
      <c r="B55" s="2426"/>
      <c r="C55" s="2426"/>
      <c r="D55" s="1990"/>
      <c r="E55" s="1990"/>
      <c r="F55" s="1990"/>
      <c r="G55" s="2427" t="s">
        <v>2064</v>
      </c>
      <c r="H55" s="2427"/>
      <c r="I55" s="2427"/>
      <c r="J55" s="2427"/>
      <c r="K55" s="2427"/>
      <c r="L55" s="2427"/>
      <c r="M55" s="2427"/>
      <c r="N55" s="2428"/>
    </row>
    <row r="56" spans="1:14" ht="63.75" x14ac:dyDescent="0.2">
      <c r="A56" s="2429" t="s">
        <v>2065</v>
      </c>
      <c r="B56" s="2430"/>
      <c r="C56" s="2431"/>
      <c r="D56" s="1991" t="s">
        <v>2066</v>
      </c>
      <c r="E56" s="1991" t="s">
        <v>2067</v>
      </c>
      <c r="F56" s="1992"/>
      <c r="G56" s="1991" t="s">
        <v>2068</v>
      </c>
      <c r="H56" s="1991" t="s">
        <v>2069</v>
      </c>
      <c r="I56" s="1991" t="s">
        <v>2070</v>
      </c>
      <c r="J56" s="1991" t="s">
        <v>2071</v>
      </c>
      <c r="K56" s="1991" t="s">
        <v>2072</v>
      </c>
      <c r="L56" s="1991" t="s">
        <v>2073</v>
      </c>
      <c r="M56" s="1991" t="s">
        <v>2074</v>
      </c>
      <c r="N56" s="1993" t="s">
        <v>2075</v>
      </c>
    </row>
    <row r="57" spans="1:14" ht="24.75" customHeight="1" x14ac:dyDescent="0.2">
      <c r="A57" s="2432" t="s">
        <v>296</v>
      </c>
      <c r="B57" s="2433"/>
      <c r="C57" s="243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09" t="s">
        <v>2076</v>
      </c>
      <c r="B58" s="2410"/>
      <c r="C58" s="2410"/>
      <c r="D58" s="2000">
        <v>2362</v>
      </c>
      <c r="E58" s="2001">
        <f>'Expenditures 15-22'!K320</f>
        <v>12294</v>
      </c>
      <c r="F58" s="1996"/>
      <c r="G58" s="2002"/>
      <c r="H58" s="2003"/>
      <c r="I58" s="2003"/>
      <c r="J58" s="2003"/>
      <c r="K58" s="2003"/>
      <c r="L58" s="2003"/>
      <c r="M58" s="2003">
        <v>12294</v>
      </c>
      <c r="N58" s="1999">
        <f>IF((SUM(G58:M58))=E58,SUM(G58:M58),"Column N does not agree with Column E")</f>
        <v>12294</v>
      </c>
    </row>
    <row r="59" spans="1:14" ht="24.75" customHeight="1" x14ac:dyDescent="0.2">
      <c r="A59" s="2403" t="s">
        <v>297</v>
      </c>
      <c r="B59" s="2404"/>
      <c r="C59" s="2404"/>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03" t="s">
        <v>236</v>
      </c>
      <c r="B60" s="2404"/>
      <c r="C60" s="2404"/>
      <c r="D60" s="2000">
        <v>2364</v>
      </c>
      <c r="E60" s="2001">
        <f>'Expenditures 15-22'!K322</f>
        <v>27255</v>
      </c>
      <c r="F60" s="1996"/>
      <c r="G60" s="2002"/>
      <c r="H60" s="2003"/>
      <c r="I60" s="2003"/>
      <c r="J60" s="2003"/>
      <c r="K60" s="2003"/>
      <c r="L60" s="2003"/>
      <c r="M60" s="2003">
        <v>27255</v>
      </c>
      <c r="N60" s="1999">
        <f t="shared" ref="N60:N67" si="4">IF((SUM(G60:M60))=E60,SUM(G60:M60),"Column N does not agree with Column E")</f>
        <v>27255</v>
      </c>
    </row>
    <row r="61" spans="1:14" ht="24.75" customHeight="1" x14ac:dyDescent="0.2">
      <c r="A61" s="2403" t="s">
        <v>696</v>
      </c>
      <c r="B61" s="2404"/>
      <c r="C61" s="2404"/>
      <c r="D61" s="2000">
        <v>2365</v>
      </c>
      <c r="E61" s="2001">
        <f>'Expenditures 15-22'!K323</f>
        <v>37056</v>
      </c>
      <c r="F61" s="1996"/>
      <c r="G61" s="2002">
        <v>13492</v>
      </c>
      <c r="H61" s="2003"/>
      <c r="I61" s="2003"/>
      <c r="J61" s="2003"/>
      <c r="K61" s="2003"/>
      <c r="L61" s="2003"/>
      <c r="M61" s="2003">
        <v>23564</v>
      </c>
      <c r="N61" s="1999">
        <f t="shared" si="4"/>
        <v>37056</v>
      </c>
    </row>
    <row r="62" spans="1:14" ht="24" customHeight="1" x14ac:dyDescent="0.2">
      <c r="A62" s="2403" t="s">
        <v>237</v>
      </c>
      <c r="B62" s="2404"/>
      <c r="C62" s="2404"/>
      <c r="D62" s="2000">
        <v>2366</v>
      </c>
      <c r="E62" s="2001">
        <f>'Expenditures 15-22'!K324</f>
        <v>0</v>
      </c>
      <c r="F62" s="1996"/>
      <c r="G62" s="2002"/>
      <c r="H62" s="2003"/>
      <c r="I62" s="2003"/>
      <c r="J62" s="2003"/>
      <c r="K62" s="2003"/>
      <c r="L62" s="2003"/>
      <c r="M62" s="2003"/>
      <c r="N62" s="1999">
        <f t="shared" si="4"/>
        <v>0</v>
      </c>
    </row>
    <row r="63" spans="1:14" ht="24" customHeight="1" x14ac:dyDescent="0.2">
      <c r="A63" s="2409" t="s">
        <v>1021</v>
      </c>
      <c r="B63" s="2410"/>
      <c r="C63" s="2410"/>
      <c r="D63" s="2000">
        <v>2367</v>
      </c>
      <c r="E63" s="2001">
        <f>'Expenditures 15-22'!K325</f>
        <v>9950</v>
      </c>
      <c r="F63" s="1996"/>
      <c r="G63" s="2002"/>
      <c r="H63" s="2003"/>
      <c r="I63" s="2003"/>
      <c r="J63" s="2003"/>
      <c r="K63" s="2003"/>
      <c r="L63" s="2003"/>
      <c r="M63" s="2003">
        <v>9950</v>
      </c>
      <c r="N63" s="1999">
        <f t="shared" si="4"/>
        <v>9950</v>
      </c>
    </row>
    <row r="64" spans="1:14" ht="24" customHeight="1" x14ac:dyDescent="0.2">
      <c r="A64" s="2403" t="s">
        <v>1022</v>
      </c>
      <c r="B64" s="2404"/>
      <c r="C64" s="2404"/>
      <c r="D64" s="2000">
        <v>2368</v>
      </c>
      <c r="E64" s="2001">
        <f>'Expenditures 15-22'!K326</f>
        <v>0</v>
      </c>
      <c r="F64" s="1996"/>
      <c r="G64" s="2002"/>
      <c r="H64" s="2003"/>
      <c r="I64" s="2003"/>
      <c r="J64" s="2003"/>
      <c r="K64" s="2003"/>
      <c r="L64" s="2003"/>
      <c r="M64" s="2003"/>
      <c r="N64" s="1999">
        <f t="shared" si="4"/>
        <v>0</v>
      </c>
    </row>
    <row r="65" spans="1:14" ht="24" customHeight="1" x14ac:dyDescent="0.2">
      <c r="A65" s="2403" t="s">
        <v>964</v>
      </c>
      <c r="B65" s="2404"/>
      <c r="C65" s="2404"/>
      <c r="D65" s="2000">
        <v>2369</v>
      </c>
      <c r="E65" s="2001">
        <f>'Expenditures 15-22'!K327</f>
        <v>4588</v>
      </c>
      <c r="F65" s="1996"/>
      <c r="G65" s="2002"/>
      <c r="H65" s="2003"/>
      <c r="I65" s="2003"/>
      <c r="J65" s="2003"/>
      <c r="K65" s="2003"/>
      <c r="L65" s="2003"/>
      <c r="M65" s="2003">
        <v>4588</v>
      </c>
      <c r="N65" s="1999">
        <f t="shared" si="4"/>
        <v>4588</v>
      </c>
    </row>
    <row r="66" spans="1:14" ht="24" customHeight="1" x14ac:dyDescent="0.2">
      <c r="A66" s="2403" t="s">
        <v>469</v>
      </c>
      <c r="B66" s="2404"/>
      <c r="C66" s="2404"/>
      <c r="D66" s="2000">
        <v>2371</v>
      </c>
      <c r="E66" s="2001">
        <f>'Expenditures 15-22'!K328</f>
        <v>0</v>
      </c>
      <c r="F66" s="1996"/>
      <c r="G66" s="2002"/>
      <c r="H66" s="2003"/>
      <c r="I66" s="2003"/>
      <c r="J66" s="2003"/>
      <c r="K66" s="2003"/>
      <c r="L66" s="2003"/>
      <c r="M66" s="2003"/>
      <c r="N66" s="1999">
        <f t="shared" si="4"/>
        <v>0</v>
      </c>
    </row>
    <row r="67" spans="1:14" ht="24.75" customHeight="1" x14ac:dyDescent="0.2">
      <c r="A67" s="2405" t="s">
        <v>2077</v>
      </c>
      <c r="B67" s="2406"/>
      <c r="C67" s="2406"/>
      <c r="D67" s="2004">
        <v>2372</v>
      </c>
      <c r="E67" s="2005">
        <f>'Expenditures 15-22'!K329</f>
        <v>0</v>
      </c>
      <c r="F67" s="1996"/>
      <c r="G67" s="2006"/>
      <c r="H67" s="2007"/>
      <c r="I67" s="2007"/>
      <c r="J67" s="2007"/>
      <c r="K67" s="2007"/>
      <c r="L67" s="2007"/>
      <c r="M67" s="2007"/>
      <c r="N67" s="1999">
        <f t="shared" si="4"/>
        <v>0</v>
      </c>
    </row>
    <row r="68" spans="1:14" x14ac:dyDescent="0.2">
      <c r="A68" s="2407" t="s">
        <v>1150</v>
      </c>
      <c r="B68" s="2408"/>
      <c r="C68" s="2408"/>
      <c r="D68" s="1990"/>
      <c r="E68" s="2008">
        <f>SUM(E57:E67)</f>
        <v>91143</v>
      </c>
      <c r="F68" s="2009"/>
      <c r="G68" s="2008">
        <f t="shared" ref="G68:N68" si="5">SUM(G57:G67)</f>
        <v>13492</v>
      </c>
      <c r="H68" s="2008">
        <f t="shared" si="5"/>
        <v>0</v>
      </c>
      <c r="I68" s="2008">
        <f t="shared" si="5"/>
        <v>0</v>
      </c>
      <c r="J68" s="2008">
        <f t="shared" si="5"/>
        <v>0</v>
      </c>
      <c r="K68" s="2008">
        <f t="shared" si="5"/>
        <v>0</v>
      </c>
      <c r="L68" s="2008">
        <f t="shared" si="5"/>
        <v>0</v>
      </c>
      <c r="M68" s="2008">
        <f t="shared" si="5"/>
        <v>77651</v>
      </c>
      <c r="N68" s="2010">
        <f t="shared" si="5"/>
        <v>91143</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2078</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QGtyGoAlatRrdyyhaaxM593bYVtGJdYckmM7ShvQ97t9AqVUyhtzjuMLQwGq/r4GYtAwVEfn+WuOqY+vFET9GQ==" saltValue="KVLDx8o2Tv604EralIIIm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8" t="s">
        <v>2082</v>
      </c>
    </row>
    <row r="6" spans="1:2" x14ac:dyDescent="0.2">
      <c r="A6" s="847"/>
      <c r="B6" s="307" t="s">
        <v>64</v>
      </c>
    </row>
    <row r="7" spans="1:2" x14ac:dyDescent="0.2">
      <c r="A7" s="847"/>
      <c r="B7" s="307" t="s">
        <v>2091</v>
      </c>
    </row>
    <row r="8" spans="1:2" x14ac:dyDescent="0.2">
      <c r="A8" s="847"/>
      <c r="B8" s="307" t="s">
        <v>2083</v>
      </c>
    </row>
    <row r="9" spans="1:2" x14ac:dyDescent="0.2">
      <c r="A9" s="848"/>
      <c r="B9" s="307" t="s">
        <v>2084</v>
      </c>
    </row>
    <row r="10" spans="1:2" x14ac:dyDescent="0.2">
      <c r="A10" s="848"/>
    </row>
    <row r="11" spans="1:2" x14ac:dyDescent="0.2">
      <c r="A11" s="848" t="s">
        <v>2085</v>
      </c>
    </row>
    <row r="12" spans="1:2" x14ac:dyDescent="0.2">
      <c r="A12" s="848"/>
      <c r="B12" s="307" t="s">
        <v>64</v>
      </c>
    </row>
    <row r="13" spans="1:2" x14ac:dyDescent="0.2">
      <c r="A13" s="848"/>
      <c r="B13" s="307" t="s">
        <v>2093</v>
      </c>
    </row>
    <row r="14" spans="1:2" x14ac:dyDescent="0.2">
      <c r="A14" s="848"/>
      <c r="B14" s="307" t="s">
        <v>6</v>
      </c>
    </row>
    <row r="15" spans="1:2" ht="12" customHeight="1" x14ac:dyDescent="0.2">
      <c r="A15" s="848"/>
      <c r="B15" s="307" t="s">
        <v>2125</v>
      </c>
    </row>
    <row r="16" spans="1:2" ht="12" customHeight="1" x14ac:dyDescent="0.2">
      <c r="A16" s="848"/>
      <c r="B16" s="307" t="s">
        <v>2129</v>
      </c>
    </row>
    <row r="17" spans="1:2" x14ac:dyDescent="0.2">
      <c r="A17" s="848"/>
      <c r="B17" s="307" t="s">
        <v>338</v>
      </c>
    </row>
    <row r="18" spans="1:2" x14ac:dyDescent="0.2">
      <c r="A18" s="848"/>
      <c r="B18" s="307" t="s">
        <v>2092</v>
      </c>
    </row>
    <row r="19" spans="1:2" x14ac:dyDescent="0.2">
      <c r="A19" s="848"/>
    </row>
    <row r="20" spans="1:2" x14ac:dyDescent="0.2">
      <c r="A20" s="848" t="s">
        <v>2086</v>
      </c>
    </row>
    <row r="21" spans="1:2" x14ac:dyDescent="0.2">
      <c r="A21" s="848"/>
      <c r="B21" s="307" t="s">
        <v>2087</v>
      </c>
    </row>
    <row r="22" spans="1:2" x14ac:dyDescent="0.2">
      <c r="A22" s="848"/>
      <c r="B22" s="307" t="s">
        <v>2088</v>
      </c>
    </row>
    <row r="23" spans="1:2" x14ac:dyDescent="0.2">
      <c r="A23" s="848"/>
    </row>
    <row r="24" spans="1:2" x14ac:dyDescent="0.2">
      <c r="A24" s="848" t="s">
        <v>2089</v>
      </c>
    </row>
    <row r="25" spans="1:2" x14ac:dyDescent="0.2">
      <c r="A25" s="848"/>
      <c r="B25" s="307" t="s">
        <v>64</v>
      </c>
    </row>
    <row r="26" spans="1:2" x14ac:dyDescent="0.2">
      <c r="A26" s="848"/>
      <c r="B26" s="307" t="s">
        <v>2094</v>
      </c>
    </row>
    <row r="27" spans="1:2" x14ac:dyDescent="0.2">
      <c r="A27" s="848"/>
    </row>
    <row r="28" spans="1:2" x14ac:dyDescent="0.2">
      <c r="A28" s="848" t="s">
        <v>2095</v>
      </c>
    </row>
    <row r="29" spans="1:2" x14ac:dyDescent="0.2">
      <c r="A29" s="848"/>
      <c r="B29" s="307" t="s">
        <v>2087</v>
      </c>
    </row>
    <row r="30" spans="1:2" x14ac:dyDescent="0.2">
      <c r="A30" s="848"/>
      <c r="B30" s="307" t="s">
        <v>2126</v>
      </c>
    </row>
    <row r="31" spans="1:2" x14ac:dyDescent="0.2">
      <c r="A31" s="848"/>
    </row>
    <row r="32" spans="1:2" x14ac:dyDescent="0.2">
      <c r="A32" s="848" t="s">
        <v>2090</v>
      </c>
    </row>
    <row r="33" spans="1:2" x14ac:dyDescent="0.2">
      <c r="A33" s="848"/>
      <c r="B33" s="307" t="s">
        <v>64</v>
      </c>
    </row>
    <row r="34" spans="1:2" x14ac:dyDescent="0.2">
      <c r="A34" s="848"/>
      <c r="B34" s="307" t="s">
        <v>2097</v>
      </c>
    </row>
    <row r="35" spans="1:2" x14ac:dyDescent="0.2">
      <c r="A35" s="848"/>
      <c r="B35" s="307" t="s">
        <v>2096</v>
      </c>
    </row>
    <row r="36" spans="1:2" x14ac:dyDescent="0.2">
      <c r="A36" s="848"/>
    </row>
    <row r="37" spans="1:2" x14ac:dyDescent="0.2">
      <c r="A37" s="848" t="s">
        <v>2127</v>
      </c>
    </row>
    <row r="38" spans="1:2" x14ac:dyDescent="0.2">
      <c r="A38" s="848"/>
      <c r="B38" s="307" t="s">
        <v>407</v>
      </c>
    </row>
    <row r="39" spans="1:2" x14ac:dyDescent="0.2">
      <c r="A39" s="848" t="s">
        <v>1158</v>
      </c>
      <c r="B39" s="307" t="s">
        <v>2128</v>
      </c>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Brownstown CUSD 201</v>
      </c>
    </row>
    <row r="69" spans="1:2" x14ac:dyDescent="0.2">
      <c r="B69" s="849">
        <f>COVER!A13</f>
        <v>3026201026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2079</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2080</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1588</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gBjG22mzzeG9OL81aI81Eg+4KszafJvr8S5ZAn4q6ex0vJmBJsRNaR6/dSlC9gTpxAplPSu+JQGfd8c7D4G2Kg==" saltValue="1xfeHkkL/h4hqPH1FRtSm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1" t="s">
        <v>1662</v>
      </c>
      <c r="B18" s="24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0</xdr:col>
                <xdr:colOff>76200</xdr:colOff>
                <xdr:row>0</xdr:row>
                <xdr:rowOff>57150</xdr:rowOff>
              </from>
              <to>
                <xdr:col>1</xdr:col>
                <xdr:colOff>866775</xdr:colOff>
                <xdr:row>4</xdr:row>
                <xdr:rowOff>95250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9" r:id="rId6">
          <objectPr defaultSize="0" r:id="rId7">
            <anchor moveWithCells="1">
              <from>
                <xdr:col>1</xdr:col>
                <xdr:colOff>1971675</xdr:colOff>
                <xdr:row>0</xdr:row>
                <xdr:rowOff>66675</xdr:rowOff>
              </from>
              <to>
                <xdr:col>1</xdr:col>
                <xdr:colOff>2886075</xdr:colOff>
                <xdr:row>4</xdr:row>
                <xdr:rowOff>104775</xdr:rowOff>
              </to>
            </anchor>
          </objectPr>
        </oleObject>
      </mc:Choice>
      <mc:Fallback>
        <oleObject progId="Acrobat Document" dvAspect="DVASPECT_ICON" shapeId="45059" r:id="rId6"/>
      </mc:Fallback>
    </mc:AlternateContent>
    <mc:AlternateContent xmlns:mc="http://schemas.openxmlformats.org/markup-compatibility/2006">
      <mc:Choice Requires="x14">
        <oleObject progId="Acrobat Document" dvAspect="DVASPECT_ICON" shapeId="45060" r:id="rId8">
          <objectPr defaultSize="0" r:id="rId9">
            <anchor moveWithCells="1">
              <from>
                <xdr:col>1</xdr:col>
                <xdr:colOff>2962275</xdr:colOff>
                <xdr:row>0</xdr:row>
                <xdr:rowOff>66675</xdr:rowOff>
              </from>
              <to>
                <xdr:col>1</xdr:col>
                <xdr:colOff>3876675</xdr:colOff>
                <xdr:row>4</xdr:row>
                <xdr:rowOff>104775</xdr:rowOff>
              </to>
            </anchor>
          </objectPr>
        </oleObject>
      </mc:Choice>
      <mc:Fallback>
        <oleObject progId="Acrobat Document" dvAspect="DVASPECT_ICON" shapeId="45060" r:id="rId8"/>
      </mc:Fallback>
    </mc:AlternateContent>
    <mc:AlternateContent xmlns:mc="http://schemas.openxmlformats.org/markup-compatibility/2006">
      <mc:Choice Requires="x14">
        <oleObject progId="Acrobat Document" dvAspect="DVASPECT_ICON" shapeId="45061" r:id="rId10">
          <objectPr defaultSize="0" r:id="rId11">
            <anchor moveWithCells="1">
              <from>
                <xdr:col>0</xdr:col>
                <xdr:colOff>85725</xdr:colOff>
                <xdr:row>5</xdr:row>
                <xdr:rowOff>0</xdr:rowOff>
              </from>
              <to>
                <xdr:col>1</xdr:col>
                <xdr:colOff>876300</xdr:colOff>
                <xdr:row>9</xdr:row>
                <xdr:rowOff>38100</xdr:rowOff>
              </to>
            </anchor>
          </objectPr>
        </oleObject>
      </mc:Choice>
      <mc:Fallback>
        <oleObject progId="Acrobat Document" dvAspect="DVASPECT_ICON" shapeId="45061" r:id="rId10"/>
      </mc:Fallback>
    </mc:AlternateContent>
    <mc:AlternateContent xmlns:mc="http://schemas.openxmlformats.org/markup-compatibility/2006">
      <mc:Choice Requires="x14">
        <oleObject progId="Acrobat Document" dvAspect="DVASPECT_ICON" shapeId="45062" r:id="rId12">
          <objectPr defaultSize="0" r:id="rId13">
            <anchor moveWithCells="1">
              <from>
                <xdr:col>1</xdr:col>
                <xdr:colOff>971550</xdr:colOff>
                <xdr:row>5</xdr:row>
                <xdr:rowOff>0</xdr:rowOff>
              </from>
              <to>
                <xdr:col>1</xdr:col>
                <xdr:colOff>1885950</xdr:colOff>
                <xdr:row>9</xdr:row>
                <xdr:rowOff>38100</xdr:rowOff>
              </to>
            </anchor>
          </objectPr>
        </oleObject>
      </mc:Choice>
      <mc:Fallback>
        <oleObject progId="Acrobat Document" dvAspect="DVASPECT_ICON" shapeId="45062" r:id="rId12"/>
      </mc:Fallback>
    </mc:AlternateContent>
    <mc:AlternateContent xmlns:mc="http://schemas.openxmlformats.org/markup-compatibility/2006">
      <mc:Choice Requires="x14">
        <oleObject progId="Acrobat Document" dvAspect="DVASPECT_ICON" shapeId="45063" r:id="rId14">
          <objectPr defaultSize="0" r:id="rId15">
            <anchor moveWithCells="1">
              <from>
                <xdr:col>1</xdr:col>
                <xdr:colOff>1971675</xdr:colOff>
                <xdr:row>5</xdr:row>
                <xdr:rowOff>9525</xdr:rowOff>
              </from>
              <to>
                <xdr:col>1</xdr:col>
                <xdr:colOff>2886075</xdr:colOff>
                <xdr:row>9</xdr:row>
                <xdr:rowOff>47625</xdr:rowOff>
              </to>
            </anchor>
          </objectPr>
        </oleObject>
      </mc:Choice>
      <mc:Fallback>
        <oleObject progId="Acrobat Document" dvAspect="DVASPECT_ICON" shapeId="45063" r:id="rId14"/>
      </mc:Fallback>
    </mc:AlternateContent>
    <mc:AlternateContent xmlns:mc="http://schemas.openxmlformats.org/markup-compatibility/2006">
      <mc:Choice Requires="x14">
        <oleObject progId="Acrobat Document" dvAspect="DVASPECT_ICON" shapeId="45064" r:id="rId16">
          <objectPr defaultSize="0" r:id="rId17">
            <anchor moveWithCells="1">
              <from>
                <xdr:col>1</xdr:col>
                <xdr:colOff>2962275</xdr:colOff>
                <xdr:row>4</xdr:row>
                <xdr:rowOff>152400</xdr:rowOff>
              </from>
              <to>
                <xdr:col>1</xdr:col>
                <xdr:colOff>3876675</xdr:colOff>
                <xdr:row>9</xdr:row>
                <xdr:rowOff>28575</xdr:rowOff>
              </to>
            </anchor>
          </objectPr>
        </oleObject>
      </mc:Choice>
      <mc:Fallback>
        <oleObject progId="Acrobat Document" dvAspect="DVASPECT_ICON" shapeId="45064" r:id="rId16"/>
      </mc:Fallback>
    </mc:AlternateContent>
    <mc:AlternateContent xmlns:mc="http://schemas.openxmlformats.org/markup-compatibility/2006">
      <mc:Choice Requires="x14">
        <oleObject progId="Acrobat Document" dvAspect="DVASPECT_ICON" shapeId="45065" r:id="rId18">
          <objectPr defaultSize="0" r:id="rId19">
            <anchor moveWithCells="1">
              <from>
                <xdr:col>1</xdr:col>
                <xdr:colOff>962025</xdr:colOff>
                <xdr:row>0</xdr:row>
                <xdr:rowOff>57150</xdr:rowOff>
              </from>
              <to>
                <xdr:col>1</xdr:col>
                <xdr:colOff>1876425</xdr:colOff>
                <xdr:row>4</xdr:row>
                <xdr:rowOff>95250</xdr:rowOff>
              </to>
            </anchor>
          </objectPr>
        </oleObject>
      </mc:Choice>
      <mc:Fallback>
        <oleObject progId="Acrobat Document" dvAspect="DVASPECT_ICON" shapeId="45065"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1666</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3"/>
      <c r="H2" s="853"/>
    </row>
    <row r="3" spans="1:8" ht="57" customHeight="1" x14ac:dyDescent="0.2">
      <c r="A3" s="2465" t="s">
        <v>1969</v>
      </c>
      <c r="B3" s="2466"/>
      <c r="C3" s="2466"/>
      <c r="D3" s="2466"/>
      <c r="E3" s="2466"/>
      <c r="F3" s="2467"/>
      <c r="G3" s="853"/>
      <c r="H3" s="853"/>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3"/>
      <c r="H4" s="853"/>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3"/>
      <c r="H5" s="853"/>
    </row>
    <row r="6" spans="1:8" s="854" customFormat="1" ht="41.25" customHeight="1" x14ac:dyDescent="0.2">
      <c r="A6" s="2468" t="s">
        <v>1667</v>
      </c>
      <c r="B6" s="2469"/>
      <c r="C6" s="2469"/>
      <c r="D6" s="2469"/>
      <c r="E6" s="2469"/>
      <c r="F6" s="2470"/>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3958439</v>
      </c>
      <c r="C8" s="1798">
        <f>'Acct Summary 7-8'!D8</f>
        <v>221546</v>
      </c>
      <c r="D8" s="1798">
        <f>'Acct Summary 7-8'!F8</f>
        <v>302877</v>
      </c>
      <c r="E8" s="1798">
        <f>'Acct Summary 7-8'!I8</f>
        <v>12655</v>
      </c>
      <c r="F8" s="1798">
        <f>SUM(B8:E8)</f>
        <v>4495517</v>
      </c>
    </row>
    <row r="9" spans="1:8" s="858" customFormat="1" ht="14.25" customHeight="1" thickBot="1" x14ac:dyDescent="0.25">
      <c r="A9" s="857" t="s">
        <v>1351</v>
      </c>
      <c r="B9" s="1799">
        <f>'Acct Summary 7-8'!C17</f>
        <v>3828221</v>
      </c>
      <c r="C9" s="1799">
        <f>'Acct Summary 7-8'!D17</f>
        <v>313053</v>
      </c>
      <c r="D9" s="1799">
        <f>'Acct Summary 7-8'!F17</f>
        <v>260303</v>
      </c>
      <c r="E9" s="1798"/>
      <c r="F9" s="1798">
        <f>SUM(B9:E9)</f>
        <v>4401577</v>
      </c>
    </row>
    <row r="10" spans="1:8" s="858" customFormat="1" ht="14.25" thickTop="1" thickBot="1" x14ac:dyDescent="0.25">
      <c r="A10" s="859" t="s">
        <v>1352</v>
      </c>
      <c r="B10" s="1800">
        <f>(B8-B9)</f>
        <v>130218</v>
      </c>
      <c r="C10" s="1800">
        <f>(C8-C9)</f>
        <v>-91507</v>
      </c>
      <c r="D10" s="1800">
        <f>(D8-D9)</f>
        <v>42574</v>
      </c>
      <c r="E10" s="1799">
        <f>(E8-E9)</f>
        <v>12655</v>
      </c>
      <c r="F10" s="1801">
        <f>SUM(F8-F9)</f>
        <v>93940</v>
      </c>
    </row>
    <row r="11" spans="1:8" s="858" customFormat="1" ht="14.25" thickTop="1" thickBot="1" x14ac:dyDescent="0.25">
      <c r="A11" s="860" t="s">
        <v>1900</v>
      </c>
      <c r="B11" s="1802">
        <f>'Acct Summary 7-8'!C81</f>
        <v>2130970</v>
      </c>
      <c r="C11" s="1802">
        <f>'Acct Summary 7-8'!D81</f>
        <v>134688</v>
      </c>
      <c r="D11" s="1802">
        <f>'Acct Summary 7-8'!F81</f>
        <v>178181</v>
      </c>
      <c r="E11" s="1802">
        <f>'Acct Summary 7-8'!I81</f>
        <v>92147</v>
      </c>
      <c r="F11" s="1803">
        <f>SUM(B11:E11)</f>
        <v>2535986</v>
      </c>
    </row>
    <row r="12" spans="1:8" ht="16.5" customHeight="1" thickTop="1" x14ac:dyDescent="0.2">
      <c r="A12" s="861"/>
      <c r="B12" s="862"/>
      <c r="C12" s="2456" t="str">
        <f>IF(AND(F10&lt;0,F11&gt;=0,ABS(F10*3)&gt;ABS(F11)),A16,IF(AND(F10&lt;0,F11&gt;0,ABS(F10*3)&lt;=ABS(F11)),A17,IF(AND(F10&lt;0,F11&lt;0),A16,IF(F11=0,A19,A18))))</f>
        <v>Balanced - no deficit reduction plan is required.</v>
      </c>
      <c r="D12" s="2457"/>
      <c r="E12" s="2457"/>
      <c r="F12" s="2458"/>
    </row>
    <row r="13" spans="1:8" ht="19.5" customHeight="1" x14ac:dyDescent="0.2">
      <c r="A13" s="863"/>
      <c r="B13" s="864"/>
      <c r="C13" s="2456"/>
      <c r="D13" s="2457"/>
      <c r="E13" s="2457"/>
      <c r="F13" s="2458"/>
      <c r="H13" s="853"/>
    </row>
    <row r="14" spans="1:8" ht="19.5" customHeight="1" x14ac:dyDescent="0.2">
      <c r="A14" s="863"/>
      <c r="B14" s="864"/>
      <c r="C14" s="2456"/>
      <c r="D14" s="2457"/>
      <c r="E14" s="2457"/>
      <c r="F14" s="2458"/>
      <c r="H14" s="853"/>
    </row>
    <row r="15" spans="1:8" ht="17.25" customHeight="1" x14ac:dyDescent="0.2">
      <c r="A15" s="863"/>
      <c r="B15" s="864"/>
      <c r="C15" s="2459"/>
      <c r="D15" s="2460"/>
      <c r="E15" s="2460"/>
      <c r="F15" s="2461"/>
      <c r="H15" s="853"/>
    </row>
    <row r="16" spans="1:8" s="288" customFormat="1" ht="51.75" hidden="1" customHeight="1" x14ac:dyDescent="0.2">
      <c r="A16" s="2455" t="s">
        <v>1663</v>
      </c>
      <c r="B16" s="2455"/>
      <c r="C16" s="2455"/>
      <c r="D16" s="2455"/>
      <c r="E16" s="2455"/>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L22" sqref="L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7" t="s">
        <v>660</v>
      </c>
      <c r="B3" s="2478"/>
      <c r="C3" s="2478"/>
      <c r="D3" s="2479"/>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8" t="s">
        <v>1484</v>
      </c>
      <c r="D7" s="2489"/>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80" t="s">
        <v>1000</v>
      </c>
      <c r="B15" s="2481"/>
      <c r="C15" s="2481"/>
      <c r="D15" s="2482"/>
    </row>
    <row r="16" spans="1:4" s="542" customFormat="1" ht="24" customHeight="1" x14ac:dyDescent="0.2">
      <c r="A16" s="2483" t="s">
        <v>658</v>
      </c>
      <c r="B16" s="2484"/>
      <c r="C16" s="2484"/>
      <c r="D16" s="2485"/>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2" t="s">
        <v>311</v>
      </c>
      <c r="D21" s="2493"/>
    </row>
    <row r="22" spans="1:10" ht="12.75" x14ac:dyDescent="0.2">
      <c r="A22" s="918"/>
      <c r="B22" s="919">
        <v>2</v>
      </c>
      <c r="C22" s="2490" t="s">
        <v>1504</v>
      </c>
      <c r="D22" s="249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4" t="s">
        <v>533</v>
      </c>
      <c r="D43" s="249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6" t="s">
        <v>778</v>
      </c>
      <c r="D56" s="248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6" t="s">
        <v>1671</v>
      </c>
      <c r="D70" s="248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XZmWVs5TvnXUaE50Sfp3RcpoaQHuEqKSMcDMWYhgRzkD5/Oimll4V7A3rxiVAE1KtYzlDwnjgHhJl3rnXHjhDA==" saltValue="qgoF8K/3UzZNxPiR/WgI7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3026201026</v>
      </c>
      <c r="E2" s="1542">
        <v>2020</v>
      </c>
      <c r="F2" s="1542">
        <v>1</v>
      </c>
      <c r="G2" s="1883">
        <v>101000300</v>
      </c>
    </row>
    <row r="3" spans="1:7" ht="15" x14ac:dyDescent="0.25">
      <c r="A3" t="s">
        <v>949</v>
      </c>
      <c r="B3" s="135" t="str">
        <f>COVER!A15</f>
        <v>FAYETTE</v>
      </c>
      <c r="E3" s="1815" t="s">
        <v>1968</v>
      </c>
      <c r="F3" s="1815" t="s">
        <v>1967</v>
      </c>
      <c r="G3" s="1883">
        <v>101000400</v>
      </c>
    </row>
    <row r="4" spans="1:7" ht="15" x14ac:dyDescent="0.25">
      <c r="A4" t="s">
        <v>999</v>
      </c>
      <c r="B4" s="135" t="str">
        <f>COVER!A17</f>
        <v xml:space="preserve"> Brownstown CUSD 201</v>
      </c>
      <c r="E4" s="1813">
        <v>44119</v>
      </c>
      <c r="F4" s="1814">
        <v>44151</v>
      </c>
      <c r="G4" s="1883">
        <v>101000600</v>
      </c>
    </row>
    <row r="5" spans="1:7" ht="15" x14ac:dyDescent="0.25">
      <c r="A5" t="s">
        <v>698</v>
      </c>
      <c r="B5" s="135" t="str">
        <f>COVER!A38</f>
        <v>MICHAEL SHACKELFORD</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JULIE WOLLERMAN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CORY A. BROWN</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Yes</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260600</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1358</v>
      </c>
      <c r="D76" s="2" t="str">
        <f t="shared" si="0"/>
        <v>Error?</v>
      </c>
      <c r="G76" s="1883">
        <v>102570600</v>
      </c>
    </row>
    <row r="77" spans="1:7" ht="15" x14ac:dyDescent="0.25">
      <c r="A77" s="5">
        <v>16</v>
      </c>
      <c r="B77" s="1817">
        <f>'Assets-Liab 5-6'!C13</f>
        <v>2130970</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1961662</v>
      </c>
      <c r="D92" s="2" t="str">
        <f t="shared" si="0"/>
        <v>Error?</v>
      </c>
      <c r="G92" s="1883">
        <v>102640600</v>
      </c>
    </row>
    <row r="93" spans="1:7" ht="15" x14ac:dyDescent="0.25">
      <c r="A93" s="5">
        <v>32</v>
      </c>
      <c r="B93" s="1817">
        <f>'Assets-Liab 5-6'!C41</f>
        <v>2130970</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11</v>
      </c>
      <c r="D108" s="2" t="str">
        <f t="shared" si="0"/>
        <v>Error?</v>
      </c>
      <c r="G108" s="1883">
        <v>402900600</v>
      </c>
    </row>
    <row r="109" spans="1:7" ht="15" x14ac:dyDescent="0.25">
      <c r="A109" s="5">
        <v>48</v>
      </c>
      <c r="B109" s="1817">
        <f>'Assets-Liab 5-6'!D13</f>
        <v>134688</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134688</v>
      </c>
      <c r="D123" s="2" t="str">
        <f t="shared" si="0"/>
        <v>Error?</v>
      </c>
      <c r="G123" s="1883">
        <v>203000400</v>
      </c>
    </row>
    <row r="124" spans="1:7" ht="15" x14ac:dyDescent="0.25">
      <c r="A124" s="5">
        <v>63</v>
      </c>
      <c r="B124" s="1817">
        <f>'Assets-Liab 5-6'!D41</f>
        <v>134688</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119271</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2599</v>
      </c>
      <c r="D140" s="2" t="str">
        <f t="shared" si="1"/>
        <v>Error?</v>
      </c>
    </row>
    <row r="141" spans="1:7" x14ac:dyDescent="0.2">
      <c r="A141" s="5">
        <v>80</v>
      </c>
      <c r="B141" s="1817">
        <f>'Assets-Liab 5-6'!E41</f>
        <v>119271</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178181</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178181</v>
      </c>
      <c r="D170" s="2" t="str">
        <f t="shared" si="1"/>
        <v>Error?</v>
      </c>
    </row>
    <row r="171" spans="1:4" x14ac:dyDescent="0.2">
      <c r="A171" s="5">
        <v>110</v>
      </c>
      <c r="B171" s="1817">
        <f>'Assets-Liab 5-6'!F41</f>
        <v>178181</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173125</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160976</v>
      </c>
      <c r="D189" s="2" t="str">
        <f t="shared" si="1"/>
        <v>Error?</v>
      </c>
    </row>
    <row r="190" spans="1:4" x14ac:dyDescent="0.2">
      <c r="A190" s="5">
        <v>129</v>
      </c>
      <c r="B190" s="1817">
        <f>'Assets-Liab 5-6'!G41</f>
        <v>173125</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1383622</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1325169</v>
      </c>
      <c r="D212" s="2" t="str">
        <f t="shared" si="2"/>
        <v>Error?</v>
      </c>
    </row>
    <row r="213" spans="1:4" x14ac:dyDescent="0.2">
      <c r="A213" s="12">
        <v>152</v>
      </c>
      <c r="B213" s="1817">
        <f>'Assets-Liab 5-6'!H41</f>
        <v>1383622</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46608</v>
      </c>
      <c r="D273" s="2" t="str">
        <f t="shared" si="3"/>
        <v>Error?</v>
      </c>
    </row>
    <row r="274" spans="1:4" x14ac:dyDescent="0.2">
      <c r="A274" s="5">
        <v>213</v>
      </c>
      <c r="B274" s="1817">
        <f>'Assets-Liab 5-6'!M17</f>
        <v>6342906</v>
      </c>
      <c r="D274" s="2" t="str">
        <f t="shared" si="3"/>
        <v>Error?</v>
      </c>
    </row>
    <row r="275" spans="1:4" x14ac:dyDescent="0.2">
      <c r="A275" s="5">
        <v>214</v>
      </c>
      <c r="B275" s="1817">
        <f>'Assets-Liab 5-6'!M18</f>
        <v>366758</v>
      </c>
      <c r="D275" s="2" t="str">
        <f t="shared" si="3"/>
        <v>Error?</v>
      </c>
    </row>
    <row r="276" spans="1:4" x14ac:dyDescent="0.2">
      <c r="A276" s="5">
        <v>215</v>
      </c>
      <c r="B276" s="1817">
        <f>'Assets-Liab 5-6'!M19</f>
        <v>740787</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8636962</v>
      </c>
      <c r="C279" s="2" t="s">
        <v>569</v>
      </c>
      <c r="D279" s="2" t="str">
        <f t="shared" si="3"/>
        <v>Error?</v>
      </c>
    </row>
    <row r="280" spans="1:4" x14ac:dyDescent="0.2">
      <c r="A280" s="5">
        <v>219</v>
      </c>
      <c r="B280" s="1817">
        <f>'Assets-Liab 5-6'!M40</f>
        <v>8636962</v>
      </c>
      <c r="D280" s="2" t="str">
        <f t="shared" si="3"/>
        <v>Error?</v>
      </c>
    </row>
    <row r="281" spans="1:4" x14ac:dyDescent="0.2">
      <c r="A281" s="5">
        <v>220</v>
      </c>
      <c r="B281" s="1817">
        <f>'Assets-Liab 5-6'!M41</f>
        <v>8636962</v>
      </c>
      <c r="C281" s="2" t="s">
        <v>569</v>
      </c>
      <c r="D281" s="2" t="str">
        <f t="shared" si="3"/>
        <v>Error?</v>
      </c>
    </row>
    <row r="282" spans="1:4" x14ac:dyDescent="0.2">
      <c r="A282" s="5">
        <v>221</v>
      </c>
      <c r="B282" s="1817">
        <f>'Assets-Liab 5-6'!N21</f>
        <v>119271</v>
      </c>
      <c r="D282" s="2" t="str">
        <f t="shared" si="3"/>
        <v>Error?</v>
      </c>
    </row>
    <row r="283" spans="1:4" x14ac:dyDescent="0.2">
      <c r="A283" s="5">
        <v>222</v>
      </c>
      <c r="B283" s="1817">
        <f>'Assets-Liab 5-6'!N22</f>
        <v>3164986</v>
      </c>
      <c r="D283" s="2" t="str">
        <f t="shared" si="3"/>
        <v>Error?</v>
      </c>
    </row>
    <row r="284" spans="1:4" x14ac:dyDescent="0.2">
      <c r="A284" s="5">
        <v>223</v>
      </c>
      <c r="B284" s="1817">
        <f>'Assets-Liab 5-6'!N23</f>
        <v>3284257</v>
      </c>
      <c r="C284" s="2" t="s">
        <v>569</v>
      </c>
      <c r="D284" s="2" t="str">
        <f t="shared" si="3"/>
        <v>Error?</v>
      </c>
    </row>
    <row r="285" spans="1:4" x14ac:dyDescent="0.2">
      <c r="A285" s="5">
        <v>224</v>
      </c>
      <c r="B285" s="1817">
        <f>'Assets-Liab 5-6'!N36</f>
        <v>3284257</v>
      </c>
      <c r="D285" s="2" t="str">
        <f t="shared" si="3"/>
        <v>Error?</v>
      </c>
    </row>
    <row r="286" spans="1:4" x14ac:dyDescent="0.2">
      <c r="A286" s="10">
        <v>225</v>
      </c>
      <c r="B286" s="1817"/>
      <c r="D286" s="2" t="str">
        <f t="shared" si="3"/>
        <v>OK</v>
      </c>
    </row>
    <row r="287" spans="1:4" x14ac:dyDescent="0.2">
      <c r="A287" s="5">
        <v>226</v>
      </c>
      <c r="B287" s="1817">
        <f>'Assets-Liab 5-6'!N37</f>
        <v>3284257</v>
      </c>
      <c r="C287" s="2" t="s">
        <v>569</v>
      </c>
      <c r="D287" s="2" t="str">
        <f t="shared" si="3"/>
        <v>Error?</v>
      </c>
    </row>
    <row r="288" spans="1:4" x14ac:dyDescent="0.2">
      <c r="A288" s="5">
        <v>227</v>
      </c>
      <c r="B288" s="1817">
        <f>'Assets-Liab 5-6'!N41</f>
        <v>3284257</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2500000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942147</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55104</v>
      </c>
      <c r="D717" s="2" t="str">
        <f t="shared" si="10"/>
        <v>Error?</v>
      </c>
    </row>
    <row r="718" spans="1:4" x14ac:dyDescent="0.2">
      <c r="A718" s="5">
        <v>657</v>
      </c>
      <c r="B718" s="1817">
        <f>'Expenditures 15-22'!C14</f>
        <v>69847</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1396455</v>
      </c>
      <c r="C720" s="2" t="s">
        <v>569</v>
      </c>
      <c r="D720" s="2" t="str">
        <f t="shared" si="10"/>
        <v>Error?</v>
      </c>
    </row>
    <row r="721" spans="1:4" x14ac:dyDescent="0.2">
      <c r="A721" s="5">
        <v>660</v>
      </c>
      <c r="B721" s="1817">
        <f>'Expenditures 15-22'!C36</f>
        <v>46007</v>
      </c>
      <c r="D721" s="2" t="str">
        <f t="shared" si="10"/>
        <v>Error?</v>
      </c>
    </row>
    <row r="722" spans="1:4" x14ac:dyDescent="0.2">
      <c r="A722" s="5">
        <v>661</v>
      </c>
      <c r="B722" s="1817">
        <f>'Expenditures 15-22'!C37</f>
        <v>60590</v>
      </c>
      <c r="D722" s="2" t="str">
        <f t="shared" si="10"/>
        <v>Error?</v>
      </c>
    </row>
    <row r="723" spans="1:4" x14ac:dyDescent="0.2">
      <c r="A723" s="5">
        <v>662</v>
      </c>
      <c r="B723" s="1817">
        <f>'Expenditures 15-22'!C38</f>
        <v>49710</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156307</v>
      </c>
      <c r="C727" s="2" t="s">
        <v>569</v>
      </c>
      <c r="D727" s="2" t="str">
        <f t="shared" si="10"/>
        <v>Error?</v>
      </c>
    </row>
    <row r="728" spans="1:4" x14ac:dyDescent="0.2">
      <c r="A728" s="5">
        <v>667</v>
      </c>
      <c r="B728" s="1817">
        <f>'Expenditures 15-22'!C44</f>
        <v>3133</v>
      </c>
      <c r="D728" s="2" t="str">
        <f t="shared" si="10"/>
        <v>Error?</v>
      </c>
    </row>
    <row r="729" spans="1:4" x14ac:dyDescent="0.2">
      <c r="A729" s="5">
        <v>668</v>
      </c>
      <c r="B729" s="1817">
        <f>'Expenditures 15-22'!C45</f>
        <v>25298</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28431</v>
      </c>
      <c r="C731" s="2" t="s">
        <v>569</v>
      </c>
      <c r="D731" s="2" t="str">
        <f t="shared" si="10"/>
        <v>Error?</v>
      </c>
    </row>
    <row r="732" spans="1:4" x14ac:dyDescent="0.2">
      <c r="A732" s="5">
        <v>671</v>
      </c>
      <c r="B732" s="1817">
        <f>'Expenditures 15-22'!C49</f>
        <v>36069</v>
      </c>
      <c r="D732" s="2" t="str">
        <f t="shared" si="10"/>
        <v>Error?</v>
      </c>
    </row>
    <row r="733" spans="1:4" x14ac:dyDescent="0.2">
      <c r="A733" s="5">
        <v>672</v>
      </c>
      <c r="B733" s="1817">
        <f>'Expenditures 15-22'!C50</f>
        <v>71337</v>
      </c>
      <c r="D733" s="2" t="str">
        <f t="shared" si="10"/>
        <v>Error?</v>
      </c>
    </row>
    <row r="734" spans="1:4" x14ac:dyDescent="0.2">
      <c r="A734" s="5">
        <v>673</v>
      </c>
      <c r="B734" s="1817">
        <f>'Expenditures 15-22'!C53</f>
        <v>107406</v>
      </c>
      <c r="C734" s="2" t="s">
        <v>569</v>
      </c>
      <c r="D734" s="2" t="str">
        <f t="shared" si="10"/>
        <v>Error?</v>
      </c>
    </row>
    <row r="735" spans="1:4" x14ac:dyDescent="0.2">
      <c r="A735" s="5">
        <v>674</v>
      </c>
      <c r="B735" s="1817">
        <f>'Expenditures 15-22'!C55</f>
        <v>121398</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121398</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41585</v>
      </c>
      <c r="D739" s="2" t="str">
        <f t="shared" si="10"/>
        <v>Error?</v>
      </c>
    </row>
    <row r="740" spans="1:4" x14ac:dyDescent="0.2">
      <c r="A740" s="5">
        <v>679</v>
      </c>
      <c r="B740" s="1817">
        <f>'Expenditures 15-22'!C61</f>
        <v>151189</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66756</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259530</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673072</v>
      </c>
      <c r="C755" s="2" t="s">
        <v>569</v>
      </c>
      <c r="D755" s="2" t="str">
        <f t="shared" si="10"/>
        <v>Error?</v>
      </c>
    </row>
    <row r="756" spans="1:4" x14ac:dyDescent="0.2">
      <c r="A756" s="5">
        <v>695</v>
      </c>
      <c r="B756" s="1817">
        <f>'Expenditures 15-22'!C75</f>
        <v>20423</v>
      </c>
      <c r="D756" s="2" t="str">
        <f t="shared" si="10"/>
        <v>Error?</v>
      </c>
    </row>
    <row r="757" spans="1:4" x14ac:dyDescent="0.2">
      <c r="A757" s="5">
        <v>696</v>
      </c>
      <c r="B757" s="1817">
        <f>'Expenditures 15-22'!C114</f>
        <v>2089950</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172154</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10682</v>
      </c>
      <c r="D775" s="2" t="str">
        <f t="shared" si="11"/>
        <v>Error?</v>
      </c>
    </row>
    <row r="776" spans="1:4" x14ac:dyDescent="0.2">
      <c r="A776" s="5">
        <v>715</v>
      </c>
      <c r="B776" s="1817">
        <f>'Expenditures 15-22'!D14</f>
        <v>10279</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249696</v>
      </c>
      <c r="C778" s="2" t="s">
        <v>569</v>
      </c>
      <c r="D778" s="2" t="str">
        <f t="shared" si="11"/>
        <v>Error?</v>
      </c>
    </row>
    <row r="779" spans="1:4" x14ac:dyDescent="0.2">
      <c r="A779" s="5">
        <v>718</v>
      </c>
      <c r="B779" s="1817">
        <f>'Expenditures 15-22'!D36</f>
        <v>1081</v>
      </c>
      <c r="D779" s="2" t="str">
        <f t="shared" si="11"/>
        <v>Error?</v>
      </c>
    </row>
    <row r="780" spans="1:4" x14ac:dyDescent="0.2">
      <c r="A780" s="5">
        <v>719</v>
      </c>
      <c r="B780" s="1817">
        <f>'Expenditures 15-22'!D37</f>
        <v>11542</v>
      </c>
      <c r="D780" s="2" t="str">
        <f t="shared" si="11"/>
        <v>Error?</v>
      </c>
    </row>
    <row r="781" spans="1:4" x14ac:dyDescent="0.2">
      <c r="A781" s="5">
        <v>720</v>
      </c>
      <c r="B781" s="1817">
        <f>'Expenditures 15-22'!D38</f>
        <v>3887</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16510</v>
      </c>
      <c r="C785" s="2" t="s">
        <v>569</v>
      </c>
      <c r="D785" s="2" t="str">
        <f t="shared" si="11"/>
        <v>Error?</v>
      </c>
    </row>
    <row r="786" spans="1:4" x14ac:dyDescent="0.2">
      <c r="A786" s="5">
        <v>725</v>
      </c>
      <c r="B786" s="1817">
        <f>'Expenditures 15-22'!D44</f>
        <v>1900</v>
      </c>
      <c r="D786" s="2" t="str">
        <f t="shared" si="11"/>
        <v>Error?</v>
      </c>
    </row>
    <row r="787" spans="1:4" x14ac:dyDescent="0.2">
      <c r="A787" s="5">
        <v>726</v>
      </c>
      <c r="B787" s="1817">
        <f>'Expenditures 15-22'!D45</f>
        <v>3875</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5775</v>
      </c>
      <c r="C789" s="2" t="s">
        <v>569</v>
      </c>
      <c r="D789" s="2" t="str">
        <f t="shared" si="11"/>
        <v>Error?</v>
      </c>
    </row>
    <row r="790" spans="1:4" x14ac:dyDescent="0.2">
      <c r="A790" s="5">
        <v>729</v>
      </c>
      <c r="B790" s="1817">
        <f>'Expenditures 15-22'!D49</f>
        <v>2435</v>
      </c>
      <c r="D790" s="2" t="str">
        <f t="shared" si="11"/>
        <v>Error?</v>
      </c>
    </row>
    <row r="791" spans="1:4" x14ac:dyDescent="0.2">
      <c r="A791" s="5">
        <v>730</v>
      </c>
      <c r="B791" s="1817">
        <f>'Expenditures 15-22'!D50</f>
        <v>30233</v>
      </c>
      <c r="D791" s="2" t="str">
        <f t="shared" si="11"/>
        <v>Error?</v>
      </c>
    </row>
    <row r="792" spans="1:4" x14ac:dyDescent="0.2">
      <c r="A792" s="5">
        <v>731</v>
      </c>
      <c r="B792" s="1817">
        <f>'Expenditures 15-22'!D53</f>
        <v>32668</v>
      </c>
      <c r="C792" s="2" t="s">
        <v>569</v>
      </c>
      <c r="D792" s="2" t="str">
        <f t="shared" si="11"/>
        <v>Error?</v>
      </c>
    </row>
    <row r="793" spans="1:4" x14ac:dyDescent="0.2">
      <c r="A793" s="5">
        <v>732</v>
      </c>
      <c r="B793" s="1817">
        <f>'Expenditures 15-22'!D55</f>
        <v>21893</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21893</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122</v>
      </c>
      <c r="D797" s="2" t="str">
        <f t="shared" si="11"/>
        <v>Error?</v>
      </c>
    </row>
    <row r="798" spans="1:4" x14ac:dyDescent="0.2">
      <c r="A798" s="5">
        <v>737</v>
      </c>
      <c r="B798" s="1817">
        <f>'Expenditures 15-22'!D61</f>
        <v>10164</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8641</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18927</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95773</v>
      </c>
      <c r="C813" s="2" t="s">
        <v>569</v>
      </c>
      <c r="D813" s="2" t="str">
        <f t="shared" si="11"/>
        <v>Error?</v>
      </c>
    </row>
    <row r="814" spans="1:4" x14ac:dyDescent="0.2">
      <c r="A814" s="5">
        <v>753</v>
      </c>
      <c r="B814" s="1817">
        <f>'Expenditures 15-22'!D75</f>
        <v>1500</v>
      </c>
      <c r="D814" s="2" t="str">
        <f t="shared" si="11"/>
        <v>Error?</v>
      </c>
    </row>
    <row r="815" spans="1:4" x14ac:dyDescent="0.2">
      <c r="A815" s="5">
        <v>754</v>
      </c>
      <c r="B815" s="1817">
        <f>'Expenditures 15-22'!D114</f>
        <v>346969</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4868</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6332</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34247</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25</v>
      </c>
      <c r="D838" s="2" t="str">
        <f t="shared" si="12"/>
        <v>Error?</v>
      </c>
    </row>
    <row r="839" spans="1:4" x14ac:dyDescent="0.2">
      <c r="A839" s="5">
        <v>778</v>
      </c>
      <c r="B839" s="1817">
        <f>'Expenditures 15-22'!E38</f>
        <v>60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46424</v>
      </c>
      <c r="D841" s="2" t="str">
        <f t="shared" si="12"/>
        <v>Error?</v>
      </c>
    </row>
    <row r="842" spans="1:4" x14ac:dyDescent="0.2">
      <c r="A842" s="5">
        <v>781</v>
      </c>
      <c r="B842" s="1817">
        <f>'Expenditures 15-22'!E41</f>
        <v>400</v>
      </c>
      <c r="D842" s="2" t="str">
        <f t="shared" si="12"/>
        <v>Error?</v>
      </c>
    </row>
    <row r="843" spans="1:4" x14ac:dyDescent="0.2">
      <c r="A843" s="5">
        <v>782</v>
      </c>
      <c r="B843" s="1817">
        <f>'Expenditures 15-22'!E42</f>
        <v>46909</v>
      </c>
      <c r="C843" s="2" t="s">
        <v>569</v>
      </c>
      <c r="D843" s="2" t="str">
        <f t="shared" si="12"/>
        <v>Error?</v>
      </c>
    </row>
    <row r="844" spans="1:4" x14ac:dyDescent="0.2">
      <c r="A844" s="5">
        <v>783</v>
      </c>
      <c r="B844" s="1817">
        <f>'Expenditures 15-22'!E44</f>
        <v>12039</v>
      </c>
      <c r="D844" s="2" t="str">
        <f t="shared" si="12"/>
        <v>Error?</v>
      </c>
    </row>
    <row r="845" spans="1:4" x14ac:dyDescent="0.2">
      <c r="A845" s="5">
        <v>784</v>
      </c>
      <c r="B845" s="1817">
        <f>'Expenditures 15-22'!E45</f>
        <v>1741</v>
      </c>
      <c r="D845" s="2" t="str">
        <f t="shared" si="12"/>
        <v>Error?</v>
      </c>
    </row>
    <row r="846" spans="1:4" x14ac:dyDescent="0.2">
      <c r="A846" s="5">
        <v>785</v>
      </c>
      <c r="B846" s="1817">
        <f>'Expenditures 15-22'!E46</f>
        <v>2762</v>
      </c>
      <c r="D846" s="2" t="str">
        <f t="shared" si="12"/>
        <v>Error?</v>
      </c>
    </row>
    <row r="847" spans="1:4" x14ac:dyDescent="0.2">
      <c r="A847" s="5">
        <v>786</v>
      </c>
      <c r="B847" s="1817">
        <f>'Expenditures 15-22'!E47</f>
        <v>16542</v>
      </c>
      <c r="C847" s="2" t="s">
        <v>569</v>
      </c>
      <c r="D847" s="2" t="str">
        <f t="shared" si="12"/>
        <v>Error?</v>
      </c>
    </row>
    <row r="848" spans="1:4" x14ac:dyDescent="0.2">
      <c r="A848" s="5">
        <v>787</v>
      </c>
      <c r="B848" s="1817">
        <f>'Expenditures 15-22'!E49</f>
        <v>20499</v>
      </c>
      <c r="D848" s="2" t="str">
        <f t="shared" si="12"/>
        <v>Error?</v>
      </c>
    </row>
    <row r="849" spans="1:4" x14ac:dyDescent="0.2">
      <c r="A849" s="5">
        <v>788</v>
      </c>
      <c r="B849" s="1817">
        <f>'Expenditures 15-22'!E50</f>
        <v>6045</v>
      </c>
      <c r="D849" s="2" t="str">
        <f t="shared" si="12"/>
        <v>Error?</v>
      </c>
    </row>
    <row r="850" spans="1:4" x14ac:dyDescent="0.2">
      <c r="A850" s="5">
        <v>789</v>
      </c>
      <c r="B850" s="1817">
        <f>'Expenditures 15-22'!E53</f>
        <v>26544</v>
      </c>
      <c r="C850" s="2" t="s">
        <v>569</v>
      </c>
      <c r="D850" s="2" t="str">
        <f t="shared" si="12"/>
        <v>Error?</v>
      </c>
    </row>
    <row r="851" spans="1:4" x14ac:dyDescent="0.2">
      <c r="A851" s="5">
        <v>790</v>
      </c>
      <c r="B851" s="1817">
        <f>'Expenditures 15-22'!E55</f>
        <v>25929</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25929</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7189</v>
      </c>
      <c r="D855" s="2" t="str">
        <f t="shared" si="12"/>
        <v>Error?</v>
      </c>
    </row>
    <row r="856" spans="1:4" x14ac:dyDescent="0.2">
      <c r="A856" s="5">
        <v>795</v>
      </c>
      <c r="B856" s="1817">
        <f>'Expenditures 15-22'!E61</f>
        <v>28608</v>
      </c>
      <c r="D856" s="2" t="str">
        <f t="shared" si="12"/>
        <v>Error?</v>
      </c>
    </row>
    <row r="857" spans="1:4" x14ac:dyDescent="0.2">
      <c r="A857" s="5">
        <v>796</v>
      </c>
      <c r="B857" s="1817">
        <f>'Expenditures 15-22'!E62</f>
        <v>1488</v>
      </c>
      <c r="D857" s="2" t="str">
        <f t="shared" si="12"/>
        <v>Error?</v>
      </c>
    </row>
    <row r="858" spans="1:4" x14ac:dyDescent="0.2">
      <c r="A858" s="5">
        <v>797</v>
      </c>
      <c r="B858" s="1817">
        <f>'Expenditures 15-22'!E63</f>
        <v>2559</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39844</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155768</v>
      </c>
      <c r="C871" s="2" t="s">
        <v>569</v>
      </c>
      <c r="D871" s="2" t="str">
        <f t="shared" si="12"/>
        <v>Error?</v>
      </c>
    </row>
    <row r="872" spans="1:4" x14ac:dyDescent="0.2">
      <c r="A872" s="5">
        <v>811</v>
      </c>
      <c r="B872" s="1817">
        <f>'Expenditures 15-22'!E75</f>
        <v>5789</v>
      </c>
      <c r="D872" s="2" t="str">
        <f t="shared" si="12"/>
        <v>Error?</v>
      </c>
    </row>
    <row r="873" spans="1:4" x14ac:dyDescent="0.2">
      <c r="A873" s="5">
        <v>812</v>
      </c>
      <c r="B873" s="1817">
        <f>'Expenditures 15-22'!E114</f>
        <v>196162</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32451</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0</v>
      </c>
      <c r="D891" s="2" t="str">
        <f t="shared" si="12"/>
        <v>Error?</v>
      </c>
    </row>
    <row r="892" spans="1:4" x14ac:dyDescent="0.2">
      <c r="A892" s="5">
        <v>831</v>
      </c>
      <c r="B892" s="1817">
        <f>'Expenditures 15-22'!F14</f>
        <v>1374</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110634</v>
      </c>
      <c r="C894" s="2" t="s">
        <v>569</v>
      </c>
      <c r="D894" s="2" t="str">
        <f t="shared" si="12"/>
        <v>Error?</v>
      </c>
    </row>
    <row r="895" spans="1:4" x14ac:dyDescent="0.2">
      <c r="A895" s="5">
        <v>834</v>
      </c>
      <c r="B895" s="1817">
        <f>'Expenditures 15-22'!F36</f>
        <v>415</v>
      </c>
      <c r="D895" s="2" t="str">
        <f t="shared" ref="D895:D958" si="13">IF(ISBLANK(B895),"OK",IF(A895-B895=0,"OK","Error?"))</f>
        <v>Error?</v>
      </c>
    </row>
    <row r="896" spans="1:4" x14ac:dyDescent="0.2">
      <c r="A896" s="5">
        <v>835</v>
      </c>
      <c r="B896" s="1817">
        <f>'Expenditures 15-22'!F37</f>
        <v>975</v>
      </c>
      <c r="D896" s="2" t="str">
        <f t="shared" si="13"/>
        <v>Error?</v>
      </c>
    </row>
    <row r="897" spans="1:4" x14ac:dyDescent="0.2">
      <c r="A897" s="5">
        <v>836</v>
      </c>
      <c r="B897" s="1817">
        <f>'Expenditures 15-22'!F38</f>
        <v>1633</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1258</v>
      </c>
      <c r="D900" s="2" t="str">
        <f t="shared" si="13"/>
        <v>Error?</v>
      </c>
    </row>
    <row r="901" spans="1:4" x14ac:dyDescent="0.2">
      <c r="A901" s="5">
        <v>840</v>
      </c>
      <c r="B901" s="1817">
        <f>'Expenditures 15-22'!F42</f>
        <v>4281</v>
      </c>
      <c r="C901" s="2" t="s">
        <v>569</v>
      </c>
      <c r="D901" s="2" t="str">
        <f t="shared" si="13"/>
        <v>Error?</v>
      </c>
    </row>
    <row r="902" spans="1:4" x14ac:dyDescent="0.2">
      <c r="A902" s="5">
        <v>841</v>
      </c>
      <c r="B902" s="1817">
        <f>'Expenditures 15-22'!F44</f>
        <v>11152</v>
      </c>
      <c r="D902" s="2" t="str">
        <f t="shared" si="13"/>
        <v>Error?</v>
      </c>
    </row>
    <row r="903" spans="1:4" x14ac:dyDescent="0.2">
      <c r="A903" s="5">
        <v>842</v>
      </c>
      <c r="B903" s="1817">
        <f>'Expenditures 15-22'!F45</f>
        <v>846</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11998</v>
      </c>
      <c r="C905" s="2" t="s">
        <v>569</v>
      </c>
      <c r="D905" s="2" t="str">
        <f t="shared" si="13"/>
        <v>Error?</v>
      </c>
    </row>
    <row r="906" spans="1:4" x14ac:dyDescent="0.2">
      <c r="A906" s="5">
        <v>845</v>
      </c>
      <c r="B906" s="1817">
        <f>'Expenditures 15-22'!F49</f>
        <v>1911</v>
      </c>
      <c r="D906" s="2" t="str">
        <f t="shared" si="13"/>
        <v>Error?</v>
      </c>
    </row>
    <row r="907" spans="1:4" x14ac:dyDescent="0.2">
      <c r="A907" s="5">
        <v>846</v>
      </c>
      <c r="B907" s="1817">
        <f>'Expenditures 15-22'!F50</f>
        <v>86</v>
      </c>
      <c r="D907" s="2" t="str">
        <f t="shared" si="13"/>
        <v>Error?</v>
      </c>
    </row>
    <row r="908" spans="1:4" x14ac:dyDescent="0.2">
      <c r="A908" s="5">
        <v>847</v>
      </c>
      <c r="B908" s="1817">
        <f>'Expenditures 15-22'!F53</f>
        <v>1997</v>
      </c>
      <c r="C908" s="2" t="s">
        <v>569</v>
      </c>
      <c r="D908" s="2" t="str">
        <f t="shared" si="13"/>
        <v>Error?</v>
      </c>
    </row>
    <row r="909" spans="1:4" x14ac:dyDescent="0.2">
      <c r="A909" s="5">
        <v>848</v>
      </c>
      <c r="B909" s="1817">
        <f>'Expenditures 15-22'!F55</f>
        <v>3836</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3836</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464</v>
      </c>
      <c r="D913" s="2" t="str">
        <f t="shared" si="13"/>
        <v>Error?</v>
      </c>
    </row>
    <row r="914" spans="1:4" x14ac:dyDescent="0.2">
      <c r="A914" s="5">
        <v>853</v>
      </c>
      <c r="B914" s="1817">
        <f>'Expenditures 15-22'!F61</f>
        <v>5827</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102840</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109131</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131243</v>
      </c>
      <c r="C929" s="2" t="s">
        <v>569</v>
      </c>
      <c r="D929" s="2" t="str">
        <f t="shared" si="13"/>
        <v>Error?</v>
      </c>
    </row>
    <row r="930" spans="1:4" x14ac:dyDescent="0.2">
      <c r="A930" s="5">
        <v>869</v>
      </c>
      <c r="B930" s="1817">
        <f>'Expenditures 15-22'!F75</f>
        <v>4324</v>
      </c>
      <c r="D930" s="2" t="str">
        <f t="shared" si="13"/>
        <v>Error?</v>
      </c>
    </row>
    <row r="931" spans="1:4" x14ac:dyDescent="0.2">
      <c r="A931" s="5">
        <v>870</v>
      </c>
      <c r="B931" s="1817">
        <f>'Expenditures 15-22'!F114</f>
        <v>246201</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7238</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22221</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21300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21300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21300</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43521</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119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2020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66265</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206</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206</v>
      </c>
      <c r="C1021" s="2" t="s">
        <v>569</v>
      </c>
      <c r="D1021" s="2" t="str">
        <f t="shared" si="14"/>
        <v>Error?</v>
      </c>
    </row>
    <row r="1022" spans="1:4" x14ac:dyDescent="0.2">
      <c r="A1022" s="5">
        <v>961</v>
      </c>
      <c r="B1022" s="1817">
        <f>'Expenditures 15-22'!H49</f>
        <v>5151</v>
      </c>
      <c r="D1022" s="2" t="str">
        <f t="shared" si="14"/>
        <v>Error?</v>
      </c>
    </row>
    <row r="1023" spans="1:4" x14ac:dyDescent="0.2">
      <c r="A1023" s="5">
        <v>962</v>
      </c>
      <c r="B1023" s="1817">
        <f>'Expenditures 15-22'!H50</f>
        <v>1047</v>
      </c>
      <c r="D1023" s="2" t="str">
        <f t="shared" ref="D1023:D1086" si="15">IF(ISBLANK(B1023),"OK",IF(A1023-B1023=0,"OK","Error?"))</f>
        <v>Error?</v>
      </c>
    </row>
    <row r="1024" spans="1:4" x14ac:dyDescent="0.2">
      <c r="A1024" s="5">
        <v>963</v>
      </c>
      <c r="B1024" s="1817">
        <f>'Expenditures 15-22'!H53</f>
        <v>6198</v>
      </c>
      <c r="C1024" s="2" t="s">
        <v>569</v>
      </c>
      <c r="D1024" s="2" t="str">
        <f t="shared" si="15"/>
        <v>Error?</v>
      </c>
    </row>
    <row r="1025" spans="1:4" x14ac:dyDescent="0.2">
      <c r="A1025" s="5">
        <v>964</v>
      </c>
      <c r="B1025" s="1817">
        <f>'Expenditures 15-22'!H55</f>
        <v>598</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598</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61</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100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161</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7163</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831990</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905418</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1158977</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65786</v>
      </c>
      <c r="C1105" s="2" t="s">
        <v>569</v>
      </c>
      <c r="D1105" s="2" t="str">
        <f t="shared" si="16"/>
        <v>Error?</v>
      </c>
    </row>
    <row r="1106" spans="1:4" x14ac:dyDescent="0.2">
      <c r="A1106" s="5">
        <v>1045</v>
      </c>
      <c r="B1106" s="1817">
        <f>'Expenditures 15-22'!K14</f>
        <v>89852</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1879518</v>
      </c>
      <c r="C1108" s="2" t="s">
        <v>569</v>
      </c>
      <c r="D1108" s="2" t="str">
        <f t="shared" si="16"/>
        <v>Error?</v>
      </c>
    </row>
    <row r="1109" spans="1:4" x14ac:dyDescent="0.2">
      <c r="A1109" s="5">
        <v>1048</v>
      </c>
      <c r="B1109" s="1817">
        <f>'Expenditures 15-22'!K36</f>
        <v>47503</v>
      </c>
      <c r="C1109" s="2" t="s">
        <v>569</v>
      </c>
      <c r="D1109" s="2" t="str">
        <f t="shared" si="16"/>
        <v>Error?</v>
      </c>
    </row>
    <row r="1110" spans="1:4" x14ac:dyDescent="0.2">
      <c r="A1110" s="5">
        <v>1049</v>
      </c>
      <c r="B1110" s="1817">
        <f>'Expenditures 15-22'!K37</f>
        <v>73132</v>
      </c>
      <c r="C1110" s="2" t="s">
        <v>569</v>
      </c>
      <c r="D1110" s="2" t="str">
        <f t="shared" si="16"/>
        <v>Error?</v>
      </c>
    </row>
    <row r="1111" spans="1:4" x14ac:dyDescent="0.2">
      <c r="A1111" s="5">
        <v>1050</v>
      </c>
      <c r="B1111" s="1817">
        <f>'Expenditures 15-22'!K38</f>
        <v>55290</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46424</v>
      </c>
      <c r="C1113" s="2" t="s">
        <v>569</v>
      </c>
      <c r="D1113" s="2" t="str">
        <f t="shared" si="16"/>
        <v>Error?</v>
      </c>
    </row>
    <row r="1114" spans="1:4" x14ac:dyDescent="0.2">
      <c r="A1114" s="5">
        <v>1053</v>
      </c>
      <c r="B1114" s="1817">
        <f>'Expenditures 15-22'!K41</f>
        <v>1658</v>
      </c>
      <c r="C1114" s="2" t="s">
        <v>569</v>
      </c>
      <c r="D1114" s="2" t="str">
        <f t="shared" si="16"/>
        <v>Error?</v>
      </c>
    </row>
    <row r="1115" spans="1:4" x14ac:dyDescent="0.2">
      <c r="A1115" s="5">
        <v>1054</v>
      </c>
      <c r="B1115" s="1817">
        <f>'Expenditures 15-22'!K42</f>
        <v>224007</v>
      </c>
      <c r="C1115" s="2" t="s">
        <v>569</v>
      </c>
      <c r="D1115" s="2" t="str">
        <f t="shared" si="16"/>
        <v>Error?</v>
      </c>
    </row>
    <row r="1116" spans="1:4" x14ac:dyDescent="0.2">
      <c r="A1116" s="5">
        <v>1055</v>
      </c>
      <c r="B1116" s="1817">
        <f>'Expenditures 15-22'!K44</f>
        <v>28224</v>
      </c>
      <c r="C1116" s="2" t="s">
        <v>569</v>
      </c>
      <c r="D1116" s="2" t="str">
        <f t="shared" si="16"/>
        <v>Error?</v>
      </c>
    </row>
    <row r="1117" spans="1:4" x14ac:dyDescent="0.2">
      <c r="A1117" s="5">
        <v>1056</v>
      </c>
      <c r="B1117" s="1817">
        <f>'Expenditures 15-22'!K45</f>
        <v>31966</v>
      </c>
      <c r="C1117" s="2" t="s">
        <v>569</v>
      </c>
      <c r="D1117" s="2" t="str">
        <f t="shared" si="16"/>
        <v>Error?</v>
      </c>
    </row>
    <row r="1118" spans="1:4" x14ac:dyDescent="0.2">
      <c r="A1118" s="5">
        <v>1057</v>
      </c>
      <c r="B1118" s="1817">
        <f>'Expenditures 15-22'!K46</f>
        <v>2762</v>
      </c>
      <c r="C1118" s="2" t="s">
        <v>569</v>
      </c>
      <c r="D1118" s="2" t="str">
        <f t="shared" si="16"/>
        <v>Error?</v>
      </c>
    </row>
    <row r="1119" spans="1:4" x14ac:dyDescent="0.2">
      <c r="A1119" s="5">
        <v>1058</v>
      </c>
      <c r="B1119" s="1817">
        <f>'Expenditures 15-22'!K47</f>
        <v>62952</v>
      </c>
      <c r="C1119" s="2" t="s">
        <v>569</v>
      </c>
      <c r="D1119" s="2" t="str">
        <f t="shared" si="16"/>
        <v>Error?</v>
      </c>
    </row>
    <row r="1120" spans="1:4" x14ac:dyDescent="0.2">
      <c r="A1120" s="5">
        <v>1059</v>
      </c>
      <c r="B1120" s="1817">
        <f>'Expenditures 15-22'!K49</f>
        <v>66065</v>
      </c>
      <c r="C1120" s="2" t="s">
        <v>569</v>
      </c>
      <c r="D1120" s="2" t="str">
        <f t="shared" si="16"/>
        <v>Error?</v>
      </c>
    </row>
    <row r="1121" spans="1:4" x14ac:dyDescent="0.2">
      <c r="A1121" s="5">
        <v>1060</v>
      </c>
      <c r="B1121" s="1817">
        <f>'Expenditures 15-22'!K50</f>
        <v>108748</v>
      </c>
      <c r="C1121" s="2" t="s">
        <v>569</v>
      </c>
      <c r="D1121" s="2" t="str">
        <f t="shared" si="16"/>
        <v>Error?</v>
      </c>
    </row>
    <row r="1122" spans="1:4" x14ac:dyDescent="0.2">
      <c r="A1122" s="5">
        <v>1061</v>
      </c>
      <c r="B1122" s="1817">
        <f>'Expenditures 15-22'!K53</f>
        <v>174813</v>
      </c>
      <c r="C1122" s="2" t="s">
        <v>569</v>
      </c>
      <c r="D1122" s="2" t="str">
        <f t="shared" si="16"/>
        <v>Error?</v>
      </c>
    </row>
    <row r="1123" spans="1:4" x14ac:dyDescent="0.2">
      <c r="A1123" s="5">
        <v>1062</v>
      </c>
      <c r="B1123" s="1817">
        <f>'Expenditures 15-22'!K55</f>
        <v>173654</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173654</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49421</v>
      </c>
      <c r="C1127" s="2" t="s">
        <v>569</v>
      </c>
      <c r="D1127" s="2" t="str">
        <f t="shared" si="16"/>
        <v>Error?</v>
      </c>
    </row>
    <row r="1128" spans="1:4" x14ac:dyDescent="0.2">
      <c r="A1128" s="5">
        <v>1067</v>
      </c>
      <c r="B1128" s="1817">
        <f>'Expenditures 15-22'!K61</f>
        <v>217088</v>
      </c>
      <c r="C1128" s="2" t="s">
        <v>569</v>
      </c>
      <c r="D1128" s="2" t="str">
        <f t="shared" si="16"/>
        <v>Error?</v>
      </c>
    </row>
    <row r="1129" spans="1:4" x14ac:dyDescent="0.2">
      <c r="A1129" s="5">
        <v>1068</v>
      </c>
      <c r="B1129" s="1817">
        <f>'Expenditures 15-22'!K62</f>
        <v>1488</v>
      </c>
      <c r="C1129" s="2" t="s">
        <v>569</v>
      </c>
      <c r="D1129" s="2" t="str">
        <f t="shared" si="16"/>
        <v>Error?</v>
      </c>
    </row>
    <row r="1130" spans="1:4" x14ac:dyDescent="0.2">
      <c r="A1130" s="5">
        <v>1069</v>
      </c>
      <c r="B1130" s="1817">
        <f>'Expenditures 15-22'!K63</f>
        <v>180896</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448893</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1084319</v>
      </c>
      <c r="C1143" s="2" t="s">
        <v>569</v>
      </c>
      <c r="D1143" s="2" t="str">
        <f t="shared" si="16"/>
        <v>Error?</v>
      </c>
    </row>
    <row r="1144" spans="1:4" x14ac:dyDescent="0.2">
      <c r="A1144" s="5">
        <v>1083</v>
      </c>
      <c r="B1144" s="1817">
        <f>'Expenditures 15-22'!K75</f>
        <v>32036</v>
      </c>
      <c r="C1144" s="2" t="s">
        <v>569</v>
      </c>
      <c r="D1144" s="2" t="str">
        <f t="shared" si="16"/>
        <v>Error?</v>
      </c>
    </row>
    <row r="1145" spans="1:4" x14ac:dyDescent="0.2">
      <c r="A1145" s="5">
        <v>1084</v>
      </c>
      <c r="B1145" s="1817">
        <f>'Expenditures 15-22'!K102</f>
        <v>832348</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3828221</v>
      </c>
      <c r="C1152" s="2" t="s">
        <v>569</v>
      </c>
      <c r="D1152" s="2" t="str">
        <f t="shared" si="17"/>
        <v>Error?</v>
      </c>
    </row>
    <row r="1153" spans="1:4" x14ac:dyDescent="0.2">
      <c r="A1153" s="5">
        <v>1092</v>
      </c>
      <c r="B1153" s="1817">
        <f>'Expenditures 15-22'!K115</f>
        <v>130218</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0</v>
      </c>
      <c r="D1221" s="2" t="str">
        <f t="shared" si="18"/>
        <v>Error?</v>
      </c>
    </row>
    <row r="1222" spans="1:4" x14ac:dyDescent="0.2">
      <c r="A1222" s="10">
        <v>1161</v>
      </c>
      <c r="B1222" s="1817"/>
      <c r="D1222" s="2" t="str">
        <f t="shared" si="18"/>
        <v>OK</v>
      </c>
    </row>
    <row r="1223" spans="1:4" x14ac:dyDescent="0.2">
      <c r="A1223" s="5">
        <v>1162</v>
      </c>
      <c r="B1223" s="1817">
        <f>'Expenditures 15-22'!C127</f>
        <v>0</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0</v>
      </c>
      <c r="C1225" s="2" t="s">
        <v>569</v>
      </c>
      <c r="D1225" s="2" t="str">
        <f t="shared" si="18"/>
        <v>Error?</v>
      </c>
    </row>
    <row r="1226" spans="1:4" x14ac:dyDescent="0.2">
      <c r="A1226" s="5">
        <v>1165</v>
      </c>
      <c r="B1226" s="1817">
        <f>'Expenditures 15-22'!C151</f>
        <v>0</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0</v>
      </c>
      <c r="D1229" s="2" t="str">
        <f t="shared" si="18"/>
        <v>Error?</v>
      </c>
    </row>
    <row r="1230" spans="1:4" x14ac:dyDescent="0.2">
      <c r="A1230" s="10">
        <v>1169</v>
      </c>
      <c r="B1230" s="1817"/>
      <c r="D1230" s="2" t="str">
        <f t="shared" si="18"/>
        <v>OK</v>
      </c>
    </row>
    <row r="1231" spans="1:4" x14ac:dyDescent="0.2">
      <c r="A1231" s="5">
        <v>1170</v>
      </c>
      <c r="B1231" s="1817">
        <f>'Expenditures 15-22'!D127</f>
        <v>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0</v>
      </c>
      <c r="C1233" s="2" t="s">
        <v>569</v>
      </c>
      <c r="D1233" s="2" t="str">
        <f t="shared" si="18"/>
        <v>Error?</v>
      </c>
    </row>
    <row r="1234" spans="1:4" x14ac:dyDescent="0.2">
      <c r="A1234" s="5">
        <v>1173</v>
      </c>
      <c r="B1234" s="1817">
        <f>'Expenditures 15-22'!D151</f>
        <v>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72349</v>
      </c>
      <c r="D1237" s="2" t="str">
        <f t="shared" si="18"/>
        <v>Error?</v>
      </c>
    </row>
    <row r="1238" spans="1:4" x14ac:dyDescent="0.2">
      <c r="A1238" s="10">
        <v>1177</v>
      </c>
      <c r="B1238" s="1817"/>
      <c r="D1238" s="2" t="str">
        <f t="shared" si="18"/>
        <v>OK</v>
      </c>
    </row>
    <row r="1239" spans="1:4" x14ac:dyDescent="0.2">
      <c r="A1239" s="5">
        <v>1178</v>
      </c>
      <c r="B1239" s="1817">
        <f>'Expenditures 15-22'!E127</f>
        <v>72349</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72349</v>
      </c>
      <c r="C1241" s="2" t="s">
        <v>569</v>
      </c>
      <c r="D1241" s="2" t="str">
        <f t="shared" si="18"/>
        <v>Error?</v>
      </c>
    </row>
    <row r="1242" spans="1:4" x14ac:dyDescent="0.2">
      <c r="A1242" s="5">
        <v>1181</v>
      </c>
      <c r="B1242" s="1817">
        <f>'Expenditures 15-22'!E151</f>
        <v>72349</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80754</v>
      </c>
      <c r="D1245" s="2" t="str">
        <f t="shared" si="18"/>
        <v>Error?</v>
      </c>
    </row>
    <row r="1246" spans="1:4" x14ac:dyDescent="0.2">
      <c r="A1246" s="10">
        <v>1185</v>
      </c>
      <c r="B1246" s="1817"/>
      <c r="D1246" s="2" t="str">
        <f t="shared" si="18"/>
        <v>OK</v>
      </c>
    </row>
    <row r="1247" spans="1:4" x14ac:dyDescent="0.2">
      <c r="A1247" s="5">
        <v>1186</v>
      </c>
      <c r="B1247" s="1817">
        <f>'Expenditures 15-22'!F127</f>
        <v>80754</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80754</v>
      </c>
      <c r="C1249" s="2" t="s">
        <v>569</v>
      </c>
      <c r="D1249" s="2" t="str">
        <f t="shared" si="18"/>
        <v>Error?</v>
      </c>
    </row>
    <row r="1250" spans="1:4" x14ac:dyDescent="0.2">
      <c r="A1250" s="5">
        <v>1189</v>
      </c>
      <c r="B1250" s="1817">
        <f>'Expenditures 15-22'!F151</f>
        <v>80754</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156830</v>
      </c>
      <c r="D1253" s="2" t="str">
        <f t="shared" si="18"/>
        <v>Error?</v>
      </c>
    </row>
    <row r="1254" spans="1:4" x14ac:dyDescent="0.2">
      <c r="A1254" s="5">
        <v>1193</v>
      </c>
      <c r="B1254" s="1817">
        <f>'Expenditures 15-22'!G126</f>
        <v>3120</v>
      </c>
      <c r="D1254" s="2" t="str">
        <f t="shared" si="18"/>
        <v>Error?</v>
      </c>
    </row>
    <row r="1255" spans="1:4" x14ac:dyDescent="0.2">
      <c r="A1255" s="10">
        <v>1194</v>
      </c>
      <c r="B1255" s="1817"/>
      <c r="D1255" s="2" t="str">
        <f t="shared" si="18"/>
        <v>OK</v>
      </c>
    </row>
    <row r="1256" spans="1:4" x14ac:dyDescent="0.2">
      <c r="A1256" s="5">
        <v>1195</v>
      </c>
      <c r="B1256" s="1817">
        <f>'Expenditures 15-22'!G127</f>
        <v>159950</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159950</v>
      </c>
      <c r="C1258" s="2" t="s">
        <v>569</v>
      </c>
      <c r="D1258" s="2" t="str">
        <f t="shared" si="18"/>
        <v>Error?</v>
      </c>
    </row>
    <row r="1259" spans="1:4" x14ac:dyDescent="0.2">
      <c r="A1259" s="5">
        <v>1198</v>
      </c>
      <c r="B1259" s="1817">
        <f>'Expenditures 15-22'!G151</f>
        <v>159950</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309933</v>
      </c>
      <c r="C1276" s="2" t="s">
        <v>569</v>
      </c>
      <c r="D1276" s="2" t="str">
        <f t="shared" si="18"/>
        <v>Error?</v>
      </c>
    </row>
    <row r="1277" spans="1:4" x14ac:dyDescent="0.2">
      <c r="A1277" s="5">
        <v>1216</v>
      </c>
      <c r="B1277" s="1817">
        <f>'Expenditures 15-22'!K126</f>
        <v>3120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313053</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313053</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313053</v>
      </c>
      <c r="C1288" s="2" t="s">
        <v>569</v>
      </c>
      <c r="D1288" s="2" t="str">
        <f t="shared" si="19"/>
        <v>Error?</v>
      </c>
    </row>
    <row r="1289" spans="1:4" x14ac:dyDescent="0.2">
      <c r="A1289" s="5">
        <v>1228</v>
      </c>
      <c r="B1289" s="1817">
        <f>'Expenditures 15-22'!K152</f>
        <v>-91507</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29362</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142339</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171701</v>
      </c>
      <c r="C1317" s="2" t="s">
        <v>569</v>
      </c>
      <c r="D1317" s="2" t="str">
        <f t="shared" si="19"/>
        <v>Error?</v>
      </c>
    </row>
    <row r="1318" spans="1:4" x14ac:dyDescent="0.2">
      <c r="A1318" s="5">
        <v>1257</v>
      </c>
      <c r="B1318" s="1817">
        <f>'Expenditures 15-22'!H174</f>
        <v>171701</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29362</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142339</v>
      </c>
      <c r="C1329" s="2" t="s">
        <v>569</v>
      </c>
      <c r="D1329" s="2" t="str">
        <f t="shared" si="19"/>
        <v>Error?</v>
      </c>
    </row>
    <row r="1330" spans="1:4" x14ac:dyDescent="0.2">
      <c r="A1330" s="5">
        <v>1269</v>
      </c>
      <c r="B1330" s="1817">
        <f>'Expenditures 15-22'!K171</f>
        <v>0</v>
      </c>
      <c r="C1330" s="2" t="s">
        <v>569</v>
      </c>
      <c r="D1330" s="2" t="str">
        <f t="shared" si="19"/>
        <v>Error?</v>
      </c>
    </row>
    <row r="1331" spans="1:4" x14ac:dyDescent="0.2">
      <c r="A1331" s="5">
        <v>1270</v>
      </c>
      <c r="B1331" s="1817">
        <f>'Expenditures 15-22'!K172</f>
        <v>171701</v>
      </c>
      <c r="C1331" s="2" t="s">
        <v>569</v>
      </c>
      <c r="D1331" s="2" t="str">
        <f t="shared" si="19"/>
        <v>Error?</v>
      </c>
    </row>
    <row r="1332" spans="1:4" x14ac:dyDescent="0.2">
      <c r="A1332" s="5">
        <v>1271</v>
      </c>
      <c r="B1332" s="1817">
        <f>'Expenditures 15-22'!K174</f>
        <v>171701</v>
      </c>
      <c r="C1332" s="2" t="s">
        <v>569</v>
      </c>
      <c r="D1332" s="2" t="str">
        <f t="shared" si="19"/>
        <v>Error?</v>
      </c>
    </row>
    <row r="1333" spans="1:4" x14ac:dyDescent="0.2">
      <c r="A1333" s="5">
        <v>1272</v>
      </c>
      <c r="B1333" s="1817">
        <f>'Expenditures 15-22'!K175</f>
        <v>115181</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127436</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127436</v>
      </c>
      <c r="C1339" s="2" t="s">
        <v>569</v>
      </c>
      <c r="D1339" s="2" t="str">
        <f t="shared" si="19"/>
        <v>Error?</v>
      </c>
    </row>
    <row r="1340" spans="1:4" x14ac:dyDescent="0.2">
      <c r="A1340" s="5">
        <v>1279</v>
      </c>
      <c r="B1340" s="1817">
        <f>'Expenditures 15-22'!C210</f>
        <v>127436</v>
      </c>
      <c r="C1340" s="2" t="s">
        <v>569</v>
      </c>
      <c r="D1340" s="2" t="str">
        <f t="shared" si="19"/>
        <v>Error?</v>
      </c>
    </row>
    <row r="1341" spans="1:4" x14ac:dyDescent="0.2">
      <c r="A1341" s="5">
        <v>1280</v>
      </c>
      <c r="B1341" s="1817">
        <f>'Expenditures 15-22'!D182</f>
        <v>5478</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5478</v>
      </c>
      <c r="C1345" s="2" t="s">
        <v>569</v>
      </c>
      <c r="D1345" s="2" t="str">
        <f t="shared" si="20"/>
        <v>Error?</v>
      </c>
    </row>
    <row r="1346" spans="1:4" x14ac:dyDescent="0.2">
      <c r="A1346" s="5">
        <v>1285</v>
      </c>
      <c r="B1346" s="1817">
        <f>'Expenditures 15-22'!D210</f>
        <v>5478</v>
      </c>
      <c r="C1346" s="2" t="s">
        <v>569</v>
      </c>
      <c r="D1346" s="2" t="str">
        <f t="shared" si="20"/>
        <v>Error?</v>
      </c>
    </row>
    <row r="1347" spans="1:4" x14ac:dyDescent="0.2">
      <c r="A1347" s="5">
        <v>1286</v>
      </c>
      <c r="B1347" s="1817">
        <f>'Expenditures 15-22'!E182</f>
        <v>99288</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99288</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99288</v>
      </c>
      <c r="C1353" s="2" t="s">
        <v>569</v>
      </c>
      <c r="D1353" s="2" t="str">
        <f t="shared" si="20"/>
        <v>Error?</v>
      </c>
    </row>
    <row r="1354" spans="1:4" x14ac:dyDescent="0.2">
      <c r="A1354" s="5">
        <v>1293</v>
      </c>
      <c r="B1354" s="1817">
        <f>'Expenditures 15-22'!F182</f>
        <v>26351</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26351</v>
      </c>
      <c r="C1358" s="2" t="s">
        <v>569</v>
      </c>
      <c r="D1358" s="2" t="str">
        <f t="shared" si="20"/>
        <v>Error?</v>
      </c>
    </row>
    <row r="1359" spans="1:4" x14ac:dyDescent="0.2">
      <c r="A1359" s="5">
        <v>1298</v>
      </c>
      <c r="B1359" s="1817">
        <f>'Expenditures 15-22'!F210</f>
        <v>26351</v>
      </c>
      <c r="C1359" s="2" t="s">
        <v>569</v>
      </c>
      <c r="D1359" s="2" t="str">
        <f t="shared" si="20"/>
        <v>Error?</v>
      </c>
    </row>
    <row r="1360" spans="1:4" x14ac:dyDescent="0.2">
      <c r="A1360" s="5">
        <v>1299</v>
      </c>
      <c r="B1360" s="1817">
        <f>'Expenditures 15-22'!G182</f>
        <v>0</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0</v>
      </c>
      <c r="C1364" s="2" t="s">
        <v>569</v>
      </c>
      <c r="D1364" s="2" t="str">
        <f t="shared" si="20"/>
        <v>Error?</v>
      </c>
    </row>
    <row r="1365" spans="1:4" x14ac:dyDescent="0.2">
      <c r="A1365" s="5">
        <v>1304</v>
      </c>
      <c r="B1365" s="1817">
        <f>'Expenditures 15-22'!G210</f>
        <v>0</v>
      </c>
      <c r="C1365" s="2" t="s">
        <v>569</v>
      </c>
      <c r="D1365" s="2" t="str">
        <f t="shared" si="20"/>
        <v>Error?</v>
      </c>
    </row>
    <row r="1366" spans="1:4" x14ac:dyDescent="0.2">
      <c r="A1366" s="5">
        <v>1305</v>
      </c>
      <c r="B1366" s="1817">
        <f>'Expenditures 15-22'!H182</f>
        <v>1750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1750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1750</v>
      </c>
      <c r="C1376" s="2" t="s">
        <v>569</v>
      </c>
      <c r="D1376" s="2" t="str">
        <f t="shared" si="20"/>
        <v>Error?</v>
      </c>
    </row>
    <row r="1377" spans="1:4" x14ac:dyDescent="0.2">
      <c r="A1377" s="5">
        <v>1316</v>
      </c>
      <c r="B1377" s="1817">
        <f>'Expenditures 15-22'!K182</f>
        <v>260303</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260303</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260303</v>
      </c>
      <c r="C1388" s="2" t="s">
        <v>569</v>
      </c>
      <c r="D1388" s="2" t="str">
        <f t="shared" si="20"/>
        <v>Error?</v>
      </c>
    </row>
    <row r="1389" spans="1:4" x14ac:dyDescent="0.2">
      <c r="A1389" s="5">
        <v>1328</v>
      </c>
      <c r="B1389" s="1817">
        <f>'Expenditures 15-22'!K211</f>
        <v>42574</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539</v>
      </c>
      <c r="D1407" s="2" t="str">
        <f t="shared" ref="D1407:D1470" si="21">IF(ISBLANK(B1407),"OK",IF(A1407-B1407=0,"OK","Error?"))</f>
        <v>Error?</v>
      </c>
    </row>
    <row r="1408" spans="1:4" x14ac:dyDescent="0.2">
      <c r="A1408" s="5">
        <v>1347</v>
      </c>
      <c r="B1408" s="1817">
        <f>'Expenditures 15-22'!D223</f>
        <v>2315</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31867</v>
      </c>
      <c r="C1410" s="2" t="s">
        <v>569</v>
      </c>
      <c r="D1410" s="2" t="str">
        <f t="shared" si="21"/>
        <v>Error?</v>
      </c>
    </row>
    <row r="1411" spans="1:4" x14ac:dyDescent="0.2">
      <c r="A1411" s="5">
        <v>1350</v>
      </c>
      <c r="B1411" s="1817">
        <f>'Expenditures 15-22'!D232</f>
        <v>7576</v>
      </c>
      <c r="D1411" s="2" t="str">
        <f t="shared" si="21"/>
        <v>Error?</v>
      </c>
    </row>
    <row r="1412" spans="1:4" x14ac:dyDescent="0.2">
      <c r="A1412" s="5">
        <v>1351</v>
      </c>
      <c r="B1412" s="1817">
        <f>'Expenditures 15-22'!D233</f>
        <v>631</v>
      </c>
      <c r="D1412" s="2" t="str">
        <f t="shared" si="21"/>
        <v>Error?</v>
      </c>
    </row>
    <row r="1413" spans="1:4" x14ac:dyDescent="0.2">
      <c r="A1413" s="5">
        <v>1352</v>
      </c>
      <c r="B1413" s="1817">
        <f>'Expenditures 15-22'!D234</f>
        <v>8915</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17122</v>
      </c>
      <c r="C1417" s="2" t="s">
        <v>569</v>
      </c>
      <c r="D1417" s="2" t="str">
        <f t="shared" si="21"/>
        <v>Error?</v>
      </c>
    </row>
    <row r="1418" spans="1:4" x14ac:dyDescent="0.2">
      <c r="A1418" s="5">
        <v>1357</v>
      </c>
      <c r="B1418" s="1817">
        <f>'Expenditures 15-22'!D240</f>
        <v>43</v>
      </c>
      <c r="D1418" s="2" t="str">
        <f t="shared" si="21"/>
        <v>Error?</v>
      </c>
    </row>
    <row r="1419" spans="1:4" x14ac:dyDescent="0.2">
      <c r="A1419" s="5">
        <v>1358</v>
      </c>
      <c r="B1419" s="1817">
        <f>'Expenditures 15-22'!D241</f>
        <v>2462</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2505</v>
      </c>
      <c r="C1421" s="2" t="s">
        <v>569</v>
      </c>
      <c r="D1421" s="2" t="str">
        <f t="shared" si="21"/>
        <v>Error?</v>
      </c>
    </row>
    <row r="1422" spans="1:4" x14ac:dyDescent="0.2">
      <c r="A1422" s="5">
        <v>1361</v>
      </c>
      <c r="B1422" s="1817">
        <f>'Expenditures 15-22'!D245</f>
        <v>5158</v>
      </c>
      <c r="D1422" s="2" t="str">
        <f t="shared" si="21"/>
        <v>Error?</v>
      </c>
    </row>
    <row r="1423" spans="1:4" x14ac:dyDescent="0.2">
      <c r="A1423" s="5">
        <v>1362</v>
      </c>
      <c r="B1423" s="1817">
        <f>'Expenditures 15-22'!D246</f>
        <v>1294</v>
      </c>
      <c r="D1423" s="2" t="str">
        <f t="shared" si="21"/>
        <v>Error?</v>
      </c>
    </row>
    <row r="1424" spans="1:4" x14ac:dyDescent="0.2">
      <c r="A1424" s="5">
        <v>1363</v>
      </c>
      <c r="B1424" s="1817">
        <f>'Expenditures 15-22'!D257</f>
        <v>6452</v>
      </c>
      <c r="C1424" s="2" t="s">
        <v>569</v>
      </c>
      <c r="D1424" s="2" t="str">
        <f t="shared" si="21"/>
        <v>Error?</v>
      </c>
    </row>
    <row r="1425" spans="1:4" x14ac:dyDescent="0.2">
      <c r="A1425" s="5">
        <v>1364</v>
      </c>
      <c r="B1425" s="1817">
        <f>'Expenditures 15-22'!D259</f>
        <v>1984</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1984</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6822</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21030</v>
      </c>
      <c r="D1431" s="2" t="str">
        <f t="shared" si="21"/>
        <v>Error?</v>
      </c>
    </row>
    <row r="1432" spans="1:4" x14ac:dyDescent="0.2">
      <c r="A1432" s="5">
        <v>1371</v>
      </c>
      <c r="B1432" s="1817">
        <f>'Expenditures 15-22'!D267</f>
        <v>19206</v>
      </c>
      <c r="D1432" s="2" t="str">
        <f t="shared" si="21"/>
        <v>Error?</v>
      </c>
    </row>
    <row r="1433" spans="1:4" x14ac:dyDescent="0.2">
      <c r="A1433" s="5">
        <v>1372</v>
      </c>
      <c r="B1433" s="1817">
        <f>'Expenditures 15-22'!D268</f>
        <v>9670</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56728</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84791</v>
      </c>
      <c r="C1446" s="2" t="s">
        <v>569</v>
      </c>
      <c r="D1446" s="2" t="str">
        <f t="shared" si="21"/>
        <v>Error?</v>
      </c>
    </row>
    <row r="1447" spans="1:4" x14ac:dyDescent="0.2">
      <c r="A1447" s="5">
        <v>1386</v>
      </c>
      <c r="B1447" s="1817">
        <f>'Expenditures 15-22'!D280</f>
        <v>3593</v>
      </c>
      <c r="D1447" s="2" t="str">
        <f t="shared" si="21"/>
        <v>Error?</v>
      </c>
    </row>
    <row r="1448" spans="1:4" x14ac:dyDescent="0.2">
      <c r="A1448" s="5">
        <v>1387</v>
      </c>
      <c r="B1448" s="1817">
        <f>'Expenditures 15-22'!D295</f>
        <v>120251</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539</v>
      </c>
      <c r="C1471" s="2" t="s">
        <v>569</v>
      </c>
      <c r="D1471" s="2" t="str">
        <f t="shared" ref="D1471:D1534" si="22">IF(ISBLANK(B1471),"OK",IF(A1471-B1471=0,"OK","Error?"))</f>
        <v>Error?</v>
      </c>
    </row>
    <row r="1472" spans="1:4" x14ac:dyDescent="0.2">
      <c r="A1472" s="5">
        <v>1411</v>
      </c>
      <c r="B1472" s="1817">
        <f>'Expenditures 15-22'!K223</f>
        <v>2315</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31867</v>
      </c>
      <c r="C1474" s="2" t="s">
        <v>569</v>
      </c>
      <c r="D1474" s="2" t="str">
        <f t="shared" si="22"/>
        <v>Error?</v>
      </c>
    </row>
    <row r="1475" spans="1:4" x14ac:dyDescent="0.2">
      <c r="A1475" s="5">
        <v>1414</v>
      </c>
      <c r="B1475" s="1817">
        <f>'Expenditures 15-22'!K232</f>
        <v>7576</v>
      </c>
      <c r="C1475" s="2" t="s">
        <v>569</v>
      </c>
      <c r="D1475" s="2" t="str">
        <f t="shared" si="22"/>
        <v>Error?</v>
      </c>
    </row>
    <row r="1476" spans="1:4" x14ac:dyDescent="0.2">
      <c r="A1476" s="5">
        <v>1415</v>
      </c>
      <c r="B1476" s="1817">
        <f>'Expenditures 15-22'!K233</f>
        <v>631</v>
      </c>
      <c r="C1476" s="2" t="s">
        <v>569</v>
      </c>
      <c r="D1476" s="2" t="str">
        <f t="shared" si="22"/>
        <v>Error?</v>
      </c>
    </row>
    <row r="1477" spans="1:4" x14ac:dyDescent="0.2">
      <c r="A1477" s="5">
        <v>1416</v>
      </c>
      <c r="B1477" s="1817">
        <f>'Expenditures 15-22'!K234</f>
        <v>8915</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0</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17122</v>
      </c>
      <c r="C1481" s="2" t="s">
        <v>569</v>
      </c>
      <c r="D1481" s="2" t="str">
        <f t="shared" si="22"/>
        <v>Error?</v>
      </c>
    </row>
    <row r="1482" spans="1:4" x14ac:dyDescent="0.2">
      <c r="A1482" s="5">
        <v>1421</v>
      </c>
      <c r="B1482" s="1817">
        <f>'Expenditures 15-22'!K240</f>
        <v>43</v>
      </c>
      <c r="C1482" s="2" t="s">
        <v>569</v>
      </c>
      <c r="D1482" s="2" t="str">
        <f t="shared" si="22"/>
        <v>Error?</v>
      </c>
    </row>
    <row r="1483" spans="1:4" x14ac:dyDescent="0.2">
      <c r="A1483" s="5">
        <v>1422</v>
      </c>
      <c r="B1483" s="1817">
        <f>'Expenditures 15-22'!K241</f>
        <v>2462</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2505</v>
      </c>
      <c r="C1485" s="2" t="s">
        <v>569</v>
      </c>
      <c r="D1485" s="2" t="str">
        <f t="shared" si="22"/>
        <v>Error?</v>
      </c>
    </row>
    <row r="1486" spans="1:4" x14ac:dyDescent="0.2">
      <c r="A1486" s="5">
        <v>1425</v>
      </c>
      <c r="B1486" s="1817">
        <f>'Expenditures 15-22'!K245</f>
        <v>5158</v>
      </c>
      <c r="C1486" s="2" t="s">
        <v>569</v>
      </c>
      <c r="D1486" s="2" t="str">
        <f t="shared" si="22"/>
        <v>Error?</v>
      </c>
    </row>
    <row r="1487" spans="1:4" x14ac:dyDescent="0.2">
      <c r="A1487" s="5">
        <v>1426</v>
      </c>
      <c r="B1487" s="1817">
        <f>'Expenditures 15-22'!K246</f>
        <v>1294</v>
      </c>
      <c r="C1487" s="2" t="s">
        <v>569</v>
      </c>
      <c r="D1487" s="2" t="str">
        <f t="shared" si="22"/>
        <v>Error?</v>
      </c>
    </row>
    <row r="1488" spans="1:4" x14ac:dyDescent="0.2">
      <c r="A1488" s="5">
        <v>1427</v>
      </c>
      <c r="B1488" s="1817">
        <f>'Expenditures 15-22'!K257</f>
        <v>6452</v>
      </c>
      <c r="C1488" s="2" t="s">
        <v>569</v>
      </c>
      <c r="D1488" s="2" t="str">
        <f t="shared" si="22"/>
        <v>Error?</v>
      </c>
    </row>
    <row r="1489" spans="1:4" x14ac:dyDescent="0.2">
      <c r="A1489" s="5">
        <v>1428</v>
      </c>
      <c r="B1489" s="1817">
        <f>'Expenditures 15-22'!K259</f>
        <v>1984</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1984</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6822</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21030</v>
      </c>
      <c r="C1495" s="2" t="s">
        <v>569</v>
      </c>
      <c r="D1495" s="2" t="str">
        <f t="shared" si="22"/>
        <v>Error?</v>
      </c>
    </row>
    <row r="1496" spans="1:4" x14ac:dyDescent="0.2">
      <c r="A1496" s="5">
        <v>1435</v>
      </c>
      <c r="B1496" s="1817">
        <f>'Expenditures 15-22'!K267</f>
        <v>19206</v>
      </c>
      <c r="C1496" s="2" t="s">
        <v>569</v>
      </c>
      <c r="D1496" s="2" t="str">
        <f t="shared" si="22"/>
        <v>Error?</v>
      </c>
    </row>
    <row r="1497" spans="1:4" x14ac:dyDescent="0.2">
      <c r="A1497" s="5">
        <v>1436</v>
      </c>
      <c r="B1497" s="1817">
        <f>'Expenditures 15-22'!K268</f>
        <v>9670</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56728</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84791</v>
      </c>
      <c r="C1510" s="2" t="s">
        <v>569</v>
      </c>
      <c r="D1510" s="2" t="str">
        <f t="shared" si="22"/>
        <v>Error?</v>
      </c>
    </row>
    <row r="1511" spans="1:4" x14ac:dyDescent="0.2">
      <c r="A1511" s="5">
        <v>1450</v>
      </c>
      <c r="B1511" s="1817">
        <f>'Expenditures 15-22'!K280</f>
        <v>3593</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120251</v>
      </c>
      <c r="C1517" s="2" t="s">
        <v>569</v>
      </c>
      <c r="D1517" s="2" t="str">
        <f t="shared" si="22"/>
        <v>Error?</v>
      </c>
    </row>
    <row r="1518" spans="1:4" x14ac:dyDescent="0.2">
      <c r="A1518" s="5">
        <v>1457</v>
      </c>
      <c r="B1518" s="1817">
        <f>'Expenditures 15-22'!K296</f>
        <v>27255</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1141953</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1141953</v>
      </c>
      <c r="C1547" s="2" t="s">
        <v>569</v>
      </c>
      <c r="D1547" s="2" t="str">
        <f t="shared" si="23"/>
        <v>Error?</v>
      </c>
    </row>
    <row r="1548" spans="1:4" x14ac:dyDescent="0.2">
      <c r="A1548" s="5">
        <v>1487</v>
      </c>
      <c r="B1548" s="1817">
        <f>'Expenditures 15-22'!G312</f>
        <v>1141953</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1141953</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1141953</v>
      </c>
      <c r="C1559" s="2" t="s">
        <v>569</v>
      </c>
      <c r="D1559" s="2" t="str">
        <f t="shared" si="23"/>
        <v>Error?</v>
      </c>
    </row>
    <row r="1560" spans="1:4" x14ac:dyDescent="0.2">
      <c r="A1560" s="5">
        <v>1499</v>
      </c>
      <c r="B1560" s="1817">
        <f>'Expenditures 15-22'!K312</f>
        <v>1141953</v>
      </c>
      <c r="C1560" s="2" t="s">
        <v>569</v>
      </c>
      <c r="D1560" s="2" t="str">
        <f t="shared" si="23"/>
        <v>Error?</v>
      </c>
    </row>
    <row r="1561" spans="1:4" x14ac:dyDescent="0.2">
      <c r="A1561" s="5">
        <v>1500</v>
      </c>
      <c r="B1561" s="1817">
        <f>'Expenditures 15-22'!K313</f>
        <v>-1079520</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1900752</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2130970</v>
      </c>
      <c r="C1630" s="2" t="s">
        <v>569</v>
      </c>
      <c r="D1630" s="2" t="str">
        <f t="shared" si="24"/>
        <v>Error?</v>
      </c>
    </row>
    <row r="1631" spans="1:4" x14ac:dyDescent="0.2">
      <c r="A1631" s="5">
        <v>1570</v>
      </c>
      <c r="B1631" s="1817">
        <f>'Acct Summary 7-8'!D79</f>
        <v>176195</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134688</v>
      </c>
      <c r="C1644" s="2" t="s">
        <v>569</v>
      </c>
      <c r="D1644" s="2" t="str">
        <f t="shared" si="24"/>
        <v>Error?</v>
      </c>
    </row>
    <row r="1645" spans="1:4" x14ac:dyDescent="0.2">
      <c r="A1645" s="5">
        <v>1584</v>
      </c>
      <c r="B1645" s="1817">
        <f>'Acct Summary 7-8'!E79</f>
        <v>4090</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119271</v>
      </c>
      <c r="C1658" s="2" t="s">
        <v>569</v>
      </c>
      <c r="D1658" s="2" t="str">
        <f t="shared" si="24"/>
        <v>Error?</v>
      </c>
    </row>
    <row r="1659" spans="1:4" x14ac:dyDescent="0.2">
      <c r="A1659" s="5">
        <v>1598</v>
      </c>
      <c r="B1659" s="1817">
        <f>'Acct Summary 7-8'!F79</f>
        <v>135607</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178181</v>
      </c>
      <c r="C1672" s="2" t="s">
        <v>569</v>
      </c>
      <c r="D1672" s="2" t="str">
        <f t="shared" si="25"/>
        <v>Error?</v>
      </c>
    </row>
    <row r="1673" spans="1:4" x14ac:dyDescent="0.2">
      <c r="A1673" s="5">
        <v>1612</v>
      </c>
      <c r="B1673" s="1817">
        <f>'Acct Summary 7-8'!G79</f>
        <v>145870</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173125</v>
      </c>
      <c r="C1686" s="2" t="s">
        <v>569</v>
      </c>
      <c r="D1686" s="2" t="str">
        <f t="shared" si="25"/>
        <v>Error?</v>
      </c>
    </row>
    <row r="1687" spans="1:4" x14ac:dyDescent="0.2">
      <c r="A1687" s="5">
        <v>1626</v>
      </c>
      <c r="B1687" s="1817">
        <f>'Acct Summary 7-8'!H79</f>
        <v>8892</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1383622</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406405</v>
      </c>
      <c r="C1744" s="2" t="s">
        <v>569</v>
      </c>
      <c r="D1744" s="2" t="str">
        <f t="shared" si="26"/>
        <v>Error?</v>
      </c>
    </row>
    <row r="1745" spans="1:5" x14ac:dyDescent="0.2">
      <c r="A1745" s="5">
        <v>1684</v>
      </c>
      <c r="B1745" s="1817">
        <f>'Tax Sched 23'!B5</f>
        <v>126334</v>
      </c>
      <c r="C1745" s="2" t="s">
        <v>569</v>
      </c>
      <c r="D1745" s="2" t="str">
        <f t="shared" si="26"/>
        <v>Error?</v>
      </c>
    </row>
    <row r="1746" spans="1:5" x14ac:dyDescent="0.2">
      <c r="A1746" s="5">
        <v>1685</v>
      </c>
      <c r="B1746" s="1817">
        <f>'Tax Sched 23'!B6</f>
        <v>151871</v>
      </c>
      <c r="C1746" s="2" t="s">
        <v>569</v>
      </c>
      <c r="D1746" s="2" t="str">
        <f t="shared" si="26"/>
        <v>Error?</v>
      </c>
    </row>
    <row r="1747" spans="1:5" x14ac:dyDescent="0.2">
      <c r="A1747" s="5">
        <v>1686</v>
      </c>
      <c r="B1747" s="1817">
        <f>'Tax Sched 23'!B7</f>
        <v>44173</v>
      </c>
      <c r="C1747" s="2" t="s">
        <v>569</v>
      </c>
      <c r="D1747" s="2" t="str">
        <f t="shared" si="26"/>
        <v>Error?</v>
      </c>
    </row>
    <row r="1748" spans="1:5" x14ac:dyDescent="0.2">
      <c r="A1748" s="5">
        <v>1687</v>
      </c>
      <c r="B1748" s="1817">
        <f>'Tax Sched 23'!B8</f>
        <v>64565</v>
      </c>
      <c r="C1748" s="2" t="s">
        <v>569</v>
      </c>
      <c r="D1748" s="2" t="str">
        <f t="shared" si="26"/>
        <v>Error?</v>
      </c>
    </row>
    <row r="1749" spans="1:5" x14ac:dyDescent="0.2">
      <c r="A1749" s="5">
        <v>1688</v>
      </c>
      <c r="B1749" s="1817">
        <f>'Tax Sched 23'!B10</f>
        <v>11044</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114220</v>
      </c>
      <c r="C1752" s="2" t="s">
        <v>569</v>
      </c>
      <c r="D1752" s="2" t="str">
        <f t="shared" si="26"/>
        <v>Error?</v>
      </c>
    </row>
    <row r="1753" spans="1:5" x14ac:dyDescent="0.2">
      <c r="A1753" s="5">
        <v>1692</v>
      </c>
      <c r="B1753" s="1817">
        <f>'Tax Sched 23'!B12</f>
        <v>11044</v>
      </c>
      <c r="C1753" s="2" t="s">
        <v>569</v>
      </c>
      <c r="D1753" s="2" t="str">
        <f t="shared" si="26"/>
        <v>Error?</v>
      </c>
    </row>
    <row r="1754" spans="1:5" x14ac:dyDescent="0.2">
      <c r="A1754" s="5">
        <v>1693</v>
      </c>
      <c r="B1754" s="1817">
        <f>'Tax Sched 23'!B14</f>
        <v>8836</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1019058</v>
      </c>
      <c r="C1759" s="2" t="s">
        <v>569</v>
      </c>
      <c r="D1759" s="2" t="str">
        <f t="shared" si="26"/>
        <v>Error?</v>
      </c>
    </row>
    <row r="1760" spans="1:5" x14ac:dyDescent="0.2">
      <c r="A1760" s="5">
        <v>1699</v>
      </c>
      <c r="B1760" s="1817">
        <f>'Tax Sched 23'!D4</f>
        <v>406405</v>
      </c>
      <c r="C1760" s="2" t="s">
        <v>569</v>
      </c>
      <c r="D1760" s="2" t="str">
        <f t="shared" si="26"/>
        <v>Error?</v>
      </c>
    </row>
    <row r="1761" spans="1:7" x14ac:dyDescent="0.2">
      <c r="A1761" s="5">
        <v>1700</v>
      </c>
      <c r="B1761" s="1817">
        <f>'Tax Sched 23'!D5</f>
        <v>126334</v>
      </c>
      <c r="C1761" s="2" t="s">
        <v>569</v>
      </c>
      <c r="D1761" s="2" t="str">
        <f t="shared" si="26"/>
        <v>Error?</v>
      </c>
    </row>
    <row r="1762" spans="1:7" s="8" customFormat="1" x14ac:dyDescent="0.2">
      <c r="A1762" s="5">
        <v>1701</v>
      </c>
      <c r="B1762" s="1817">
        <f>'Tax Sched 23'!D6</f>
        <v>151871</v>
      </c>
      <c r="C1762" s="2" t="s">
        <v>569</v>
      </c>
      <c r="D1762" s="2" t="str">
        <f t="shared" si="26"/>
        <v>Error?</v>
      </c>
      <c r="E1762" s="9"/>
      <c r="G1762"/>
    </row>
    <row r="1763" spans="1:7" x14ac:dyDescent="0.2">
      <c r="A1763" s="5">
        <v>1702</v>
      </c>
      <c r="B1763" s="1817">
        <f>'Tax Sched 23'!D7</f>
        <v>44173</v>
      </c>
      <c r="C1763" s="2" t="s">
        <v>569</v>
      </c>
      <c r="D1763" s="2" t="str">
        <f t="shared" si="26"/>
        <v>Error?</v>
      </c>
    </row>
    <row r="1764" spans="1:7" x14ac:dyDescent="0.2">
      <c r="A1764" s="5">
        <v>1703</v>
      </c>
      <c r="B1764" s="1817">
        <f>'Tax Sched 23'!D8</f>
        <v>64565</v>
      </c>
      <c r="C1764" s="2" t="s">
        <v>569</v>
      </c>
      <c r="D1764" s="2" t="str">
        <f t="shared" si="26"/>
        <v>Error?</v>
      </c>
    </row>
    <row r="1765" spans="1:7" x14ac:dyDescent="0.2">
      <c r="A1765" s="5">
        <v>1704</v>
      </c>
      <c r="B1765" s="1817">
        <f>'Tax Sched 23'!D10</f>
        <v>11044</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114220</v>
      </c>
      <c r="C1768" s="2" t="s">
        <v>569</v>
      </c>
      <c r="D1768" s="2" t="str">
        <f t="shared" si="26"/>
        <v>Error?</v>
      </c>
    </row>
    <row r="1769" spans="1:7" x14ac:dyDescent="0.2">
      <c r="A1769" s="5">
        <v>1708</v>
      </c>
      <c r="B1769" s="1817">
        <f>'Tax Sched 23'!D12</f>
        <v>11044</v>
      </c>
      <c r="C1769" s="2" t="s">
        <v>569</v>
      </c>
      <c r="D1769" s="2" t="str">
        <f t="shared" si="26"/>
        <v>Error?</v>
      </c>
    </row>
    <row r="1770" spans="1:7" x14ac:dyDescent="0.2">
      <c r="A1770" s="5">
        <v>1709</v>
      </c>
      <c r="B1770" s="1817">
        <f>'Tax Sched 23'!D14</f>
        <v>8836</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1019058</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440910</v>
      </c>
      <c r="C1792" s="2" t="s">
        <v>569</v>
      </c>
      <c r="D1792" s="2" t="str">
        <f t="shared" si="27"/>
        <v>Error?</v>
      </c>
    </row>
    <row r="1793" spans="1:4" x14ac:dyDescent="0.2">
      <c r="A1793" s="5">
        <v>1732</v>
      </c>
      <c r="B1793" s="1817">
        <f>'Tax Sched 23'!F5</f>
        <v>137066</v>
      </c>
      <c r="C1793" s="2" t="s">
        <v>569</v>
      </c>
      <c r="D1793" s="2" t="str">
        <f t="shared" si="27"/>
        <v>Error?</v>
      </c>
    </row>
    <row r="1794" spans="1:4" x14ac:dyDescent="0.2">
      <c r="A1794" s="5">
        <v>1733</v>
      </c>
      <c r="B1794" s="1817">
        <f>'Tax Sched 23'!F6</f>
        <v>152986</v>
      </c>
      <c r="C1794" s="2" t="s">
        <v>569</v>
      </c>
      <c r="D1794" s="2" t="str">
        <f t="shared" si="27"/>
        <v>Error?</v>
      </c>
    </row>
    <row r="1795" spans="1:4" x14ac:dyDescent="0.2">
      <c r="A1795" s="5">
        <v>1734</v>
      </c>
      <c r="B1795" s="1817">
        <f>'Tax Sched 23'!F7</f>
        <v>47924</v>
      </c>
      <c r="C1795" s="2" t="s">
        <v>569</v>
      </c>
      <c r="D1795" s="2" t="str">
        <f t="shared" si="27"/>
        <v>Error?</v>
      </c>
    </row>
    <row r="1796" spans="1:4" x14ac:dyDescent="0.2">
      <c r="A1796" s="5">
        <v>1735</v>
      </c>
      <c r="B1796" s="1817">
        <f>'Tax Sched 23'!F8</f>
        <v>65000</v>
      </c>
      <c r="C1796" s="2" t="s">
        <v>569</v>
      </c>
      <c r="D1796" s="2" t="str">
        <f t="shared" si="27"/>
        <v>Error?</v>
      </c>
    </row>
    <row r="1797" spans="1:4" x14ac:dyDescent="0.2">
      <c r="A1797" s="5">
        <v>1736</v>
      </c>
      <c r="B1797" s="1817">
        <f>'Tax Sched 23'!F10</f>
        <v>11982</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110000</v>
      </c>
      <c r="C1800" s="2" t="s">
        <v>569</v>
      </c>
      <c r="D1800" s="2" t="str">
        <f t="shared" si="27"/>
        <v>Error?</v>
      </c>
    </row>
    <row r="1801" spans="1:4" x14ac:dyDescent="0.2">
      <c r="A1801" s="5">
        <v>1740</v>
      </c>
      <c r="B1801" s="1817">
        <f>'Tax Sched 23'!F12</f>
        <v>11982</v>
      </c>
      <c r="C1801" s="2" t="s">
        <v>569</v>
      </c>
      <c r="D1801" s="2" t="str">
        <f t="shared" si="27"/>
        <v>Error?</v>
      </c>
    </row>
    <row r="1802" spans="1:4" x14ac:dyDescent="0.2">
      <c r="A1802" s="5">
        <v>1741</v>
      </c>
      <c r="B1802" s="1817">
        <f>'Tax Sched 23'!F14</f>
        <v>9585</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1069416</v>
      </c>
      <c r="C1807" s="2" t="s">
        <v>569</v>
      </c>
      <c r="D1807" s="2" t="str">
        <f t="shared" si="27"/>
        <v>Error?</v>
      </c>
    </row>
    <row r="1808" spans="1:4" x14ac:dyDescent="0.2">
      <c r="A1808" s="5">
        <v>1747</v>
      </c>
      <c r="B1808" s="1817">
        <f>'Tax Sched 23'!E4</f>
        <v>440910</v>
      </c>
      <c r="D1808" s="2" t="str">
        <f t="shared" si="27"/>
        <v>Error?</v>
      </c>
    </row>
    <row r="1809" spans="1:4" x14ac:dyDescent="0.2">
      <c r="A1809" s="5">
        <v>1748</v>
      </c>
      <c r="B1809" s="1817">
        <f>'Tax Sched 23'!E5</f>
        <v>137066</v>
      </c>
      <c r="D1809" s="2" t="str">
        <f t="shared" si="27"/>
        <v>Error?</v>
      </c>
    </row>
    <row r="1810" spans="1:4" x14ac:dyDescent="0.2">
      <c r="A1810" s="5">
        <v>1749</v>
      </c>
      <c r="B1810" s="1817">
        <f>'Tax Sched 23'!E6</f>
        <v>152986</v>
      </c>
      <c r="D1810" s="2" t="str">
        <f t="shared" si="27"/>
        <v>Error?</v>
      </c>
    </row>
    <row r="1811" spans="1:4" x14ac:dyDescent="0.2">
      <c r="A1811" s="5">
        <v>1750</v>
      </c>
      <c r="B1811" s="1817">
        <f>'Tax Sched 23'!E7</f>
        <v>47924</v>
      </c>
      <c r="D1811" s="2" t="str">
        <f t="shared" si="27"/>
        <v>Error?</v>
      </c>
    </row>
    <row r="1812" spans="1:4" x14ac:dyDescent="0.2">
      <c r="A1812" s="5">
        <v>1751</v>
      </c>
      <c r="B1812" s="1817">
        <f>'Tax Sched 23'!E8</f>
        <v>65000</v>
      </c>
      <c r="D1812" s="2" t="str">
        <f t="shared" si="27"/>
        <v>Error?</v>
      </c>
    </row>
    <row r="1813" spans="1:4" x14ac:dyDescent="0.2">
      <c r="A1813" s="5">
        <v>1752</v>
      </c>
      <c r="B1813" s="1817">
        <f>'Tax Sched 23'!E10</f>
        <v>11982</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110000</v>
      </c>
      <c r="D1816" s="2" t="str">
        <f t="shared" si="27"/>
        <v>Error?</v>
      </c>
    </row>
    <row r="1817" spans="1:4" x14ac:dyDescent="0.2">
      <c r="A1817" s="5">
        <v>1756</v>
      </c>
      <c r="B1817" s="1817">
        <f>'Tax Sched 23'!E12</f>
        <v>11982</v>
      </c>
      <c r="D1817" s="2" t="str">
        <f t="shared" si="27"/>
        <v>Error?</v>
      </c>
    </row>
    <row r="1818" spans="1:4" x14ac:dyDescent="0.2">
      <c r="A1818" s="5">
        <v>1757</v>
      </c>
      <c r="B1818" s="1817">
        <f>'Tax Sched 23'!E14</f>
        <v>9585</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1069416</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926596</v>
      </c>
      <c r="C1939" s="2" t="s">
        <v>569</v>
      </c>
      <c r="D1939" s="2" t="str">
        <f t="shared" si="29"/>
        <v>Error?</v>
      </c>
    </row>
    <row r="1940" spans="1:5" x14ac:dyDescent="0.2">
      <c r="A1940" s="5">
        <v>1879</v>
      </c>
      <c r="B1940" s="1817">
        <f>'Short-Term Long-Term Debt 24'!F49</f>
        <v>2500000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8836</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33</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8869</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8869</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41000</v>
      </c>
      <c r="D2008" s="2" t="str">
        <f t="shared" si="30"/>
        <v>Error?</v>
      </c>
    </row>
    <row r="2009" spans="1:4" x14ac:dyDescent="0.2">
      <c r="A2009" s="5">
        <v>1948</v>
      </c>
      <c r="B2009" s="1817">
        <f>'Cap Outlay Deprec 26'!C8</f>
        <v>6199755</v>
      </c>
      <c r="D2009" s="2" t="str">
        <f t="shared" si="30"/>
        <v>Error?</v>
      </c>
    </row>
    <row r="2010" spans="1:4" x14ac:dyDescent="0.2">
      <c r="A2010" s="5">
        <v>1949</v>
      </c>
      <c r="B2010" s="1817">
        <f>'Cap Outlay Deprec 26'!C10</f>
        <v>345458</v>
      </c>
      <c r="D2010" s="2" t="str">
        <f t="shared" si="30"/>
        <v>Error?</v>
      </c>
    </row>
    <row r="2011" spans="1:4" x14ac:dyDescent="0.2">
      <c r="A2011" s="5">
        <v>1950</v>
      </c>
      <c r="B2011" s="1817">
        <f>'Cap Outlay Deprec 26'!C12</f>
        <v>653708</v>
      </c>
      <c r="D2011" s="2" t="str">
        <f t="shared" si="30"/>
        <v>Error?</v>
      </c>
    </row>
    <row r="2012" spans="1:4" x14ac:dyDescent="0.2">
      <c r="A2012" s="5">
        <v>1951</v>
      </c>
      <c r="B2012" s="1817">
        <f>'Cap Outlay Deprec 26'!C13</f>
        <v>241560</v>
      </c>
      <c r="D2012" s="2" t="str">
        <f t="shared" si="30"/>
        <v>Error?</v>
      </c>
    </row>
    <row r="2013" spans="1:4" x14ac:dyDescent="0.2">
      <c r="A2013" s="5">
        <v>1952</v>
      </c>
      <c r="B2013" s="1817">
        <f>'Cap Outlay Deprec 26'!C16</f>
        <v>7484236</v>
      </c>
      <c r="C2013" s="2" t="s">
        <v>569</v>
      </c>
      <c r="D2013" s="2" t="str">
        <f t="shared" si="30"/>
        <v>Error?</v>
      </c>
    </row>
    <row r="2014" spans="1:4" x14ac:dyDescent="0.2">
      <c r="A2014" s="5">
        <v>1953</v>
      </c>
      <c r="B2014" s="1817">
        <f>'Cap Outlay Deprec 26'!D5</f>
        <v>5608</v>
      </c>
      <c r="D2014" s="2" t="str">
        <f t="shared" si="30"/>
        <v>Error?</v>
      </c>
    </row>
    <row r="2015" spans="1:4" x14ac:dyDescent="0.2">
      <c r="A2015" s="5">
        <v>1954</v>
      </c>
      <c r="B2015" s="1817">
        <f>'Cap Outlay Deprec 26'!D8</f>
        <v>143151</v>
      </c>
      <c r="D2015" s="2" t="str">
        <f t="shared" si="30"/>
        <v>Error?</v>
      </c>
    </row>
    <row r="2016" spans="1:4" x14ac:dyDescent="0.2">
      <c r="A2016" s="5">
        <v>1955</v>
      </c>
      <c r="B2016" s="1817">
        <f>'Cap Outlay Deprec 26'!D10</f>
        <v>21300</v>
      </c>
      <c r="D2016" s="2" t="str">
        <f t="shared" si="30"/>
        <v>Error?</v>
      </c>
    </row>
    <row r="2017" spans="1:4" x14ac:dyDescent="0.2">
      <c r="A2017" s="5">
        <v>1956</v>
      </c>
      <c r="B2017" s="1817">
        <f>'Cap Outlay Deprec 26'!D12</f>
        <v>36084</v>
      </c>
      <c r="D2017" s="2" t="str">
        <f t="shared" si="30"/>
        <v>Error?</v>
      </c>
    </row>
    <row r="2018" spans="1:4" x14ac:dyDescent="0.2">
      <c r="A2018" s="5">
        <v>1957</v>
      </c>
      <c r="B2018" s="1817">
        <f>'Cap Outlay Deprec 26'!D13</f>
        <v>0</v>
      </c>
      <c r="D2018" s="2" t="str">
        <f t="shared" si="30"/>
        <v>Error?</v>
      </c>
    </row>
    <row r="2019" spans="1:4" x14ac:dyDescent="0.2">
      <c r="A2019" s="5">
        <v>1958</v>
      </c>
      <c r="B2019" s="1817">
        <f>'Cap Outlay Deprec 26'!D16</f>
        <v>1346046</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193320</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193320</v>
      </c>
      <c r="C2025" s="2" t="s">
        <v>569</v>
      </c>
      <c r="D2025" s="2" t="str">
        <f t="shared" si="30"/>
        <v>Error?</v>
      </c>
    </row>
    <row r="2026" spans="1:4" x14ac:dyDescent="0.2">
      <c r="A2026" s="5">
        <v>1965</v>
      </c>
      <c r="B2026" s="1817">
        <f>'Cap Outlay Deprec 26'!F5</f>
        <v>46608</v>
      </c>
      <c r="C2026" s="2" t="s">
        <v>569</v>
      </c>
      <c r="D2026" s="2" t="str">
        <f t="shared" si="30"/>
        <v>Error?</v>
      </c>
    </row>
    <row r="2027" spans="1:4" x14ac:dyDescent="0.2">
      <c r="A2027" s="5">
        <v>1966</v>
      </c>
      <c r="B2027" s="1817">
        <f>'Cap Outlay Deprec 26'!F8</f>
        <v>6342906</v>
      </c>
      <c r="C2027" s="2" t="s">
        <v>569</v>
      </c>
      <c r="D2027" s="2" t="str">
        <f t="shared" si="30"/>
        <v>Error?</v>
      </c>
    </row>
    <row r="2028" spans="1:4" x14ac:dyDescent="0.2">
      <c r="A2028" s="5">
        <v>1967</v>
      </c>
      <c r="B2028" s="1817">
        <f>'Cap Outlay Deprec 26'!F10</f>
        <v>366758</v>
      </c>
      <c r="C2028" s="2" t="s">
        <v>569</v>
      </c>
      <c r="D2028" s="2" t="str">
        <f t="shared" si="30"/>
        <v>Error?</v>
      </c>
    </row>
    <row r="2029" spans="1:4" x14ac:dyDescent="0.2">
      <c r="A2029" s="5">
        <v>1968</v>
      </c>
      <c r="B2029" s="1817">
        <f>'Cap Outlay Deprec 26'!F12</f>
        <v>496472</v>
      </c>
      <c r="C2029" s="2" t="s">
        <v>569</v>
      </c>
      <c r="D2029" s="2" t="str">
        <f t="shared" si="30"/>
        <v>Error?</v>
      </c>
    </row>
    <row r="2030" spans="1:4" x14ac:dyDescent="0.2">
      <c r="A2030" s="5">
        <v>1969</v>
      </c>
      <c r="B2030" s="1817">
        <f>'Cap Outlay Deprec 26'!F13</f>
        <v>241560</v>
      </c>
      <c r="C2030" s="2" t="s">
        <v>569</v>
      </c>
      <c r="D2030" s="2" t="str">
        <f t="shared" si="30"/>
        <v>Error?</v>
      </c>
    </row>
    <row r="2031" spans="1:4" x14ac:dyDescent="0.2">
      <c r="A2031" s="5">
        <v>1970</v>
      </c>
      <c r="B2031" s="1817">
        <f>'Cap Outlay Deprec 26'!F16</f>
        <v>8636962</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2912906</v>
      </c>
      <c r="D2033" s="2" t="str">
        <f t="shared" si="30"/>
        <v>Error?</v>
      </c>
    </row>
    <row r="2034" spans="1:4" x14ac:dyDescent="0.2">
      <c r="A2034" s="5">
        <v>1973</v>
      </c>
      <c r="B2034" s="1817">
        <f>'Cap Outlay Deprec 26'!H10</f>
        <v>187103</v>
      </c>
      <c r="D2034" s="2" t="str">
        <f t="shared" si="30"/>
        <v>Error?</v>
      </c>
    </row>
    <row r="2035" spans="1:4" x14ac:dyDescent="0.2">
      <c r="A2035" s="5">
        <v>1974</v>
      </c>
      <c r="B2035" s="1817">
        <f>'Cap Outlay Deprec 26'!H12</f>
        <v>459335</v>
      </c>
      <c r="D2035" s="2" t="str">
        <f t="shared" si="30"/>
        <v>Error?</v>
      </c>
    </row>
    <row r="2036" spans="1:4" x14ac:dyDescent="0.2">
      <c r="A2036" s="5">
        <v>1975</v>
      </c>
      <c r="B2036" s="1817">
        <f>'Cap Outlay Deprec 26'!H13</f>
        <v>227722</v>
      </c>
      <c r="D2036" s="2" t="str">
        <f t="shared" si="30"/>
        <v>Error?</v>
      </c>
    </row>
    <row r="2037" spans="1:4" x14ac:dyDescent="0.2">
      <c r="A2037" s="5">
        <v>1976</v>
      </c>
      <c r="B2037" s="1817">
        <f>'Cap Outlay Deprec 26'!H16</f>
        <v>3789821</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97233</v>
      </c>
      <c r="D2039" s="2" t="str">
        <f t="shared" si="30"/>
        <v>Error?</v>
      </c>
    </row>
    <row r="2040" spans="1:4" x14ac:dyDescent="0.2">
      <c r="A2040" s="5">
        <v>1979</v>
      </c>
      <c r="B2040" s="1817">
        <f>'Cap Outlay Deprec 26'!I10</f>
        <v>11092</v>
      </c>
      <c r="D2040" s="2" t="str">
        <f t="shared" si="30"/>
        <v>Error?</v>
      </c>
    </row>
    <row r="2041" spans="1:4" x14ac:dyDescent="0.2">
      <c r="A2041" s="5">
        <v>1980</v>
      </c>
      <c r="B2041" s="1817">
        <f>'Cap Outlay Deprec 26'!I12</f>
        <v>49109</v>
      </c>
      <c r="D2041" s="2" t="str">
        <f t="shared" si="30"/>
        <v>Error?</v>
      </c>
    </row>
    <row r="2042" spans="1:4" x14ac:dyDescent="0.2">
      <c r="A2042" s="5">
        <v>1981</v>
      </c>
      <c r="B2042" s="1817">
        <f>'Cap Outlay Deprec 26'!I13</f>
        <v>4060</v>
      </c>
      <c r="D2042" s="2" t="str">
        <f t="shared" si="30"/>
        <v>Error?</v>
      </c>
    </row>
    <row r="2043" spans="1:4" x14ac:dyDescent="0.2">
      <c r="A2043" s="5">
        <v>1982</v>
      </c>
      <c r="B2043" s="1817">
        <f>'Cap Outlay Deprec 26'!I16</f>
        <v>161494</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193320</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193320</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3010139</v>
      </c>
      <c r="C2051" s="2" t="s">
        <v>569</v>
      </c>
      <c r="D2051" s="2" t="str">
        <f t="shared" si="31"/>
        <v>Error?</v>
      </c>
    </row>
    <row r="2052" spans="1:4" x14ac:dyDescent="0.2">
      <c r="A2052" s="5">
        <v>1991</v>
      </c>
      <c r="B2052" s="1817">
        <f>'Cap Outlay Deprec 26'!K10</f>
        <v>198195</v>
      </c>
      <c r="C2052" s="2" t="s">
        <v>569</v>
      </c>
      <c r="D2052" s="2" t="str">
        <f t="shared" si="31"/>
        <v>Error?</v>
      </c>
    </row>
    <row r="2053" spans="1:4" x14ac:dyDescent="0.2">
      <c r="A2053" s="5">
        <v>1992</v>
      </c>
      <c r="B2053" s="1817">
        <f>'Cap Outlay Deprec 26'!K12</f>
        <v>315124</v>
      </c>
      <c r="C2053" s="2" t="s">
        <v>569</v>
      </c>
      <c r="D2053" s="2" t="str">
        <f t="shared" si="31"/>
        <v>Error?</v>
      </c>
    </row>
    <row r="2054" spans="1:4" x14ac:dyDescent="0.2">
      <c r="A2054" s="5">
        <v>1993</v>
      </c>
      <c r="B2054" s="1817">
        <f>'Cap Outlay Deprec 26'!K13</f>
        <v>231782</v>
      </c>
      <c r="C2054" s="2" t="s">
        <v>569</v>
      </c>
      <c r="D2054" s="2" t="str">
        <f t="shared" si="31"/>
        <v>Error?</v>
      </c>
    </row>
    <row r="2055" spans="1:4" x14ac:dyDescent="0.2">
      <c r="A2055" s="5">
        <v>1994</v>
      </c>
      <c r="B2055" s="1817">
        <f>'Cap Outlay Deprec 26'!K16</f>
        <v>3757995</v>
      </c>
      <c r="C2055" s="2" t="s">
        <v>569</v>
      </c>
      <c r="D2055" s="2" t="str">
        <f t="shared" si="31"/>
        <v>Error?</v>
      </c>
    </row>
    <row r="2056" spans="1:4" x14ac:dyDescent="0.2">
      <c r="A2056" s="5">
        <v>1995</v>
      </c>
      <c r="B2056" s="1817">
        <f>'Cap Outlay Deprec 26'!L5</f>
        <v>46608</v>
      </c>
      <c r="C2056" s="2" t="s">
        <v>569</v>
      </c>
      <c r="D2056" s="2" t="str">
        <f t="shared" si="31"/>
        <v>Error?</v>
      </c>
    </row>
    <row r="2057" spans="1:4" x14ac:dyDescent="0.2">
      <c r="A2057" s="5">
        <v>1996</v>
      </c>
      <c r="B2057" s="1817">
        <f>'Cap Outlay Deprec 26'!L8</f>
        <v>3332767</v>
      </c>
      <c r="C2057" s="2" t="s">
        <v>569</v>
      </c>
      <c r="D2057" s="2" t="str">
        <f t="shared" si="31"/>
        <v>Error?</v>
      </c>
    </row>
    <row r="2058" spans="1:4" x14ac:dyDescent="0.2">
      <c r="A2058" s="5">
        <v>1997</v>
      </c>
      <c r="B2058" s="1817">
        <f>'Cap Outlay Deprec 26'!L10</f>
        <v>168563</v>
      </c>
      <c r="C2058" s="2" t="s">
        <v>569</v>
      </c>
      <c r="D2058" s="2" t="str">
        <f t="shared" si="31"/>
        <v>Error?</v>
      </c>
    </row>
    <row r="2059" spans="1:4" x14ac:dyDescent="0.2">
      <c r="A2059" s="5">
        <v>1998</v>
      </c>
      <c r="B2059" s="1817">
        <f>'Cap Outlay Deprec 26'!L12</f>
        <v>181348</v>
      </c>
      <c r="C2059" s="2" t="s">
        <v>569</v>
      </c>
      <c r="D2059" s="2" t="str">
        <f t="shared" si="31"/>
        <v>Error?</v>
      </c>
    </row>
    <row r="2060" spans="1:4" x14ac:dyDescent="0.2">
      <c r="A2060" s="5">
        <v>1999</v>
      </c>
      <c r="B2060" s="1817">
        <f>'Cap Outlay Deprec 26'!L13</f>
        <v>9778</v>
      </c>
      <c r="C2060" s="2" t="s">
        <v>569</v>
      </c>
      <c r="D2060" s="2" t="str">
        <f t="shared" si="31"/>
        <v>Error?</v>
      </c>
    </row>
    <row r="2061" spans="1:4" x14ac:dyDescent="0.2">
      <c r="A2061" s="5">
        <v>2000</v>
      </c>
      <c r="B2061" s="1817">
        <f>'Cap Outlay Deprec 26'!L16</f>
        <v>4878967</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154324</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154682</v>
      </c>
      <c r="C2088" s="2" t="s">
        <v>569</v>
      </c>
      <c r="D2088" s="2" t="str">
        <f t="shared" si="31"/>
        <v>Error?</v>
      </c>
    </row>
    <row r="2089" spans="1:4" x14ac:dyDescent="0.2">
      <c r="A2089" s="5">
        <v>2028</v>
      </c>
      <c r="B2089" s="1817">
        <f>'Expenditures 15-22'!K92</f>
        <v>177897</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150000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169308</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12149</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116672</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58453</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611644</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2198985</v>
      </c>
      <c r="C2553" s="2" t="s">
        <v>569</v>
      </c>
      <c r="D2553" s="2" t="str">
        <f t="shared" si="38"/>
        <v>Error?</v>
      </c>
    </row>
    <row r="2554" spans="1:4" x14ac:dyDescent="0.2">
      <c r="A2554" s="5">
        <v>2493</v>
      </c>
      <c r="B2554" s="1817">
        <f>'Acct Summary 7-8'!C7</f>
        <v>525474</v>
      </c>
      <c r="C2554" s="2" t="s">
        <v>569</v>
      </c>
      <c r="D2554" s="2" t="str">
        <f t="shared" si="38"/>
        <v>Error?</v>
      </c>
    </row>
    <row r="2555" spans="1:4" x14ac:dyDescent="0.2">
      <c r="A2555" s="5">
        <v>2494</v>
      </c>
      <c r="B2555" s="1817">
        <f>'Acct Summary 7-8'!C8</f>
        <v>3958439</v>
      </c>
      <c r="C2555" s="2" t="s">
        <v>569</v>
      </c>
      <c r="D2555" s="2" t="str">
        <f t="shared" si="38"/>
        <v>Error?</v>
      </c>
    </row>
    <row r="2556" spans="1:4" x14ac:dyDescent="0.2">
      <c r="A2556" s="5">
        <v>2495</v>
      </c>
      <c r="B2556" s="1817">
        <f>'Acct Summary 7-8'!C12</f>
        <v>1879518</v>
      </c>
      <c r="C2556" s="2" t="s">
        <v>569</v>
      </c>
      <c r="D2556" s="2" t="str">
        <f t="shared" si="38"/>
        <v>Error?</v>
      </c>
    </row>
    <row r="2557" spans="1:4" x14ac:dyDescent="0.2">
      <c r="A2557" s="5">
        <v>2496</v>
      </c>
      <c r="B2557" s="1817">
        <f>'Acct Summary 7-8'!C13</f>
        <v>1084319</v>
      </c>
      <c r="C2557" s="2" t="s">
        <v>569</v>
      </c>
      <c r="D2557" s="2" t="str">
        <f t="shared" si="38"/>
        <v>Error?</v>
      </c>
    </row>
    <row r="2558" spans="1:4" x14ac:dyDescent="0.2">
      <c r="A2558" s="5">
        <v>2497</v>
      </c>
      <c r="B2558" s="1817">
        <f>'Acct Summary 7-8'!C14</f>
        <v>32036</v>
      </c>
      <c r="C2558" s="2" t="s">
        <v>569</v>
      </c>
      <c r="D2558" s="2" t="str">
        <f t="shared" si="38"/>
        <v>Error?</v>
      </c>
    </row>
    <row r="2559" spans="1:4" x14ac:dyDescent="0.2">
      <c r="A2559" s="5">
        <v>2498</v>
      </c>
      <c r="B2559" s="1817">
        <f>'Acct Summary 7-8'!C15</f>
        <v>832348</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3828221</v>
      </c>
      <c r="C2561" s="2" t="s">
        <v>569</v>
      </c>
      <c r="D2561" s="2" t="str">
        <f t="shared" si="39"/>
        <v>Error?</v>
      </c>
    </row>
    <row r="2562" spans="1:4" x14ac:dyDescent="0.2">
      <c r="A2562" s="5">
        <v>2501</v>
      </c>
      <c r="B2562" s="1817">
        <f>'Acct Summary 7-8'!C20</f>
        <v>130218</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141546</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80000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221546</v>
      </c>
      <c r="C2568" s="2" t="s">
        <v>569</v>
      </c>
      <c r="D2568" s="2" t="str">
        <f t="shared" si="39"/>
        <v>Error?</v>
      </c>
    </row>
    <row r="2569" spans="1:4" x14ac:dyDescent="0.2">
      <c r="A2569" s="5">
        <v>2508</v>
      </c>
      <c r="B2569" s="1817">
        <f>'Acct Summary 7-8'!D13</f>
        <v>313053</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313053</v>
      </c>
      <c r="C2573" s="2" t="s">
        <v>569</v>
      </c>
      <c r="D2573" s="2" t="str">
        <f t="shared" si="39"/>
        <v>Error?</v>
      </c>
    </row>
    <row r="2574" spans="1:4" x14ac:dyDescent="0.2">
      <c r="A2574" s="5">
        <v>2513</v>
      </c>
      <c r="B2574" s="1817">
        <f>'Acct Summary 7-8'!D20</f>
        <v>-91507</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44773</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258104</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302877</v>
      </c>
      <c r="C2595" s="2" t="s">
        <v>569</v>
      </c>
      <c r="D2595" s="2" t="str">
        <f t="shared" si="39"/>
        <v>Error?</v>
      </c>
    </row>
    <row r="2596" spans="1:4" x14ac:dyDescent="0.2">
      <c r="A2596" s="5">
        <v>2535</v>
      </c>
      <c r="B2596" s="1817">
        <f>'Acct Summary 7-8'!F13</f>
        <v>260303</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260303</v>
      </c>
      <c r="C2600" s="2" t="s">
        <v>569</v>
      </c>
      <c r="D2600" s="2" t="str">
        <f t="shared" si="39"/>
        <v>Error?</v>
      </c>
    </row>
    <row r="2601" spans="1:4" x14ac:dyDescent="0.2">
      <c r="A2601" s="5">
        <v>2540</v>
      </c>
      <c r="B2601" s="1817">
        <f>'Acct Summary 7-8'!F20</f>
        <v>42574</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135506</v>
      </c>
      <c r="C2603" s="2" t="s">
        <v>569</v>
      </c>
      <c r="D2603" s="2" t="str">
        <f t="shared" si="39"/>
        <v>Error?</v>
      </c>
    </row>
    <row r="2604" spans="1:4" x14ac:dyDescent="0.2">
      <c r="A2604" s="5">
        <v>2543</v>
      </c>
      <c r="B2604" s="1817">
        <f>'Acct Summary 7-8'!G6</f>
        <v>12000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147506</v>
      </c>
      <c r="C2606" s="2" t="s">
        <v>569</v>
      </c>
      <c r="D2606" s="2" t="str">
        <f t="shared" si="39"/>
        <v>Error?</v>
      </c>
    </row>
    <row r="2607" spans="1:4" x14ac:dyDescent="0.2">
      <c r="A2607" s="5">
        <v>2546</v>
      </c>
      <c r="B2607" s="1817">
        <f>'Acct Summary 7-8'!G12</f>
        <v>31867</v>
      </c>
      <c r="C2607" s="2" t="s">
        <v>569</v>
      </c>
      <c r="D2607" s="2" t="str">
        <f t="shared" si="39"/>
        <v>Error?</v>
      </c>
    </row>
    <row r="2608" spans="1:4" x14ac:dyDescent="0.2">
      <c r="A2608" s="5">
        <v>2547</v>
      </c>
      <c r="B2608" s="1817">
        <f>'Acct Summary 7-8'!G13</f>
        <v>84791</v>
      </c>
      <c r="C2608" s="2" t="s">
        <v>569</v>
      </c>
      <c r="D2608" s="2" t="str">
        <f t="shared" si="39"/>
        <v>Error?</v>
      </c>
    </row>
    <row r="2609" spans="1:4" x14ac:dyDescent="0.2">
      <c r="A2609" s="5">
        <v>2548</v>
      </c>
      <c r="B2609" s="1817">
        <f>'Acct Summary 7-8'!G14</f>
        <v>3593</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120251</v>
      </c>
      <c r="C2612" s="2" t="s">
        <v>569</v>
      </c>
      <c r="D2612" s="2" t="str">
        <f t="shared" si="39"/>
        <v>Error?</v>
      </c>
    </row>
    <row r="2613" spans="1:4" x14ac:dyDescent="0.2">
      <c r="A2613" s="5">
        <v>2552</v>
      </c>
      <c r="B2613" s="1817">
        <f>'Acct Summary 7-8'!G20</f>
        <v>27255</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269115</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286882</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171701</v>
      </c>
      <c r="C2634" s="2" t="s">
        <v>569</v>
      </c>
      <c r="D2634" s="2" t="str">
        <f t="shared" si="40"/>
        <v>Error?</v>
      </c>
    </row>
    <row r="2635" spans="1:4" x14ac:dyDescent="0.2">
      <c r="A2635" s="5">
        <v>2574</v>
      </c>
      <c r="B2635" s="1817">
        <f>'Acct Summary 7-8'!E17</f>
        <v>171701</v>
      </c>
      <c r="C2635" s="2" t="s">
        <v>569</v>
      </c>
      <c r="D2635" s="2" t="str">
        <f t="shared" si="40"/>
        <v>Error?</v>
      </c>
    </row>
    <row r="2636" spans="1:4" x14ac:dyDescent="0.2">
      <c r="A2636" s="5">
        <v>2575</v>
      </c>
      <c r="B2636" s="1817">
        <f>'Acct Summary 7-8'!E20</f>
        <v>115181</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12433</v>
      </c>
      <c r="C2655" s="2" t="s">
        <v>569</v>
      </c>
      <c r="D2655" s="2" t="str">
        <f t="shared" si="40"/>
        <v>Error?</v>
      </c>
    </row>
    <row r="2656" spans="1:4" x14ac:dyDescent="0.2">
      <c r="A2656" s="5">
        <v>2595</v>
      </c>
      <c r="B2656" s="1817">
        <f>'Acct Summary 7-8'!H6</f>
        <v>50000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62433</v>
      </c>
      <c r="C2658" s="2" t="s">
        <v>569</v>
      </c>
      <c r="D2658" s="2" t="str">
        <f t="shared" si="40"/>
        <v>Error?</v>
      </c>
    </row>
    <row r="2659" spans="1:4" x14ac:dyDescent="0.2">
      <c r="A2659" s="5">
        <v>2598</v>
      </c>
      <c r="B2659" s="1817">
        <f>'Acct Summary 7-8'!H13</f>
        <v>1141953</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1141953</v>
      </c>
      <c r="C2661" s="2" t="s">
        <v>569</v>
      </c>
      <c r="D2661" s="2" t="str">
        <f t="shared" si="40"/>
        <v>Error?</v>
      </c>
    </row>
    <row r="2662" spans="1:4" x14ac:dyDescent="0.2">
      <c r="A2662" s="5">
        <v>2601</v>
      </c>
      <c r="B2662" s="1817">
        <f>'Acct Summary 7-8'!H20</f>
        <v>-1079520</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358</v>
      </c>
      <c r="C2789" s="2" t="s">
        <v>569</v>
      </c>
      <c r="D2789" s="2" t="str">
        <f t="shared" si="42"/>
        <v>Error?</v>
      </c>
    </row>
    <row r="2790" spans="1:4" x14ac:dyDescent="0.2">
      <c r="A2790" s="5">
        <v>2729</v>
      </c>
      <c r="B2790" s="1817">
        <f>'Expenditures 15-22'!E102</f>
        <v>358</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1139903</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92147</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67051</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92147</v>
      </c>
      <c r="D2912" s="2" t="str">
        <f t="shared" si="44"/>
        <v>Error?</v>
      </c>
    </row>
    <row r="2913" spans="1:4" x14ac:dyDescent="0.2">
      <c r="A2913" s="5">
        <v>2852</v>
      </c>
      <c r="B2913" s="1817">
        <f>'Assets-Liab 5-6'!I41</f>
        <v>92147</v>
      </c>
      <c r="C2913" s="2" t="s">
        <v>569</v>
      </c>
      <c r="D2913" s="2" t="str">
        <f t="shared" si="44"/>
        <v>Error?</v>
      </c>
    </row>
    <row r="2914" spans="1:4" x14ac:dyDescent="0.2">
      <c r="A2914" s="5">
        <v>2853</v>
      </c>
      <c r="B2914" s="1817">
        <f>'Assets-Liab 5-6'!L33</f>
        <v>67051</v>
      </c>
      <c r="D2914" s="2" t="str">
        <f t="shared" si="44"/>
        <v>Error?</v>
      </c>
    </row>
    <row r="2915" spans="1:4" x14ac:dyDescent="0.2">
      <c r="A2915" s="10">
        <v>2854</v>
      </c>
      <c r="B2915" s="1817"/>
      <c r="D2915" s="2" t="str">
        <f t="shared" si="44"/>
        <v>OK</v>
      </c>
    </row>
    <row r="2916" spans="1:4" x14ac:dyDescent="0.2">
      <c r="A2916" s="5">
        <v>2855</v>
      </c>
      <c r="B2916" s="1817">
        <f>'Assets-Liab 5-6'!L34</f>
        <v>67051</v>
      </c>
      <c r="C2916" s="2" t="s">
        <v>569</v>
      </c>
      <c r="D2916" s="2" t="str">
        <f t="shared" si="44"/>
        <v>Error?</v>
      </c>
    </row>
    <row r="2917" spans="1:4" x14ac:dyDescent="0.2">
      <c r="A2917" s="5">
        <v>2856</v>
      </c>
      <c r="B2917" s="1817">
        <f>'Assets-Liab 5-6'!L41</f>
        <v>67051</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358</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4097</v>
      </c>
      <c r="D2955" s="2" t="str">
        <f t="shared" si="45"/>
        <v>Error?</v>
      </c>
    </row>
    <row r="2956" spans="1:4" x14ac:dyDescent="0.2">
      <c r="A2956" s="5">
        <v>2895</v>
      </c>
      <c r="B2956" s="1817">
        <f>'Expenditures 15-22'!H79</f>
        <v>113801</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36426</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4455</v>
      </c>
      <c r="C2973" s="2" t="s">
        <v>569</v>
      </c>
      <c r="D2973" s="2" t="str">
        <f t="shared" si="45"/>
        <v>Error?</v>
      </c>
    </row>
    <row r="2974" spans="1:4" x14ac:dyDescent="0.2">
      <c r="A2974" s="5">
        <v>2913</v>
      </c>
      <c r="B2974" s="1817">
        <f>'Expenditures 15-22'!K79</f>
        <v>113801</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36426</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73355</v>
      </c>
      <c r="D3055" s="2" t="str">
        <f t="shared" si="46"/>
        <v>Error?</v>
      </c>
    </row>
    <row r="3056" spans="1:4" x14ac:dyDescent="0.2">
      <c r="A3056" s="5">
        <v>2995</v>
      </c>
      <c r="B3056" s="1817">
        <f>'Expenditures 15-22'!D10</f>
        <v>14419</v>
      </c>
      <c r="D3056" s="2" t="str">
        <f t="shared" si="46"/>
        <v>Error?</v>
      </c>
    </row>
    <row r="3057" spans="1:4" x14ac:dyDescent="0.2">
      <c r="A3057" s="5">
        <v>2996</v>
      </c>
      <c r="B3057" s="1817">
        <f>'Expenditures 15-22'!E10</f>
        <v>14691</v>
      </c>
      <c r="D3057" s="2" t="str">
        <f t="shared" si="46"/>
        <v>Error?</v>
      </c>
    </row>
    <row r="3058" spans="1:4" x14ac:dyDescent="0.2">
      <c r="A3058" s="5">
        <v>2997</v>
      </c>
      <c r="B3058" s="1817">
        <f>'Expenditures 15-22'!F10</f>
        <v>26259</v>
      </c>
      <c r="D3058" s="2" t="str">
        <f t="shared" si="46"/>
        <v>Error?</v>
      </c>
    </row>
    <row r="3059" spans="1:4" x14ac:dyDescent="0.2">
      <c r="A3059" s="5">
        <v>2998</v>
      </c>
      <c r="B3059" s="1817">
        <f>'Expenditures 15-22'!G10</f>
        <v>14983</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143707</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3713</v>
      </c>
      <c r="D3064" s="2" t="str">
        <f t="shared" si="46"/>
        <v>Error?</v>
      </c>
    </row>
    <row r="3065" spans="1:4" x14ac:dyDescent="0.2">
      <c r="A3065" s="5">
        <v>3004</v>
      </c>
      <c r="B3065" s="1817">
        <f>'Expenditures 15-22'!K219</f>
        <v>3713</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12655</v>
      </c>
      <c r="C3225" s="2" t="s">
        <v>569</v>
      </c>
      <c r="D3225" s="2" t="str">
        <f t="shared" si="49"/>
        <v>Error?</v>
      </c>
    </row>
    <row r="3226" spans="1:4" x14ac:dyDescent="0.2">
      <c r="A3226" s="5">
        <v>3165</v>
      </c>
      <c r="B3226" s="1817">
        <f>'Acct Summary 7-8'!I8</f>
        <v>12655</v>
      </c>
      <c r="C3226" s="2" t="s">
        <v>569</v>
      </c>
      <c r="D3226" s="2" t="str">
        <f t="shared" si="49"/>
        <v>Error?</v>
      </c>
    </row>
    <row r="3227" spans="1:4" x14ac:dyDescent="0.2">
      <c r="A3227" s="5">
        <v>3166</v>
      </c>
      <c r="B3227" s="1817">
        <f>'Acct Summary 7-8'!I20</f>
        <v>12655</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150000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50000</v>
      </c>
      <c r="C3231" s="2" t="s">
        <v>569</v>
      </c>
      <c r="D3231" s="2" t="str">
        <f t="shared" si="49"/>
        <v>Error?</v>
      </c>
    </row>
    <row r="3232" spans="1:4" x14ac:dyDescent="0.2">
      <c r="A3232" s="5">
        <v>3171</v>
      </c>
      <c r="B3232" s="1817">
        <f>'Acct Summary 7-8'!C77</f>
        <v>100000</v>
      </c>
      <c r="C3232" s="2" t="s">
        <v>569</v>
      </c>
      <c r="D3232" s="2" t="str">
        <f t="shared" si="49"/>
        <v>Error?</v>
      </c>
    </row>
    <row r="3233" spans="1:4" x14ac:dyDescent="0.2">
      <c r="A3233" s="5">
        <v>3172</v>
      </c>
      <c r="B3233" s="1817">
        <f>'Acct Summary 7-8'!C78</f>
        <v>230218</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50000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50000</v>
      </c>
      <c r="C3238" s="2" t="s">
        <v>569</v>
      </c>
      <c r="D3238" s="2" t="str">
        <f t="shared" si="49"/>
        <v>Error?</v>
      </c>
    </row>
    <row r="3239" spans="1:4" x14ac:dyDescent="0.2">
      <c r="A3239" s="5">
        <v>3178</v>
      </c>
      <c r="B3239" s="1817">
        <f>'Acct Summary 7-8'!D78</f>
        <v>-41507</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42574</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27255</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115181</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2500000</v>
      </c>
      <c r="C3296" s="2" t="s">
        <v>569</v>
      </c>
      <c r="D3296" s="2" t="str">
        <f t="shared" si="50"/>
        <v>Error?</v>
      </c>
    </row>
    <row r="3297" spans="1:4" x14ac:dyDescent="0.2">
      <c r="A3297" s="5">
        <v>3236</v>
      </c>
      <c r="B3297" s="1817">
        <f>'Acct Summary 7-8'!H75</f>
        <v>45750</v>
      </c>
      <c r="D3297" s="2" t="str">
        <f t="shared" si="50"/>
        <v>Error?</v>
      </c>
    </row>
    <row r="3298" spans="1:4" x14ac:dyDescent="0.2">
      <c r="A3298" s="5">
        <v>3237</v>
      </c>
      <c r="B3298" s="1817">
        <f>'Acct Summary 7-8'!H76</f>
        <v>45750</v>
      </c>
      <c r="C3298" s="2" t="s">
        <v>569</v>
      </c>
      <c r="D3298" s="2" t="str">
        <f t="shared" si="50"/>
        <v>Error?</v>
      </c>
    </row>
    <row r="3299" spans="1:4" x14ac:dyDescent="0.2">
      <c r="A3299" s="5">
        <v>3238</v>
      </c>
      <c r="B3299" s="1817">
        <f>'Acct Summary 7-8'!H77</f>
        <v>2454250</v>
      </c>
      <c r="C3299" s="2" t="s">
        <v>569</v>
      </c>
      <c r="D3299" s="2" t="str">
        <f t="shared" si="50"/>
        <v>Error?</v>
      </c>
    </row>
    <row r="3300" spans="1:4" x14ac:dyDescent="0.2">
      <c r="A3300" s="5">
        <v>3239</v>
      </c>
      <c r="B3300" s="1817">
        <f>'Acct Summary 7-8'!H78</f>
        <v>1374730</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150000</v>
      </c>
      <c r="C3318" s="2" t="s">
        <v>569</v>
      </c>
      <c r="D3318" s="2" t="str">
        <f t="shared" si="50"/>
        <v>Error?</v>
      </c>
    </row>
    <row r="3319" spans="1:4" x14ac:dyDescent="0.2">
      <c r="A3319" s="5">
        <v>3258</v>
      </c>
      <c r="B3319" s="1817">
        <f>'Acct Summary 7-8'!I77</f>
        <v>-150000</v>
      </c>
      <c r="C3319" s="2" t="s">
        <v>569</v>
      </c>
      <c r="D3319" s="2" t="str">
        <f t="shared" si="50"/>
        <v>Error?</v>
      </c>
    </row>
    <row r="3320" spans="1:4" x14ac:dyDescent="0.2">
      <c r="A3320" s="5">
        <v>3259</v>
      </c>
      <c r="B3320" s="1817">
        <f>'Acct Summary 7-8'!I78</f>
        <v>-137345</v>
      </c>
      <c r="C3320" s="2" t="s">
        <v>569</v>
      </c>
      <c r="D3320" s="2" t="str">
        <f t="shared" si="50"/>
        <v>Error?</v>
      </c>
    </row>
    <row r="3321" spans="1:4" x14ac:dyDescent="0.2">
      <c r="A3321" s="5">
        <v>3260</v>
      </c>
      <c r="B3321" s="1817">
        <f>'Acct Summary 7-8'!I79</f>
        <v>229492</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92147</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187471</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32887</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220358</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12562</v>
      </c>
      <c r="D3387" s="2" t="str">
        <f t="shared" si="51"/>
        <v>Error?</v>
      </c>
    </row>
    <row r="3388" spans="1:4" x14ac:dyDescent="0.2">
      <c r="A3388" s="5">
        <v>3327</v>
      </c>
      <c r="B3388" s="1817">
        <f>'Expenditures 15-22'!D217</f>
        <v>8798</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12562</v>
      </c>
      <c r="C3390" s="2" t="s">
        <v>569</v>
      </c>
      <c r="D3390" s="2" t="str">
        <f t="shared" si="51"/>
        <v>Error?</v>
      </c>
    </row>
    <row r="3391" spans="1:4" x14ac:dyDescent="0.2">
      <c r="A3391" s="5">
        <v>3330</v>
      </c>
      <c r="B3391" s="1817">
        <f>'Expenditures 15-22'!K217</f>
        <v>8798</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622336</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1869012</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134677</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119271</v>
      </c>
      <c r="D3417" s="2" t="str">
        <f t="shared" si="52"/>
        <v>Error?</v>
      </c>
    </row>
    <row r="3418" spans="1:4" x14ac:dyDescent="0.2">
      <c r="A3418" s="10">
        <v>3357</v>
      </c>
      <c r="B3418" s="1817"/>
      <c r="D3418" s="2" t="str">
        <f t="shared" si="52"/>
        <v>OK</v>
      </c>
    </row>
    <row r="3419" spans="1:4" x14ac:dyDescent="0.2">
      <c r="A3419" s="5">
        <v>3358</v>
      </c>
      <c r="B3419" s="1817">
        <f>'Assets-Liab 5-6'!F4</f>
        <v>178181</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173125</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1383622</v>
      </c>
      <c r="D3425" s="2" t="str">
        <f t="shared" si="52"/>
        <v>Error?</v>
      </c>
    </row>
    <row r="3426" spans="1:4" x14ac:dyDescent="0.2">
      <c r="A3426" s="10">
        <v>3365</v>
      </c>
      <c r="B3426" s="1817"/>
      <c r="D3426" s="2" t="str">
        <f t="shared" si="52"/>
        <v>OK</v>
      </c>
    </row>
    <row r="3427" spans="1:4" x14ac:dyDescent="0.2">
      <c r="A3427" s="5">
        <v>3366</v>
      </c>
      <c r="B3427" s="1817">
        <f>'Assets-Liab 5-6'!I4</f>
        <v>92147</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67051</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69522</v>
      </c>
      <c r="C3446" s="2" t="s">
        <v>569</v>
      </c>
      <c r="D3446" s="2" t="str">
        <f t="shared" si="52"/>
        <v>Error?</v>
      </c>
    </row>
    <row r="3447" spans="1:4" x14ac:dyDescent="0.2">
      <c r="A3447" s="5">
        <v>3386</v>
      </c>
      <c r="B3447" s="1817">
        <f>'Tax Sched 23'!D16</f>
        <v>69522</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69999</v>
      </c>
      <c r="C3449" s="2" t="s">
        <v>569</v>
      </c>
      <c r="D3449" s="2" t="str">
        <f t="shared" si="52"/>
        <v>Error?</v>
      </c>
    </row>
    <row r="3450" spans="1:4" x14ac:dyDescent="0.2">
      <c r="A3450" s="5">
        <v>3389</v>
      </c>
      <c r="B3450" s="1817">
        <f>'Tax Sched 23'!E16</f>
        <v>69999</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1139903</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1139903</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1139903</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123426</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123426</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123426</v>
      </c>
      <c r="D3567" s="2" t="str">
        <f t="shared" si="54"/>
        <v>Error?</v>
      </c>
    </row>
    <row r="3568" spans="1:4" x14ac:dyDescent="0.2">
      <c r="A3568" s="5">
        <v>3507</v>
      </c>
      <c r="B3568" s="1817">
        <f>'Assets-Liab 5-6'!K41</f>
        <v>123426</v>
      </c>
      <c r="C3568" s="2" t="s">
        <v>569</v>
      </c>
      <c r="D3568" s="2" t="str">
        <f t="shared" si="54"/>
        <v>Error?</v>
      </c>
    </row>
    <row r="3569" spans="1:4" x14ac:dyDescent="0.2">
      <c r="A3569" s="5">
        <v>3508</v>
      </c>
      <c r="B3569" s="1817">
        <f>'Acct Summary 7-8'!K4</f>
        <v>11539</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11539</v>
      </c>
      <c r="C3571" s="2" t="s">
        <v>569</v>
      </c>
      <c r="D3571" s="2" t="str">
        <f t="shared" si="54"/>
        <v>Error?</v>
      </c>
    </row>
    <row r="3572" spans="1:4" x14ac:dyDescent="0.2">
      <c r="A3572" s="5">
        <v>3511</v>
      </c>
      <c r="B3572" s="1817">
        <f>'Acct Summary 7-8'!K13</f>
        <v>1946</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1946</v>
      </c>
      <c r="C3575" s="2" t="s">
        <v>569</v>
      </c>
      <c r="D3575" s="2" t="str">
        <f t="shared" si="54"/>
        <v>Error?</v>
      </c>
    </row>
    <row r="3576" spans="1:4" x14ac:dyDescent="0.2">
      <c r="A3576" s="5">
        <v>3515</v>
      </c>
      <c r="B3576" s="1817">
        <f>'Acct Summary 7-8'!K20</f>
        <v>9593</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9593</v>
      </c>
      <c r="C3588" s="2" t="s">
        <v>569</v>
      </c>
      <c r="D3588" s="2" t="str">
        <f t="shared" si="55"/>
        <v>Error?</v>
      </c>
    </row>
    <row r="3589" spans="1:4" x14ac:dyDescent="0.2">
      <c r="A3589" s="5">
        <v>3528</v>
      </c>
      <c r="B3589" s="1817">
        <f>'Acct Summary 7-8'!K79</f>
        <v>113833</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123426</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1325</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1325</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1325</v>
      </c>
      <c r="C3635" s="2" t="s">
        <v>569</v>
      </c>
      <c r="D3635" s="2" t="str">
        <f t="shared" si="55"/>
        <v>Error?</v>
      </c>
    </row>
    <row r="3636" spans="1:4" x14ac:dyDescent="0.2">
      <c r="A3636" s="5">
        <v>3575</v>
      </c>
      <c r="B3636" s="1817">
        <f>'Expenditures 15-22'!E367</f>
        <v>1325</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621</v>
      </c>
      <c r="D3646" s="2" t="str">
        <f t="shared" si="55"/>
        <v>Error?</v>
      </c>
    </row>
    <row r="3647" spans="1:4" x14ac:dyDescent="0.2">
      <c r="A3647" s="5">
        <v>3586</v>
      </c>
      <c r="B3647" s="1817">
        <f>'Expenditures 15-22'!G350</f>
        <v>621</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621</v>
      </c>
      <c r="C3649" s="2" t="s">
        <v>569</v>
      </c>
      <c r="D3649" s="2" t="str">
        <f t="shared" si="56"/>
        <v>Error?</v>
      </c>
    </row>
    <row r="3650" spans="1:4" x14ac:dyDescent="0.2">
      <c r="A3650" s="5">
        <v>3589</v>
      </c>
      <c r="B3650" s="1817">
        <f>'Expenditures 15-22'!G367</f>
        <v>621</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1325</v>
      </c>
      <c r="C3668" s="2" t="s">
        <v>569</v>
      </c>
      <c r="D3668" s="2" t="str">
        <f t="shared" si="56"/>
        <v>Error?</v>
      </c>
    </row>
    <row r="3669" spans="1:4" x14ac:dyDescent="0.2">
      <c r="A3669" s="5">
        <v>3608</v>
      </c>
      <c r="B3669" s="1817">
        <f>'Expenditures 15-22'!K349</f>
        <v>621</v>
      </c>
      <c r="C3669" s="2" t="s">
        <v>569</v>
      </c>
      <c r="D3669" s="2" t="str">
        <f t="shared" si="56"/>
        <v>Error?</v>
      </c>
    </row>
    <row r="3670" spans="1:4" x14ac:dyDescent="0.2">
      <c r="A3670" s="5">
        <v>3609</v>
      </c>
      <c r="B3670" s="1817">
        <f>'Expenditures 15-22'!K350</f>
        <v>1946</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1946</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1946</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9593</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11044</v>
      </c>
      <c r="C3725" s="2" t="s">
        <v>569</v>
      </c>
      <c r="D3725" s="2" t="str">
        <f t="shared" si="57"/>
        <v>Error?</v>
      </c>
    </row>
    <row r="3726" spans="1:4" x14ac:dyDescent="0.2">
      <c r="A3726" s="5">
        <v>3665</v>
      </c>
      <c r="B3726" s="1817">
        <f>'Tax Sched 23'!D13</f>
        <v>11044</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11982</v>
      </c>
      <c r="C3728" s="2" t="s">
        <v>569</v>
      </c>
      <c r="D3728" s="2" t="str">
        <f t="shared" si="57"/>
        <v>Error?</v>
      </c>
    </row>
    <row r="3729" spans="1:4" x14ac:dyDescent="0.2">
      <c r="A3729" s="5">
        <v>3668</v>
      </c>
      <c r="B3729" s="1817">
        <f>'Tax Sched 23'!E13</f>
        <v>11982</v>
      </c>
      <c r="D3729" s="2" t="str">
        <f t="shared" si="57"/>
        <v>Error?</v>
      </c>
    </row>
    <row r="3730" spans="1:4" x14ac:dyDescent="0.2">
      <c r="A3730" s="5">
        <v>3669</v>
      </c>
      <c r="B3730" s="1817">
        <f>'ICR Computation 30'!E10</f>
        <v>92434</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0</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1435931</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5394370</v>
      </c>
      <c r="C4122" s="2" t="s">
        <v>569</v>
      </c>
      <c r="D4122" s="2" t="str">
        <f t="shared" si="63"/>
        <v>Error?</v>
      </c>
    </row>
    <row r="4123" spans="1:4" x14ac:dyDescent="0.2">
      <c r="A4123" s="5">
        <v>4062</v>
      </c>
      <c r="B4123" s="1817">
        <f>'Acct Summary 7-8'!D10</f>
        <v>221546</v>
      </c>
      <c r="C4123" s="2" t="s">
        <v>569</v>
      </c>
      <c r="D4123" s="2" t="str">
        <f t="shared" si="63"/>
        <v>Error?</v>
      </c>
    </row>
    <row r="4124" spans="1:4" x14ac:dyDescent="0.2">
      <c r="A4124" s="5">
        <v>4063</v>
      </c>
      <c r="B4124" s="1817">
        <f>'Acct Summary 7-8'!E10</f>
        <v>286882</v>
      </c>
      <c r="C4124" s="2" t="s">
        <v>569</v>
      </c>
      <c r="D4124" s="2" t="str">
        <f t="shared" si="63"/>
        <v>Error?</v>
      </c>
    </row>
    <row r="4125" spans="1:4" x14ac:dyDescent="0.2">
      <c r="A4125" s="5">
        <v>4064</v>
      </c>
      <c r="B4125" s="1817">
        <f>'Acct Summary 7-8'!F10</f>
        <v>302877</v>
      </c>
      <c r="C4125" s="2" t="s">
        <v>569</v>
      </c>
      <c r="D4125" s="2" t="str">
        <f t="shared" si="63"/>
        <v>Error?</v>
      </c>
    </row>
    <row r="4126" spans="1:4" x14ac:dyDescent="0.2">
      <c r="A4126" s="5">
        <v>4065</v>
      </c>
      <c r="B4126" s="1817">
        <f>'Acct Summary 7-8'!G10</f>
        <v>147506</v>
      </c>
      <c r="C4126" s="2" t="s">
        <v>569</v>
      </c>
      <c r="D4126" s="2" t="str">
        <f t="shared" si="63"/>
        <v>Error?</v>
      </c>
    </row>
    <row r="4127" spans="1:4" x14ac:dyDescent="0.2">
      <c r="A4127" s="5">
        <v>4066</v>
      </c>
      <c r="B4127" s="1817">
        <f>'Acct Summary 7-8'!H10</f>
        <v>62433</v>
      </c>
      <c r="C4127" s="2" t="s">
        <v>569</v>
      </c>
      <c r="D4127" s="2" t="str">
        <f t="shared" si="63"/>
        <v>Error?</v>
      </c>
    </row>
    <row r="4128" spans="1:4" x14ac:dyDescent="0.2">
      <c r="A4128" s="5">
        <v>4067</v>
      </c>
      <c r="B4128" s="1817">
        <f>'Acct Summary 7-8'!I10</f>
        <v>12655</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11539</v>
      </c>
      <c r="C4130" s="2" t="s">
        <v>569</v>
      </c>
      <c r="D4130" s="2" t="str">
        <f t="shared" si="63"/>
        <v>Error?</v>
      </c>
    </row>
    <row r="4131" spans="1:4" x14ac:dyDescent="0.2">
      <c r="A4131" s="5">
        <v>4070</v>
      </c>
      <c r="B4131" s="1817">
        <f>'Acct Summary 7-8'!C18</f>
        <v>1435931</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5264152</v>
      </c>
      <c r="C4136" s="2" t="s">
        <v>569</v>
      </c>
      <c r="D4136" s="2" t="str">
        <f t="shared" si="63"/>
        <v>Error?</v>
      </c>
    </row>
    <row r="4137" spans="1:4" x14ac:dyDescent="0.2">
      <c r="A4137" s="5">
        <v>4076</v>
      </c>
      <c r="B4137" s="1817">
        <f>'Acct Summary 7-8'!D19</f>
        <v>313053</v>
      </c>
      <c r="C4137" s="2" t="s">
        <v>569</v>
      </c>
      <c r="D4137" s="2" t="str">
        <f t="shared" si="63"/>
        <v>Error?</v>
      </c>
    </row>
    <row r="4138" spans="1:4" x14ac:dyDescent="0.2">
      <c r="A4138" s="5">
        <v>4077</v>
      </c>
      <c r="B4138" s="1817">
        <f>'Acct Summary 7-8'!E19</f>
        <v>171701</v>
      </c>
      <c r="C4138" s="2" t="s">
        <v>569</v>
      </c>
      <c r="D4138" s="2" t="str">
        <f t="shared" si="63"/>
        <v>Error?</v>
      </c>
    </row>
    <row r="4139" spans="1:4" x14ac:dyDescent="0.2">
      <c r="A4139" s="5">
        <v>4078</v>
      </c>
      <c r="B4139" s="1817">
        <f>'Acct Summary 7-8'!F19</f>
        <v>260303</v>
      </c>
      <c r="C4139" s="2" t="s">
        <v>569</v>
      </c>
      <c r="D4139" s="2" t="str">
        <f t="shared" si="63"/>
        <v>Error?</v>
      </c>
    </row>
    <row r="4140" spans="1:4" x14ac:dyDescent="0.2">
      <c r="A4140" s="5">
        <v>4079</v>
      </c>
      <c r="B4140" s="1817">
        <f>'Acct Summary 7-8'!G19</f>
        <v>120251</v>
      </c>
      <c r="C4140" s="2" t="s">
        <v>569</v>
      </c>
      <c r="D4140" s="2" t="str">
        <f t="shared" si="63"/>
        <v>Error?</v>
      </c>
    </row>
    <row r="4141" spans="1:4" x14ac:dyDescent="0.2">
      <c r="A4141" s="5">
        <v>4080</v>
      </c>
      <c r="B4141" s="1817">
        <f>'Acct Summary 7-8'!H19</f>
        <v>1141953</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1946</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3284257</v>
      </c>
      <c r="C4171" s="2" t="s">
        <v>569</v>
      </c>
      <c r="D4171" s="2" t="str">
        <f t="shared" si="64"/>
        <v>Error?</v>
      </c>
    </row>
    <row r="4172" spans="1:4" x14ac:dyDescent="0.2">
      <c r="A4172" s="5">
        <v>4111</v>
      </c>
      <c r="B4172" s="1817">
        <f>'Short-Term Long-Term Debt 24'!J49</f>
        <v>3164986</v>
      </c>
      <c r="C4172" s="2" t="s">
        <v>569</v>
      </c>
      <c r="D4172" s="2" t="str">
        <f t="shared" si="64"/>
        <v>Error?</v>
      </c>
    </row>
    <row r="4173" spans="1:4" x14ac:dyDescent="0.2">
      <c r="A4173" s="5">
        <v>4112</v>
      </c>
      <c r="B4173" s="1817">
        <f>'Short-Term Long-Term Debt 24'!H49</f>
        <v>142339</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1753.4999999999998</v>
      </c>
      <c r="C4265" s="2" t="s">
        <v>569</v>
      </c>
      <c r="D4265" s="2" t="str">
        <f t="shared" si="65"/>
        <v>Error?</v>
      </c>
      <c r="E4265" s="125"/>
    </row>
    <row r="4266" spans="1:5" x14ac:dyDescent="0.2">
      <c r="A4266" s="12">
        <v>4205</v>
      </c>
      <c r="B4266" s="1817">
        <f>('FP Info 3'!F10)*100000</f>
        <v>545.1</v>
      </c>
      <c r="C4266" s="2" t="s">
        <v>569</v>
      </c>
      <c r="D4266" s="2" t="str">
        <f t="shared" si="65"/>
        <v>Error?</v>
      </c>
      <c r="E4266" s="125"/>
    </row>
    <row r="4267" spans="1:5" x14ac:dyDescent="0.2">
      <c r="A4267" s="12">
        <v>4206</v>
      </c>
      <c r="B4267" s="1817">
        <f>('FP Info 3'!H10)*100000</f>
        <v>190.6</v>
      </c>
      <c r="C4267" s="2" t="s">
        <v>569</v>
      </c>
      <c r="D4267" s="2" t="str">
        <f t="shared" si="65"/>
        <v>Error?</v>
      </c>
      <c r="E4267" s="125"/>
    </row>
    <row r="4268" spans="1:5" x14ac:dyDescent="0.2">
      <c r="A4268" s="12">
        <v>4207</v>
      </c>
      <c r="B4268" s="1817">
        <f>('FP Info 3'!J10)*100000</f>
        <v>2489</v>
      </c>
      <c r="C4268" s="2" t="s">
        <v>569</v>
      </c>
      <c r="D4268" s="2" t="str">
        <f t="shared" si="65"/>
        <v>Error?</v>
      </c>
    </row>
    <row r="4269" spans="1:5" x14ac:dyDescent="0.2">
      <c r="A4269" s="12">
        <v>4208</v>
      </c>
      <c r="B4269" s="1817">
        <f>'FP Info 3'!J16</f>
        <v>2535986</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9618</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19658</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10940</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21646</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17767</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47.7</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17767</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14191</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1050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25145145</v>
      </c>
      <c r="D4995" s="2" t="str">
        <f t="shared" si="77"/>
        <v>Error?</v>
      </c>
    </row>
    <row r="4996" spans="1:4" x14ac:dyDescent="0.2">
      <c r="A4996" s="12">
        <v>4935</v>
      </c>
      <c r="B4996" s="1817">
        <f>'FP Info 3'!H31</f>
        <v>3470030.0100000002</v>
      </c>
      <c r="D4996" s="2" t="str">
        <f t="shared" si="77"/>
        <v>Error?</v>
      </c>
    </row>
    <row r="4997" spans="1:4" x14ac:dyDescent="0.2">
      <c r="A4997" s="12">
        <v>4936</v>
      </c>
      <c r="B4997" s="1817">
        <f>'FP Info 3'!H37</f>
        <v>3284257</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50000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50000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11044</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406405</v>
      </c>
      <c r="D5061" s="2" t="str">
        <f t="shared" si="78"/>
        <v>Error?</v>
      </c>
    </row>
    <row r="5062" spans="1:4" x14ac:dyDescent="0.2">
      <c r="A5062" s="10">
        <v>5001</v>
      </c>
      <c r="B5062" s="1817"/>
      <c r="D5062" s="2" t="str">
        <f t="shared" si="78"/>
        <v>OK</v>
      </c>
    </row>
    <row r="5063" spans="1:4" x14ac:dyDescent="0.2">
      <c r="A5063" s="5">
        <v>5002</v>
      </c>
      <c r="B5063" s="1817">
        <f>'Revenues 9-14'!C7</f>
        <v>8836</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426285</v>
      </c>
      <c r="C5066" s="2" t="s">
        <v>569</v>
      </c>
      <c r="D5066" s="2" t="str">
        <f t="shared" si="78"/>
        <v>Error?</v>
      </c>
    </row>
    <row r="5067" spans="1:4" x14ac:dyDescent="0.2">
      <c r="A5067" s="5">
        <v>5006</v>
      </c>
      <c r="B5067" s="1817">
        <f>'Revenues 9-14'!C14</f>
        <v>1594</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95681</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97275</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31666</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31666</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0</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3948</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6368</v>
      </c>
      <c r="C5096" s="2" t="s">
        <v>569</v>
      </c>
      <c r="D5096" s="2" t="str">
        <f t="shared" si="78"/>
        <v>Error?</v>
      </c>
    </row>
    <row r="5097" spans="1:4" x14ac:dyDescent="0.2">
      <c r="A5097" s="5">
        <v>5036</v>
      </c>
      <c r="B5097" s="1817">
        <f>'Revenues 9-14'!C77</f>
        <v>6143</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6143</v>
      </c>
      <c r="C5102" s="2" t="s">
        <v>569</v>
      </c>
      <c r="D5102" s="2" t="str">
        <f t="shared" si="78"/>
        <v>Error?</v>
      </c>
    </row>
    <row r="5103" spans="1:4" x14ac:dyDescent="0.2">
      <c r="A5103" s="5">
        <v>5042</v>
      </c>
      <c r="B5103" s="1817">
        <f>'Revenues 9-14'!C84</f>
        <v>19663</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19663</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20000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335</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2734</v>
      </c>
      <c r="D5119" s="2" t="str">
        <f t="shared" ref="D5119:D5182" si="79">IF(ISBLANK(B5119),"OK",IF(A5119-B5119=0,"OK","Error?"))</f>
        <v>Error?</v>
      </c>
    </row>
    <row r="5120" spans="1:4" x14ac:dyDescent="0.2">
      <c r="A5120" s="5">
        <v>5059</v>
      </c>
      <c r="B5120" s="1817">
        <f>'Revenues 9-14'!C108</f>
        <v>24244</v>
      </c>
      <c r="C5120" s="2" t="s">
        <v>569</v>
      </c>
      <c r="D5120" s="2" t="str">
        <f t="shared" si="79"/>
        <v>Error?</v>
      </c>
    </row>
    <row r="5121" spans="1:4" x14ac:dyDescent="0.2">
      <c r="A5121" s="5">
        <v>5060</v>
      </c>
      <c r="B5121" s="1817">
        <f>'Revenues 9-14'!C109</f>
        <v>611644</v>
      </c>
      <c r="C5121" s="2" t="s">
        <v>569</v>
      </c>
      <c r="D5121" s="2" t="str">
        <f t="shared" si="79"/>
        <v>Error?</v>
      </c>
    </row>
    <row r="5122" spans="1:4" x14ac:dyDescent="0.2">
      <c r="A5122" s="5">
        <v>5061</v>
      </c>
      <c r="B5122" s="1817">
        <f>'Revenues 9-14'!C111</f>
        <v>622336</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622336</v>
      </c>
      <c r="C5125" s="2" t="s">
        <v>569</v>
      </c>
      <c r="D5125" s="2" t="str">
        <f t="shared" si="79"/>
        <v>Error?</v>
      </c>
    </row>
    <row r="5126" spans="1:4" x14ac:dyDescent="0.2">
      <c r="A5126" s="5">
        <v>5065</v>
      </c>
      <c r="B5126" s="1817">
        <f>'Revenues 9-14'!C117</f>
        <v>1989630</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1989630</v>
      </c>
      <c r="C5132" s="2" t="s">
        <v>569</v>
      </c>
      <c r="D5132" s="2" t="str">
        <f t="shared" si="79"/>
        <v>Error?</v>
      </c>
    </row>
    <row r="5133" spans="1:4" x14ac:dyDescent="0.2">
      <c r="A5133" s="5">
        <v>5072</v>
      </c>
      <c r="B5133" s="1817">
        <f>'Revenues 9-14'!C125</f>
        <v>15997</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0</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15997</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0</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2342</v>
      </c>
      <c r="D5167" s="2" t="str">
        <f t="shared" si="79"/>
        <v>Error?</v>
      </c>
    </row>
    <row r="5168" spans="1:4" x14ac:dyDescent="0.2">
      <c r="A5168" s="5">
        <v>5107</v>
      </c>
      <c r="B5168" s="1817">
        <f>'Revenues 9-14'!C148</f>
        <v>2342</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187924</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209355</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2198985</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14191</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96032</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39427</v>
      </c>
      <c r="D5241" s="2" t="str">
        <f t="shared" si="80"/>
        <v>Error?</v>
      </c>
    </row>
    <row r="5242" spans="1:4" x14ac:dyDescent="0.2">
      <c r="A5242" s="5">
        <v>5181</v>
      </c>
      <c r="B5242" s="1817">
        <f>'Revenues 9-14'!C194</f>
        <v>32899</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168358</v>
      </c>
      <c r="C5246" s="2" t="s">
        <v>569</v>
      </c>
      <c r="D5246" s="2" t="str">
        <f t="shared" si="80"/>
        <v>Error?</v>
      </c>
    </row>
    <row r="5247" spans="1:4" x14ac:dyDescent="0.2">
      <c r="A5247" s="5">
        <v>5186</v>
      </c>
      <c r="B5247" s="1817">
        <f>'Revenues 9-14'!C200</f>
        <v>164727</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10940</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164727</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5152</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110134</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115286</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511283</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525474</v>
      </c>
      <c r="C5326" s="2" t="s">
        <v>569</v>
      </c>
      <c r="D5326" s="2" t="str">
        <f t="shared" si="82"/>
        <v>Error?</v>
      </c>
    </row>
    <row r="5327" spans="1:5" x14ac:dyDescent="0.2">
      <c r="A5327" s="5">
        <v>5266</v>
      </c>
      <c r="B5327" s="1817">
        <f>'Revenues 9-14'!C268</f>
        <v>3958439</v>
      </c>
      <c r="C5327" s="2" t="s">
        <v>569</v>
      </c>
      <c r="D5327" s="2" t="str">
        <f t="shared" si="82"/>
        <v>Error?</v>
      </c>
    </row>
    <row r="5328" spans="1:5" x14ac:dyDescent="0.2">
      <c r="A5328" s="5">
        <v>5267</v>
      </c>
      <c r="B5328" s="1817">
        <f>'Revenues 9-14'!D5</f>
        <v>126334</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126334</v>
      </c>
      <c r="C5334" s="2" t="s">
        <v>569</v>
      </c>
      <c r="D5334" s="2" t="str">
        <f t="shared" si="82"/>
        <v>Error?</v>
      </c>
    </row>
    <row r="5335" spans="1:4" x14ac:dyDescent="0.2">
      <c r="A5335" s="5">
        <v>5274</v>
      </c>
      <c r="B5335" s="1817">
        <f>'Revenues 9-14'!D14</f>
        <v>472</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472</v>
      </c>
      <c r="C5339" s="2" t="s">
        <v>569</v>
      </c>
      <c r="D5339" s="2" t="str">
        <f t="shared" si="82"/>
        <v>Error?</v>
      </c>
    </row>
    <row r="5340" spans="1:4" x14ac:dyDescent="0.2">
      <c r="A5340" s="5">
        <v>5279</v>
      </c>
      <c r="B5340" s="1817">
        <f>'Revenues 9-14'!D65</f>
        <v>381</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381</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100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7678</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6581</v>
      </c>
      <c r="D5354" s="2" t="str">
        <f t="shared" si="82"/>
        <v>Error?</v>
      </c>
    </row>
    <row r="5355" spans="1:4" x14ac:dyDescent="0.2">
      <c r="A5355" s="5">
        <v>5294</v>
      </c>
      <c r="B5355" s="1817">
        <f>'Revenues 9-14'!D108</f>
        <v>14359</v>
      </c>
      <c r="C5355" s="2" t="s">
        <v>569</v>
      </c>
      <c r="D5355" s="2" t="str">
        <f t="shared" si="82"/>
        <v>Error?</v>
      </c>
    </row>
    <row r="5356" spans="1:4" x14ac:dyDescent="0.2">
      <c r="A5356" s="5">
        <v>5295</v>
      </c>
      <c r="B5356" s="1817">
        <f>'Revenues 9-14'!D109</f>
        <v>141546</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80000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80000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80000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221546</v>
      </c>
      <c r="C5508" s="2" t="s">
        <v>569</v>
      </c>
      <c r="D5508" s="2" t="str">
        <f t="shared" si="85"/>
        <v>Error?</v>
      </c>
    </row>
    <row r="5509" spans="1:4" x14ac:dyDescent="0.2">
      <c r="A5509" s="5">
        <v>5448</v>
      </c>
      <c r="B5509" s="1817">
        <f>'Revenues 9-14'!E5</f>
        <v>151871</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151871</v>
      </c>
      <c r="C5513" s="2" t="s">
        <v>569</v>
      </c>
      <c r="D5513" s="2" t="str">
        <f t="shared" si="85"/>
        <v>Error?</v>
      </c>
    </row>
    <row r="5514" spans="1:4" x14ac:dyDescent="0.2">
      <c r="A5514" s="5">
        <v>5453</v>
      </c>
      <c r="B5514" s="1817">
        <f>'Revenues 9-14'!E14</f>
        <v>572</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572</v>
      </c>
      <c r="C5518" s="2" t="s">
        <v>569</v>
      </c>
      <c r="D5518" s="2" t="str">
        <f t="shared" si="85"/>
        <v>Error?</v>
      </c>
    </row>
    <row r="5519" spans="1:4" x14ac:dyDescent="0.2">
      <c r="A5519" s="5">
        <v>5458</v>
      </c>
      <c r="B5519" s="1817">
        <f>'Revenues 9-14'!E65</f>
        <v>140</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140</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116532</v>
      </c>
      <c r="C5526" s="2" t="s">
        <v>569</v>
      </c>
      <c r="D5526" s="2" t="str">
        <f t="shared" si="85"/>
        <v>Error?</v>
      </c>
    </row>
    <row r="5527" spans="1:4" x14ac:dyDescent="0.2">
      <c r="A5527" s="5">
        <v>5466</v>
      </c>
      <c r="B5527" s="1817">
        <f>'Revenues 9-14'!E109</f>
        <v>269115</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286882</v>
      </c>
      <c r="C5552" s="2" t="s">
        <v>569</v>
      </c>
      <c r="D5552" s="2" t="str">
        <f t="shared" si="85"/>
        <v>Error?</v>
      </c>
    </row>
    <row r="5553" spans="1:4" x14ac:dyDescent="0.2">
      <c r="A5553" s="5">
        <v>5492</v>
      </c>
      <c r="B5553" s="1817">
        <f>'Revenues 9-14'!F5</f>
        <v>44173</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44173</v>
      </c>
      <c r="C5557" s="2" t="s">
        <v>569</v>
      </c>
      <c r="D5557" s="2" t="str">
        <f t="shared" si="85"/>
        <v>Error?</v>
      </c>
    </row>
    <row r="5558" spans="1:4" x14ac:dyDescent="0.2">
      <c r="A5558" s="5">
        <v>5497</v>
      </c>
      <c r="B5558" s="1817">
        <f>'Revenues 9-14'!F14</f>
        <v>165</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165</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420</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420</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15</v>
      </c>
      <c r="D5586" s="2" t="str">
        <f t="shared" si="86"/>
        <v>Error?</v>
      </c>
    </row>
    <row r="5587" spans="1:4" x14ac:dyDescent="0.2">
      <c r="A5587" s="5">
        <v>5526</v>
      </c>
      <c r="B5587" s="1817">
        <f>'Revenues 9-14'!F108</f>
        <v>15</v>
      </c>
      <c r="C5587" s="2" t="s">
        <v>569</v>
      </c>
      <c r="D5587" s="2" t="str">
        <f t="shared" si="86"/>
        <v>Error?</v>
      </c>
    </row>
    <row r="5588" spans="1:4" x14ac:dyDescent="0.2">
      <c r="A5588" s="5">
        <v>5527</v>
      </c>
      <c r="B5588" s="1817">
        <f>'Revenues 9-14'!F109</f>
        <v>44773</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87000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87000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104236</v>
      </c>
      <c r="D5615" s="2" t="str">
        <f t="shared" si="86"/>
        <v>Error?</v>
      </c>
    </row>
    <row r="5616" spans="1:4" x14ac:dyDescent="0.2">
      <c r="A5616" s="10">
        <v>5555</v>
      </c>
      <c r="B5616" s="1817"/>
      <c r="D5616" s="2" t="str">
        <f t="shared" si="86"/>
        <v>OK</v>
      </c>
    </row>
    <row r="5617" spans="1:5" x14ac:dyDescent="0.2">
      <c r="A5617" s="5">
        <v>5556</v>
      </c>
      <c r="B5617" s="1817">
        <f>'Revenues 9-14'!F153</f>
        <v>66868</v>
      </c>
      <c r="D5617" s="2" t="str">
        <f t="shared" si="86"/>
        <v>Error?</v>
      </c>
    </row>
    <row r="5618" spans="1:5" x14ac:dyDescent="0.2">
      <c r="A5618" s="5">
        <v>5557</v>
      </c>
      <c r="B5618" s="1817">
        <f>'Revenues 9-14'!F155</f>
        <v>171104</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171104</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258104</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302877</v>
      </c>
      <c r="C5720" s="2" t="s">
        <v>569</v>
      </c>
      <c r="D5720" s="2" t="str">
        <f t="shared" si="88"/>
        <v>Error?</v>
      </c>
    </row>
    <row r="5721" spans="1:4" x14ac:dyDescent="0.2">
      <c r="A5721" s="5">
        <v>5660</v>
      </c>
      <c r="B5721" s="1817">
        <f>'Revenues 9-14'!G5</f>
        <v>64565</v>
      </c>
      <c r="D5721" s="2" t="str">
        <f t="shared" si="88"/>
        <v>Error?</v>
      </c>
    </row>
    <row r="5722" spans="1:4" x14ac:dyDescent="0.2">
      <c r="A5722" s="5">
        <v>5661</v>
      </c>
      <c r="B5722" s="1817">
        <f>'Revenues 9-14'!G7</f>
        <v>0</v>
      </c>
      <c r="D5722" s="2" t="str">
        <f t="shared" si="88"/>
        <v>Error?</v>
      </c>
    </row>
    <row r="5723" spans="1:4" x14ac:dyDescent="0.2">
      <c r="A5723" s="5">
        <v>5662</v>
      </c>
      <c r="B5723" s="1817">
        <f>'Revenues 9-14'!G8</f>
        <v>69522</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134087</v>
      </c>
      <c r="C5725" s="2" t="s">
        <v>569</v>
      </c>
      <c r="D5725" s="2" t="str">
        <f t="shared" si="88"/>
        <v>Error?</v>
      </c>
    </row>
    <row r="5726" spans="1:4" x14ac:dyDescent="0.2">
      <c r="A5726" s="5">
        <v>5665</v>
      </c>
      <c r="B5726" s="1817">
        <f>'Revenues 9-14'!G14</f>
        <v>504</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461</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965</v>
      </c>
      <c r="C5730" s="2" t="s">
        <v>569</v>
      </c>
      <c r="D5730" s="2" t="str">
        <f t="shared" si="88"/>
        <v>Error?</v>
      </c>
    </row>
    <row r="5731" spans="1:4" x14ac:dyDescent="0.2">
      <c r="A5731" s="5">
        <v>5670</v>
      </c>
      <c r="B5731" s="1817">
        <f>'Revenues 9-14'!G65</f>
        <v>454</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454</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12000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12000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12000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147506</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2430</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2430</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10003</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62433</v>
      </c>
      <c r="C5915" s="2" t="s">
        <v>569</v>
      </c>
      <c r="D5915" s="2" t="str">
        <f t="shared" si="91"/>
        <v>Error?</v>
      </c>
    </row>
    <row r="5916" spans="1:4" x14ac:dyDescent="0.2">
      <c r="A5916" s="5">
        <v>5855</v>
      </c>
      <c r="B5916" s="1817">
        <f>'Revenues 9-14'!I5</f>
        <v>11044</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11044</v>
      </c>
      <c r="C5918" s="2" t="s">
        <v>569</v>
      </c>
      <c r="D5918" s="2" t="str">
        <f t="shared" si="91"/>
        <v>Error?</v>
      </c>
    </row>
    <row r="5919" spans="1:4" x14ac:dyDescent="0.2">
      <c r="A5919" s="5">
        <v>5858</v>
      </c>
      <c r="B5919" s="1817">
        <f>'Revenues 9-14'!I14</f>
        <v>41</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41</v>
      </c>
      <c r="C5923" s="2" t="s">
        <v>569</v>
      </c>
      <c r="D5923" s="2" t="str">
        <f t="shared" si="91"/>
        <v>Error?</v>
      </c>
    </row>
    <row r="5924" spans="1:4" x14ac:dyDescent="0.2">
      <c r="A5924" s="5">
        <v>5863</v>
      </c>
      <c r="B5924" s="1817">
        <f>'Revenues 9-14'!I65</f>
        <v>1570</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1570</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12655</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11044</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11044</v>
      </c>
      <c r="C5987" s="2" t="s">
        <v>569</v>
      </c>
      <c r="D5987" s="2" t="str">
        <f t="shared" si="92"/>
        <v>Error?</v>
      </c>
    </row>
    <row r="5988" spans="1:4" x14ac:dyDescent="0.2">
      <c r="A5988" s="5">
        <v>5927</v>
      </c>
      <c r="B5988" s="1817">
        <f>'Revenues 9-14'!K14</f>
        <v>41</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41</v>
      </c>
      <c r="C5992" s="2" t="s">
        <v>569</v>
      </c>
      <c r="D5992" s="2" t="str">
        <f t="shared" si="92"/>
        <v>Error?</v>
      </c>
    </row>
    <row r="5993" spans="1:4" x14ac:dyDescent="0.2">
      <c r="A5993" s="5">
        <v>5932</v>
      </c>
      <c r="B5993" s="1817">
        <f>'Revenues 9-14'!K65</f>
        <v>454</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454</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11539</v>
      </c>
      <c r="C6023" s="2" t="s">
        <v>569</v>
      </c>
      <c r="D6023" s="2" t="str">
        <f t="shared" si="93"/>
        <v>Error?</v>
      </c>
    </row>
    <row r="6024" spans="1:5" x14ac:dyDescent="0.2">
      <c r="A6024" s="5">
        <v>5963</v>
      </c>
      <c r="B6024" s="1817">
        <f>'Revenues 9-14'!G109</f>
        <v>135506</v>
      </c>
      <c r="C6024" s="2" t="s">
        <v>569</v>
      </c>
      <c r="D6024" s="2" t="str">
        <f t="shared" si="93"/>
        <v>Error?</v>
      </c>
    </row>
    <row r="6025" spans="1:5" x14ac:dyDescent="0.2">
      <c r="A6025" s="5">
        <v>5964</v>
      </c>
      <c r="B6025" s="1817">
        <f>'Revenues 9-14'!H109</f>
        <v>12433</v>
      </c>
      <c r="C6025" s="2" t="s">
        <v>569</v>
      </c>
      <c r="D6025" s="2" t="str">
        <f t="shared" si="93"/>
        <v>Error?</v>
      </c>
    </row>
    <row r="6026" spans="1:5" x14ac:dyDescent="0.2">
      <c r="A6026" s="5">
        <v>5965</v>
      </c>
      <c r="B6026" s="1817">
        <f>'Revenues 9-14'!I109</f>
        <v>12655</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11539</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2420</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18900</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374.6</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114100</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114100</v>
      </c>
      <c r="D6215" s="2" t="str">
        <f t="shared" si="96"/>
        <v>Error?</v>
      </c>
      <c r="E6215" s="2" t="s">
        <v>189</v>
      </c>
    </row>
    <row r="6216" spans="1:5" x14ac:dyDescent="0.2">
      <c r="A6216">
        <v>6155</v>
      </c>
      <c r="B6216" s="1817">
        <f>'Assets-Liab 5-6'!J41</f>
        <v>114100</v>
      </c>
      <c r="D6216" s="2" t="str">
        <f t="shared" si="96"/>
        <v>Error?</v>
      </c>
      <c r="E6216" s="2" t="s">
        <v>189</v>
      </c>
    </row>
    <row r="6217" spans="1:5" x14ac:dyDescent="0.2">
      <c r="A6217">
        <v>6156</v>
      </c>
      <c r="B6217" s="1817">
        <f>'Assets-Liab 5-6'!J4</f>
        <v>114100</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115123</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115123</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115123</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91143</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91143</v>
      </c>
      <c r="D6229" s="2" t="str">
        <f t="shared" si="96"/>
        <v>Error?</v>
      </c>
      <c r="E6229" s="2" t="s">
        <v>189</v>
      </c>
    </row>
    <row r="6230" spans="1:5" x14ac:dyDescent="0.2">
      <c r="A6230">
        <v>6169</v>
      </c>
      <c r="B6230" s="1817">
        <f>'Acct Summary 7-8'!J20</f>
        <v>23980</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23980</v>
      </c>
      <c r="D6263" s="2" t="str">
        <f t="shared" si="96"/>
        <v>Error?</v>
      </c>
      <c r="E6263" s="2" t="s">
        <v>189</v>
      </c>
    </row>
    <row r="6264" spans="1:5" x14ac:dyDescent="0.2">
      <c r="A6264">
        <v>6203</v>
      </c>
      <c r="B6264" s="1817">
        <f>'Acct Summary 7-8'!J79</f>
        <v>90120</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114100</v>
      </c>
      <c r="D6266" s="2" t="str">
        <f t="shared" si="96"/>
        <v>Error?</v>
      </c>
      <c r="E6266" s="2" t="s">
        <v>189</v>
      </c>
    </row>
    <row r="6267" spans="1:5" x14ac:dyDescent="0.2">
      <c r="A6267">
        <v>6206</v>
      </c>
      <c r="B6267" s="1817">
        <f>'Acct Summary 7-8'!C82</f>
        <v>230218</v>
      </c>
      <c r="D6267" s="2" t="str">
        <f t="shared" si="96"/>
        <v>Error?</v>
      </c>
      <c r="E6267" s="2" t="s">
        <v>189</v>
      </c>
    </row>
    <row r="6268" spans="1:5" x14ac:dyDescent="0.2">
      <c r="A6268">
        <v>6207</v>
      </c>
      <c r="B6268" s="1817">
        <f>'Acct Summary 7-8'!D82</f>
        <v>-41507</v>
      </c>
      <c r="D6268" s="2" t="str">
        <f t="shared" si="96"/>
        <v>Error?</v>
      </c>
      <c r="E6268" s="2" t="s">
        <v>189</v>
      </c>
    </row>
    <row r="6269" spans="1:5" x14ac:dyDescent="0.2">
      <c r="A6269">
        <v>6208</v>
      </c>
      <c r="B6269" s="1817">
        <f>'Acct Summary 7-8'!E82</f>
        <v>115181</v>
      </c>
      <c r="D6269" s="2" t="str">
        <f t="shared" si="96"/>
        <v>Error?</v>
      </c>
      <c r="E6269" s="2" t="s">
        <v>189</v>
      </c>
    </row>
    <row r="6270" spans="1:5" x14ac:dyDescent="0.2">
      <c r="A6270">
        <v>6209</v>
      </c>
      <c r="B6270" s="1817">
        <f>'Acct Summary 7-8'!F82</f>
        <v>42574</v>
      </c>
      <c r="D6270" s="2" t="str">
        <f t="shared" si="96"/>
        <v>Error?</v>
      </c>
      <c r="E6270" s="2" t="s">
        <v>189</v>
      </c>
    </row>
    <row r="6271" spans="1:5" x14ac:dyDescent="0.2">
      <c r="A6271">
        <v>6210</v>
      </c>
      <c r="B6271" s="1817">
        <f>'Acct Summary 7-8'!G82</f>
        <v>27255</v>
      </c>
      <c r="D6271" s="2" t="str">
        <f t="shared" ref="D6271:D6334" si="97">IF(ISBLANK(B6271),"OK",IF(A6271-B6271=0,"OK","Error?"))</f>
        <v>Error?</v>
      </c>
      <c r="E6271" s="2" t="s">
        <v>189</v>
      </c>
    </row>
    <row r="6272" spans="1:5" x14ac:dyDescent="0.2">
      <c r="A6272">
        <v>6211</v>
      </c>
      <c r="B6272" s="1817">
        <f>'Acct Summary 7-8'!H82</f>
        <v>1374730</v>
      </c>
      <c r="D6272" s="2" t="str">
        <f t="shared" si="97"/>
        <v>Error?</v>
      </c>
      <c r="E6272" s="2" t="s">
        <v>189</v>
      </c>
    </row>
    <row r="6273" spans="1:5" x14ac:dyDescent="0.2">
      <c r="A6273">
        <v>6212</v>
      </c>
      <c r="B6273" s="1817">
        <f>'Acct Summary 7-8'!I82</f>
        <v>-137345</v>
      </c>
      <c r="D6273" s="2" t="str">
        <f t="shared" si="97"/>
        <v>Error?</v>
      </c>
      <c r="E6273" s="2" t="s">
        <v>189</v>
      </c>
    </row>
    <row r="6274" spans="1:5" x14ac:dyDescent="0.2">
      <c r="A6274">
        <v>6213</v>
      </c>
      <c r="B6274" s="1817">
        <f>'Acct Summary 7-8'!J82</f>
        <v>23980</v>
      </c>
      <c r="D6274" s="2" t="str">
        <f t="shared" si="97"/>
        <v>Error?</v>
      </c>
      <c r="E6274" s="2" t="s">
        <v>189</v>
      </c>
    </row>
    <row r="6275" spans="1:5" x14ac:dyDescent="0.2">
      <c r="A6275">
        <v>6214</v>
      </c>
      <c r="B6275" s="1817">
        <f>'Acct Summary 7-8'!K82</f>
        <v>9593</v>
      </c>
      <c r="D6275" s="2" t="str">
        <f t="shared" si="97"/>
        <v>Error?</v>
      </c>
      <c r="E6275" s="2" t="s">
        <v>189</v>
      </c>
    </row>
    <row r="6276" spans="1:5" x14ac:dyDescent="0.2">
      <c r="A6276">
        <v>6215</v>
      </c>
      <c r="B6276" s="1817">
        <f>'Acct Summary 7-8'!C83</f>
        <v>0.10803436932476759</v>
      </c>
      <c r="D6276" s="2" t="str">
        <f t="shared" si="97"/>
        <v>Error?</v>
      </c>
      <c r="E6276" s="2" t="s">
        <v>189</v>
      </c>
    </row>
    <row r="6277" spans="1:5" x14ac:dyDescent="0.2">
      <c r="A6277">
        <v>6216</v>
      </c>
      <c r="B6277" s="1817">
        <f>'Acct Summary 7-8'!D83</f>
        <v>-0.30817147778569731</v>
      </c>
      <c r="D6277" s="2" t="str">
        <f t="shared" si="97"/>
        <v>Error?</v>
      </c>
      <c r="E6277" s="2" t="s">
        <v>189</v>
      </c>
    </row>
    <row r="6278" spans="1:5" x14ac:dyDescent="0.2">
      <c r="A6278">
        <v>6217</v>
      </c>
      <c r="B6278" s="1817">
        <f>'Acct Summary 7-8'!E83</f>
        <v>0.96570834486170154</v>
      </c>
      <c r="D6278" s="2" t="str">
        <f t="shared" si="97"/>
        <v>Error?</v>
      </c>
      <c r="E6278" s="2" t="s">
        <v>189</v>
      </c>
    </row>
    <row r="6279" spans="1:5" x14ac:dyDescent="0.2">
      <c r="A6279">
        <v>6218</v>
      </c>
      <c r="B6279" s="1817">
        <f>'Acct Summary 7-8'!F83</f>
        <v>0.23893681144454235</v>
      </c>
      <c r="D6279" s="2" t="str">
        <f t="shared" si="97"/>
        <v>Error?</v>
      </c>
      <c r="E6279" s="2" t="s">
        <v>189</v>
      </c>
    </row>
    <row r="6280" spans="1:5" x14ac:dyDescent="0.2">
      <c r="A6280">
        <v>6219</v>
      </c>
      <c r="B6280" s="1817">
        <f>'Acct Summary 7-8'!G83</f>
        <v>0.15742960288808663</v>
      </c>
      <c r="D6280" s="2" t="str">
        <f t="shared" si="97"/>
        <v>Error?</v>
      </c>
      <c r="E6280" s="2" t="s">
        <v>189</v>
      </c>
    </row>
    <row r="6281" spans="1:5" x14ac:dyDescent="0.2">
      <c r="A6281">
        <v>6220</v>
      </c>
      <c r="B6281" s="1817">
        <f>'Acct Summary 7-8'!H83</f>
        <v>0.99357338926383076</v>
      </c>
      <c r="D6281" s="2" t="str">
        <f t="shared" si="97"/>
        <v>Error?</v>
      </c>
      <c r="E6281" s="2" t="s">
        <v>189</v>
      </c>
    </row>
    <row r="6282" spans="1:5" x14ac:dyDescent="0.2">
      <c r="A6282">
        <v>6221</v>
      </c>
      <c r="B6282" s="1817">
        <f>'Acct Summary 7-8'!I83</f>
        <v>-1.4904988767946867</v>
      </c>
      <c r="D6282" s="2" t="str">
        <f t="shared" si="97"/>
        <v>Error?</v>
      </c>
      <c r="E6282" s="2" t="s">
        <v>189</v>
      </c>
    </row>
    <row r="6283" spans="1:5" x14ac:dyDescent="0.2">
      <c r="A6283">
        <v>6222</v>
      </c>
      <c r="B6283" s="1817">
        <f>'Acct Summary 7-8'!J83</f>
        <v>0.21016652059596844</v>
      </c>
      <c r="D6283" s="2" t="str">
        <f t="shared" si="97"/>
        <v>Error?</v>
      </c>
      <c r="E6283" s="2" t="s">
        <v>189</v>
      </c>
    </row>
    <row r="6284" spans="1:5" x14ac:dyDescent="0.2">
      <c r="A6284">
        <v>6223</v>
      </c>
      <c r="B6284" s="1817">
        <f>'Acct Summary 7-8'!K83</f>
        <v>7.7722684037398931E-2</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114220</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114220</v>
      </c>
      <c r="D6301" s="2" t="str">
        <f t="shared" si="97"/>
        <v>Error?</v>
      </c>
      <c r="E6301" s="2" t="s">
        <v>189</v>
      </c>
    </row>
    <row r="6302" spans="1:5" x14ac:dyDescent="0.2">
      <c r="A6302">
        <v>6241</v>
      </c>
      <c r="B6302" s="1817">
        <f>'Revenues 9-14'!J14</f>
        <v>428</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428</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308</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308</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167</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1175</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167</v>
      </c>
      <c r="D6351" s="2" t="str">
        <f t="shared" si="98"/>
        <v>Error?</v>
      </c>
      <c r="E6351" s="2" t="s">
        <v>189</v>
      </c>
    </row>
    <row r="6352" spans="1:5" x14ac:dyDescent="0.2">
      <c r="A6352">
        <v>6291</v>
      </c>
      <c r="B6352" s="1817">
        <f>'Revenues 9-14'!J109</f>
        <v>115123</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17767</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57268</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17767</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122079</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14633</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64126</v>
      </c>
      <c r="D6880" s="2" t="str">
        <f t="shared" si="106"/>
        <v>Error?</v>
      </c>
    </row>
    <row r="6881" spans="1:4" x14ac:dyDescent="0.2">
      <c r="A6881">
        <v>6820</v>
      </c>
      <c r="B6881" s="1817">
        <f>'Expenditures 15-22'!K22</f>
        <v>64126</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177897</v>
      </c>
      <c r="D6983" s="2" t="str">
        <f t="shared" si="108"/>
        <v>Error?</v>
      </c>
    </row>
    <row r="6984" spans="1:4" x14ac:dyDescent="0.2">
      <c r="A6984">
        <v>6923</v>
      </c>
      <c r="B6984" s="1817">
        <f>'Expenditures 15-22'!K86</f>
        <v>177897</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177897</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499769</v>
      </c>
      <c r="D7009" s="2" t="str">
        <f t="shared" si="108"/>
        <v>Error?</v>
      </c>
    </row>
    <row r="7010" spans="1:4" x14ac:dyDescent="0.2">
      <c r="A7010">
        <v>6949</v>
      </c>
      <c r="B7010" s="1817">
        <f>'Expenditures 15-22'!K99</f>
        <v>499769</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499769</v>
      </c>
      <c r="D7012" s="2" t="str">
        <f t="shared" si="108"/>
        <v>Error?</v>
      </c>
    </row>
    <row r="7013" spans="1:4" x14ac:dyDescent="0.2">
      <c r="A7013">
        <v>6952</v>
      </c>
      <c r="B7013" s="1817">
        <f>'Expenditures 15-22'!K100</f>
        <v>499769</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91143</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115123</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3828</v>
      </c>
      <c r="D7073" s="2" t="str">
        <f t="shared" si="109"/>
        <v>Error?</v>
      </c>
    </row>
    <row r="7074" spans="1:4" x14ac:dyDescent="0.2">
      <c r="A7074">
        <v>7013</v>
      </c>
      <c r="B7074" s="1817">
        <f>'Expenditures 15-22'!K216</f>
        <v>3828</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112</v>
      </c>
      <c r="D7079" s="2" t="str">
        <f t="shared" si="109"/>
        <v>Error?</v>
      </c>
    </row>
    <row r="7080" spans="1:4" x14ac:dyDescent="0.2">
      <c r="A7080">
        <v>7019</v>
      </c>
      <c r="B7080" s="1817">
        <f>'Expenditures 15-22'!K226</f>
        <v>112</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12294</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12294</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27255</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27255</v>
      </c>
      <c r="D7153" s="2" t="str">
        <f t="shared" si="110"/>
        <v>Error?</v>
      </c>
    </row>
    <row r="7154" spans="1:4" x14ac:dyDescent="0.2">
      <c r="A7154">
        <v>7093</v>
      </c>
      <c r="B7154" s="1817">
        <f>'Expenditures 15-22'!C323</f>
        <v>37056</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37056</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9950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9950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4588</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4588</v>
      </c>
      <c r="D7198" s="2" t="str">
        <f t="shared" si="111"/>
        <v>Error?</v>
      </c>
    </row>
    <row r="7199" spans="1:4" x14ac:dyDescent="0.2">
      <c r="A7199">
        <v>7138</v>
      </c>
      <c r="B7199" s="1817">
        <f>'Expenditures 15-22'!C330</f>
        <v>37056</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54087</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91143</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37056</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54087</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91143</v>
      </c>
      <c r="D7224" s="2" t="str">
        <f t="shared" si="111"/>
        <v>Error?</v>
      </c>
    </row>
    <row r="7225" spans="1:4" x14ac:dyDescent="0.2">
      <c r="A7225">
        <v>7164</v>
      </c>
      <c r="B7225" s="1817">
        <f>'Expenditures 15-22'!K343</f>
        <v>23980</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7335</v>
      </c>
      <c r="D7246" s="2" t="str">
        <f t="shared" si="112"/>
        <v>Error?</v>
      </c>
    </row>
    <row r="7247" spans="1:4" x14ac:dyDescent="0.2">
      <c r="A7247">
        <f t="shared" si="113"/>
        <v>7186</v>
      </c>
      <c r="B7247" s="1817">
        <f>'Expenditures 15-22'!E7</f>
        <v>8356</v>
      </c>
      <c r="D7247" s="2" t="str">
        <f t="shared" si="112"/>
        <v>Error?</v>
      </c>
    </row>
    <row r="7248" spans="1:4" x14ac:dyDescent="0.2">
      <c r="A7248">
        <f t="shared" si="113"/>
        <v>7187</v>
      </c>
      <c r="B7248" s="1817">
        <f>'Expenditures 15-22'!F7</f>
        <v>49120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11263</v>
      </c>
      <c r="D7263" s="2" t="str">
        <f t="shared" si="112"/>
        <v>Error?</v>
      </c>
    </row>
    <row r="7264" spans="1:4" x14ac:dyDescent="0.2">
      <c r="A7264">
        <f t="shared" si="113"/>
        <v>7203</v>
      </c>
      <c r="B7264" s="1817">
        <f>'Expenditures 15-22'!D17</f>
        <v>1940</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1430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2755</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2755</v>
      </c>
      <c r="D7618" s="2" t="str">
        <f t="shared" si="124"/>
        <v>Error?</v>
      </c>
      <c r="E7618" s="2" t="s">
        <v>19</v>
      </c>
    </row>
    <row r="7619" spans="1:5" x14ac:dyDescent="0.2">
      <c r="A7619">
        <f t="shared" si="123"/>
        <v>7558</v>
      </c>
      <c r="B7619" s="1817">
        <f>'Cap Outlay Deprec 26'!H14</f>
        <v>2755</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2755</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161494</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50000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140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1175</v>
      </c>
      <c r="D7712" s="2" t="str">
        <f t="shared" si="126"/>
        <v>Error?</v>
      </c>
      <c r="E7712" s="2" t="s">
        <v>821</v>
      </c>
    </row>
    <row r="7713" spans="1:6" x14ac:dyDescent="0.2">
      <c r="A7713">
        <v>7652</v>
      </c>
      <c r="B7713" s="1817">
        <f>'Rest Tax Levies-Tort Im 25'!J8</f>
        <v>126535</v>
      </c>
      <c r="D7713" s="2" t="str">
        <f t="shared" si="126"/>
        <v>Error?</v>
      </c>
      <c r="E7713" s="2" t="s">
        <v>821</v>
      </c>
    </row>
    <row r="7714" spans="1:6" x14ac:dyDescent="0.2">
      <c r="A7714">
        <v>7653</v>
      </c>
      <c r="B7714" s="1817">
        <f>'Rest Tax Levies-Tort Im 25'!K9</f>
        <v>2342</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126675</v>
      </c>
      <c r="D7718" s="2" t="str">
        <f t="shared" si="126"/>
        <v>Error?</v>
      </c>
      <c r="E7718" s="2" t="s">
        <v>821</v>
      </c>
    </row>
    <row r="7719" spans="1:6" x14ac:dyDescent="0.2">
      <c r="A7719">
        <v>7658</v>
      </c>
      <c r="B7719" s="1817">
        <f>'Rest Tax Levies-Tort Im 25'!K12</f>
        <v>3517</v>
      </c>
      <c r="D7719" s="2" t="str">
        <f t="shared" si="126"/>
        <v>Error?</v>
      </c>
      <c r="E7719" s="2" t="s">
        <v>821</v>
      </c>
    </row>
    <row r="7720" spans="1:6" x14ac:dyDescent="0.2">
      <c r="A7720">
        <v>7659</v>
      </c>
      <c r="B7720" s="1817">
        <f>'Rest Tax Levies-Tort Im 25'!H14</f>
        <v>8869</v>
      </c>
      <c r="D7720" s="2" t="str">
        <f t="shared" si="126"/>
        <v>Error?</v>
      </c>
      <c r="E7720" s="2" t="s">
        <v>821</v>
      </c>
    </row>
    <row r="7721" spans="1:6" x14ac:dyDescent="0.2">
      <c r="A7721">
        <v>7660</v>
      </c>
      <c r="B7721" s="1817">
        <f>'Rest Tax Levies-Tort Im 25'!K14</f>
        <v>3517</v>
      </c>
      <c r="D7721" s="2" t="str">
        <f t="shared" si="126"/>
        <v>Error?</v>
      </c>
      <c r="E7721" s="2" t="s">
        <v>821</v>
      </c>
    </row>
    <row r="7722" spans="1:6" x14ac:dyDescent="0.2">
      <c r="A7722">
        <v>7661</v>
      </c>
      <c r="B7722" s="1817">
        <f>'Rest Tax Levies-Tort Im 25'!J15</f>
        <v>1550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116532</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1550</v>
      </c>
      <c r="D7730" s="2" t="str">
        <f t="shared" si="126"/>
        <v>Error?</v>
      </c>
      <c r="E7730" s="2" t="s">
        <v>821</v>
      </c>
    </row>
    <row r="7731" spans="1:6" x14ac:dyDescent="0.2">
      <c r="A7731">
        <v>7670</v>
      </c>
      <c r="B7731" s="1817">
        <f>'Revenues 9-14'!H103</f>
        <v>10003</v>
      </c>
      <c r="D7731" s="2" t="str">
        <f t="shared" si="126"/>
        <v>Error?</v>
      </c>
      <c r="E7731" s="2" t="s">
        <v>821</v>
      </c>
    </row>
    <row r="7732" spans="1:6" x14ac:dyDescent="0.2">
      <c r="A7732">
        <v>7671</v>
      </c>
      <c r="B7732" s="1817">
        <f>'Rest Tax Levies-Tort Im 25'!J24</f>
        <v>125125</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125125</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t="str">
        <f>'Expenditures 15-22'!H364</f>
        <v xml:space="preserve"> </v>
      </c>
      <c r="D7745" s="2" t="e">
        <f t="shared" si="127"/>
        <v>#VALUE!</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17767</v>
      </c>
      <c r="D7747" s="2" t="str">
        <f t="shared" si="127"/>
        <v>Error?</v>
      </c>
      <c r="E7747" s="2" t="s">
        <v>821</v>
      </c>
      <c r="F7747" s="2" t="s">
        <v>822</v>
      </c>
    </row>
    <row r="7748" spans="1:6" x14ac:dyDescent="0.2">
      <c r="A7748">
        <v>7687</v>
      </c>
      <c r="B7748" s="1817">
        <f>'Acct Summary 7-8'!C25</f>
        <v>150000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3517</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4276300</v>
      </c>
      <c r="D7817" s="2" t="str">
        <f t="shared" si="128"/>
        <v>Error?</v>
      </c>
      <c r="E7817" s="4" t="s">
        <v>1963</v>
      </c>
    </row>
    <row r="7818" spans="1:5" x14ac:dyDescent="0.2">
      <c r="A7818">
        <v>7757</v>
      </c>
      <c r="B7818" s="1817">
        <f>'PCTC-OEPP 27-28'!F172</f>
        <v>118085</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-34705</v>
      </c>
      <c r="D7820" s="2" t="str">
        <f t="shared" si="128"/>
        <v>Error?</v>
      </c>
    </row>
    <row r="7821" spans="1:5" x14ac:dyDescent="0.2">
      <c r="A7821">
        <v>7760</v>
      </c>
      <c r="B7821" s="1817">
        <f>'ICR Computation 30'!G40</f>
        <v>-34705</v>
      </c>
      <c r="D7821" s="2" t="str">
        <f t="shared" si="128"/>
        <v>Error?</v>
      </c>
    </row>
    <row r="7822" spans="1:5" x14ac:dyDescent="0.2">
      <c r="A7822" s="1">
        <v>7761</v>
      </c>
      <c r="B7822" s="1817">
        <f>'PCTC-OEPP 27-28'!F14</f>
        <v>4784672</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122079</v>
      </c>
      <c r="D7826" s="2" t="str">
        <f t="shared" si="129"/>
        <v>Error?</v>
      </c>
      <c r="E7826" s="4" t="s">
        <v>1995</v>
      </c>
    </row>
    <row r="7827" spans="1:5" x14ac:dyDescent="0.2">
      <c r="A7827">
        <v>7766</v>
      </c>
      <c r="B7827" s="1817">
        <f>'PCTC-OEPP 27-28'!F35</f>
        <v>0</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32036</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1403820</v>
      </c>
      <c r="D7834" s="2" t="str">
        <f t="shared" si="129"/>
        <v>Error?</v>
      </c>
      <c r="E7834" s="4" t="s">
        <v>1995</v>
      </c>
    </row>
    <row r="7835" spans="1:5" x14ac:dyDescent="0.2">
      <c r="A7835">
        <v>7774</v>
      </c>
      <c r="B7835" s="1817">
        <f>'PCTC-OEPP 27-28'!F78</f>
        <v>3380852</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9025.2322477309117</v>
      </c>
      <c r="D7837" s="2" t="str">
        <f t="shared" si="129"/>
        <v>Error?</v>
      </c>
      <c r="E7837" s="4" t="s">
        <v>1995</v>
      </c>
    </row>
    <row r="7838" spans="1:5" x14ac:dyDescent="0.2">
      <c r="A7838">
        <v>7777</v>
      </c>
      <c r="B7838" s="1817">
        <f>'PCTC-OEPP 27-28'!F96</f>
        <v>6143</v>
      </c>
      <c r="D7838" s="2" t="str">
        <f t="shared" si="129"/>
        <v>Error?</v>
      </c>
      <c r="E7838" s="4" t="s">
        <v>1995</v>
      </c>
    </row>
    <row r="7839" spans="1:5" x14ac:dyDescent="0.2">
      <c r="A7839">
        <v>7778</v>
      </c>
      <c r="B7839" s="1817">
        <f>'PCTC-OEPP 27-28'!F102</f>
        <v>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15997</v>
      </c>
      <c r="D7842" s="2" t="str">
        <f t="shared" si="129"/>
        <v>Error?</v>
      </c>
      <c r="E7842" s="4" t="s">
        <v>1995</v>
      </c>
    </row>
    <row r="7843" spans="1:5" x14ac:dyDescent="0.2">
      <c r="A7843">
        <v>7782</v>
      </c>
      <c r="B7843" s="1817">
        <f>'PCTC-OEPP 27-28'!F107</f>
        <v>0</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2342</v>
      </c>
      <c r="D7846" s="2" t="str">
        <f t="shared" si="129"/>
        <v>Error?</v>
      </c>
      <c r="E7846" s="4" t="s">
        <v>1995</v>
      </c>
    </row>
    <row r="7847" spans="1:5" x14ac:dyDescent="0.2">
      <c r="A7847">
        <v>7786</v>
      </c>
      <c r="B7847" s="1817">
        <f>'PCTC-OEPP 27-28'!F112</f>
        <v>171104</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14191</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168358</v>
      </c>
      <c r="D7858" s="2" t="str">
        <f t="shared" si="129"/>
        <v>Error?</v>
      </c>
      <c r="E7858" s="4" t="s">
        <v>1995</v>
      </c>
    </row>
    <row r="7859" spans="1:5" x14ac:dyDescent="0.2">
      <c r="A7859">
        <v>7798</v>
      </c>
      <c r="B7859" s="1817">
        <f>'PCTC-OEPP 27-28'!F127</f>
        <v>164727</v>
      </c>
      <c r="D7859" s="2" t="str">
        <f t="shared" si="129"/>
        <v>Error?</v>
      </c>
      <c r="E7859" s="4" t="s">
        <v>1995</v>
      </c>
    </row>
    <row r="7860" spans="1:5" x14ac:dyDescent="0.2">
      <c r="A7860">
        <v>7799</v>
      </c>
      <c r="B7860" s="1817">
        <f>'PCTC-OEPP 27-28'!F128</f>
        <v>10940</v>
      </c>
      <c r="D7860" s="2" t="str">
        <f t="shared" si="129"/>
        <v>Error?</v>
      </c>
      <c r="E7860" s="4" t="s">
        <v>1995</v>
      </c>
    </row>
    <row r="7861" spans="1:5" x14ac:dyDescent="0.2">
      <c r="A7861">
        <v>7800</v>
      </c>
      <c r="B7861" s="1817">
        <f>'PCTC-OEPP 27-28'!F129</f>
        <v>110134</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17767</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21646</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9618</v>
      </c>
      <c r="D7874" s="2" t="str">
        <f t="shared" si="129"/>
        <v>Error?</v>
      </c>
      <c r="E7874" s="4" t="s">
        <v>1995</v>
      </c>
    </row>
    <row r="7875" spans="1:5" x14ac:dyDescent="0.2">
      <c r="A7875">
        <v>7814</v>
      </c>
      <c r="B7875" s="1817">
        <f>'PCTC-OEPP 27-28'!F170</f>
        <v>19658</v>
      </c>
      <c r="D7875" s="2" t="str">
        <f t="shared" si="129"/>
        <v>Error?</v>
      </c>
      <c r="E7875" s="4" t="s">
        <v>1995</v>
      </c>
    </row>
    <row r="7876" spans="1:5" x14ac:dyDescent="0.2">
      <c r="A7876">
        <v>7815</v>
      </c>
      <c r="B7876" s="1817">
        <f>'PCTC-OEPP 27-28'!F171</f>
        <v>1050</v>
      </c>
      <c r="D7876" s="2" t="str">
        <f t="shared" si="129"/>
        <v>Error?</v>
      </c>
      <c r="E7876" s="4" t="s">
        <v>1995</v>
      </c>
    </row>
    <row r="7877" spans="1:5" x14ac:dyDescent="0.2">
      <c r="A7877">
        <v>7816</v>
      </c>
      <c r="B7877" s="1817">
        <f>'PCTC-OEPP 27-28'!F175</f>
        <v>880883</v>
      </c>
      <c r="D7877" s="2" t="str">
        <f t="shared" si="129"/>
        <v>Error?</v>
      </c>
      <c r="E7877" s="4" t="s">
        <v>1995</v>
      </c>
    </row>
    <row r="7878" spans="1:5" x14ac:dyDescent="0.2">
      <c r="A7878">
        <v>7817</v>
      </c>
      <c r="B7878" s="1817">
        <f>'PCTC-OEPP 27-28'!F176</f>
        <v>2499969</v>
      </c>
      <c r="D7878" s="2" t="str">
        <f t="shared" si="129"/>
        <v>Error?</v>
      </c>
      <c r="E7878" s="4" t="s">
        <v>1995</v>
      </c>
    </row>
    <row r="7879" spans="1:5" x14ac:dyDescent="0.2">
      <c r="A7879">
        <v>7818</v>
      </c>
      <c r="B7879" s="1817">
        <f>'PCTC-OEPP 27-28'!F178</f>
        <v>2661463</v>
      </c>
      <c r="D7879" s="2" t="str">
        <f t="shared" si="129"/>
        <v>Error?</v>
      </c>
      <c r="E7879" s="4" t="s">
        <v>1995</v>
      </c>
    </row>
    <row r="7880" spans="1:5" x14ac:dyDescent="0.2">
      <c r="A7880">
        <v>7819</v>
      </c>
      <c r="B7880" s="1817">
        <f>'PCTC-OEPP 27-28'!F180</f>
        <v>7104.8131340096097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6" t="s">
        <v>1180</v>
      </c>
      <c r="B2" s="2496"/>
      <c r="C2" s="2496"/>
      <c r="D2" s="2496"/>
      <c r="E2" s="2496"/>
      <c r="F2" s="2496"/>
      <c r="G2" s="2496"/>
      <c r="H2" s="2496"/>
      <c r="I2" s="2496"/>
      <c r="J2" s="2496"/>
      <c r="K2" s="2496"/>
      <c r="L2" s="2496"/>
    </row>
    <row r="3" spans="1:29" ht="13.5" customHeight="1" x14ac:dyDescent="0.2">
      <c r="A3" s="2528" t="s">
        <v>1179</v>
      </c>
      <c r="B3" s="2528"/>
      <c r="C3" s="2528"/>
      <c r="D3" s="2528"/>
      <c r="E3" s="2528"/>
      <c r="F3" s="2528"/>
      <c r="G3" s="2528"/>
      <c r="H3" s="2528"/>
      <c r="I3" s="2528"/>
      <c r="J3" s="2528"/>
      <c r="K3" s="2528"/>
      <c r="L3" s="2528"/>
    </row>
    <row r="4" spans="1:29" ht="13.5" customHeight="1" x14ac:dyDescent="0.2">
      <c r="A4" s="2517" t="str">
        <f>"Year Ending June 30, "&amp;'AFR20'!E2</f>
        <v>Year Ending June 30, 2020</v>
      </c>
      <c r="B4" s="2518"/>
      <c r="C4" s="2518"/>
      <c r="D4" s="2518"/>
      <c r="E4" s="2518"/>
      <c r="F4" s="2518"/>
      <c r="G4" s="2518"/>
      <c r="H4" s="2518"/>
      <c r="I4" s="2518"/>
      <c r="J4" s="2518"/>
      <c r="K4" s="2518"/>
      <c r="L4" s="251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9" t="str">
        <f>COVER!A17</f>
        <v xml:space="preserve"> Brownstown CUSD 201</v>
      </c>
      <c r="B7" s="2520"/>
      <c r="C7" s="2520"/>
      <c r="D7" s="2521"/>
      <c r="E7" s="2522">
        <f>COVER!A13</f>
        <v>3026201026</v>
      </c>
      <c r="F7" s="2523"/>
      <c r="G7" s="2529" t="str">
        <f>COVER!T23</f>
        <v>066-003845</v>
      </c>
      <c r="H7" s="2530"/>
      <c r="I7" s="2530"/>
      <c r="J7" s="2530"/>
      <c r="K7" s="2530"/>
      <c r="L7" s="2531"/>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32"/>
      <c r="B9" s="2533"/>
      <c r="C9" s="2533"/>
      <c r="D9" s="2533"/>
      <c r="E9" s="2533"/>
      <c r="F9" s="2534"/>
      <c r="G9" s="2502" t="str">
        <f>COVER!T13</f>
        <v>MOSE, YOCKEY, BROWN &amp; KULL, LLC</v>
      </c>
      <c r="H9" s="2535"/>
      <c r="I9" s="2535"/>
      <c r="J9" s="2535"/>
      <c r="K9" s="2535"/>
      <c r="L9" s="2536"/>
    </row>
    <row r="10" spans="1:29" ht="13.5" customHeight="1" x14ac:dyDescent="0.2">
      <c r="A10" s="2508" t="str">
        <f>COVER!A38</f>
        <v>MICHAEL SHACKELFORD</v>
      </c>
      <c r="B10" s="2509"/>
      <c r="C10" s="2509"/>
      <c r="D10" s="2509"/>
      <c r="E10" s="2509"/>
      <c r="F10" s="2510"/>
      <c r="G10" s="2502" t="str">
        <f>COVER!T17</f>
        <v>230 N MORGAN, PO BOX 317</v>
      </c>
      <c r="H10" s="2503"/>
      <c r="I10" s="2503"/>
      <c r="J10" s="2503"/>
      <c r="K10" s="2503"/>
      <c r="L10" s="2504"/>
    </row>
    <row r="11" spans="1:29" ht="13.5" customHeight="1" x14ac:dyDescent="0.2">
      <c r="A11" s="963" t="s">
        <v>1499</v>
      </c>
      <c r="B11" s="964"/>
      <c r="C11" s="965"/>
      <c r="D11" s="970"/>
      <c r="E11" s="965"/>
      <c r="F11" s="969"/>
      <c r="G11" s="2502" t="str">
        <f>COVER!T19</f>
        <v>SHELBYVILLE</v>
      </c>
      <c r="H11" s="2503"/>
      <c r="I11" s="2503"/>
      <c r="J11" s="2503"/>
      <c r="K11" s="2503"/>
      <c r="L11" s="2504"/>
    </row>
    <row r="12" spans="1:29" ht="13.5" customHeight="1" x14ac:dyDescent="0.2">
      <c r="A12" s="2511" t="s">
        <v>1498</v>
      </c>
      <c r="B12" s="2512"/>
      <c r="C12" s="2512"/>
      <c r="D12" s="2512"/>
      <c r="E12" s="2512"/>
      <c r="F12" s="2513"/>
      <c r="G12" s="2505"/>
      <c r="H12" s="2506"/>
      <c r="I12" s="2506"/>
      <c r="J12" s="2506"/>
      <c r="K12" s="2506"/>
      <c r="L12" s="2507"/>
    </row>
    <row r="13" spans="1:29" ht="13.5" customHeight="1" x14ac:dyDescent="0.2">
      <c r="A13" s="2502"/>
      <c r="B13" s="2503"/>
      <c r="C13" s="2503"/>
      <c r="D13" s="2503"/>
      <c r="E13" s="2503"/>
      <c r="F13" s="2504"/>
      <c r="G13" s="2497" t="s">
        <v>1500</v>
      </c>
      <c r="H13" s="2498"/>
      <c r="I13" s="2514" t="str">
        <f>COVER!T25</f>
        <v>mybkcpas@consolidated.net</v>
      </c>
      <c r="J13" s="2515"/>
      <c r="K13" s="2515"/>
      <c r="L13" s="2516"/>
    </row>
    <row r="14" spans="1:29" ht="13.5" customHeight="1" x14ac:dyDescent="0.2">
      <c r="A14" s="2502" t="str">
        <f>COVER!A19</f>
        <v>421 SOUTH COLLEGE</v>
      </c>
      <c r="B14" s="2503"/>
      <c r="C14" s="2503"/>
      <c r="D14" s="2503"/>
      <c r="E14" s="2503"/>
      <c r="F14" s="2504"/>
      <c r="G14" s="974" t="s">
        <v>1174</v>
      </c>
      <c r="H14" s="972"/>
      <c r="I14" s="972"/>
      <c r="J14" s="972"/>
      <c r="K14" s="972"/>
      <c r="L14" s="973"/>
    </row>
    <row r="15" spans="1:29" ht="13.5" customHeight="1" x14ac:dyDescent="0.2">
      <c r="A15" s="2502" t="str">
        <f>COVER!A21</f>
        <v>BROWNSTOWN</v>
      </c>
      <c r="B15" s="2503"/>
      <c r="C15" s="2503"/>
      <c r="D15" s="2503"/>
      <c r="E15" s="2503"/>
      <c r="F15" s="2504"/>
      <c r="G15" s="2499" t="str">
        <f>COVER!T15</f>
        <v>CORY A. BROWN</v>
      </c>
      <c r="H15" s="2500"/>
      <c r="I15" s="2500"/>
      <c r="J15" s="2500"/>
      <c r="K15" s="2500"/>
      <c r="L15" s="2501"/>
    </row>
    <row r="16" spans="1:29" ht="12.2" customHeight="1" x14ac:dyDescent="0.2">
      <c r="A16" s="2525">
        <f>COVER!A25</f>
        <v>62418</v>
      </c>
      <c r="B16" s="2526"/>
      <c r="C16" s="2526"/>
      <c r="D16" s="2526"/>
      <c r="E16" s="2526"/>
      <c r="F16" s="2527"/>
      <c r="G16" s="2537"/>
      <c r="H16" s="2538"/>
      <c r="I16" s="2538"/>
      <c r="J16" s="2538"/>
      <c r="K16" s="2538"/>
      <c r="L16" s="2539"/>
    </row>
    <row r="17" spans="1:13" ht="12.2" customHeight="1" x14ac:dyDescent="0.2">
      <c r="A17" s="2540"/>
      <c r="B17" s="2526"/>
      <c r="C17" s="2526"/>
      <c r="D17" s="2526"/>
      <c r="E17" s="2526"/>
      <c r="F17" s="2527"/>
      <c r="G17" s="974" t="s">
        <v>1173</v>
      </c>
      <c r="H17" s="972"/>
      <c r="I17" s="972"/>
      <c r="J17" s="972"/>
      <c r="K17" s="976" t="s">
        <v>1172</v>
      </c>
      <c r="L17" s="969"/>
      <c r="M17" s="962"/>
    </row>
    <row r="18" spans="1:13" ht="12.2" customHeight="1" x14ac:dyDescent="0.2">
      <c r="A18" s="2508"/>
      <c r="B18" s="2509"/>
      <c r="C18" s="2509"/>
      <c r="D18" s="2509"/>
      <c r="E18" s="2509"/>
      <c r="F18" s="2510"/>
      <c r="G18" s="2519" t="str">
        <f>COVER!T21</f>
        <v>217-774-9587</v>
      </c>
      <c r="H18" s="2520"/>
      <c r="I18" s="2520"/>
      <c r="J18" s="2520"/>
      <c r="K18" s="2519" t="str">
        <f>COVER!X21</f>
        <v>217-774-9589</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1" t="str">
        <f>'Single Audit Cover'!A7</f>
        <v xml:space="preserve"> Brownstown CUSD 201</v>
      </c>
      <c r="B1" s="2542"/>
      <c r="C1" s="2542"/>
      <c r="D1" s="2542"/>
    </row>
    <row r="2" spans="1:11" s="991" customFormat="1" ht="12.75" x14ac:dyDescent="0.2">
      <c r="A2" s="2543">
        <f>'Single Audit Cover'!E7</f>
        <v>3026201026</v>
      </c>
      <c r="B2" s="2544"/>
      <c r="C2" s="2544"/>
      <c r="D2" s="2544"/>
    </row>
    <row r="3" spans="1:11" s="991" customFormat="1" ht="12.75" x14ac:dyDescent="0.2">
      <c r="A3" s="2541" t="s">
        <v>1493</v>
      </c>
      <c r="B3" s="2542"/>
      <c r="C3" s="2542"/>
      <c r="D3" s="2542"/>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6" t="str">
        <f>'Single Audit Cover'!A7</f>
        <v xml:space="preserve"> Brownstown CUSD 201</v>
      </c>
      <c r="B1" s="2546"/>
      <c r="C1" s="2546"/>
      <c r="D1" s="2546"/>
      <c r="E1" s="2546"/>
    </row>
    <row r="2" spans="1:5" x14ac:dyDescent="0.2">
      <c r="A2" s="2547">
        <f>'Single Audit Cover'!E7</f>
        <v>3026201026</v>
      </c>
      <c r="B2" s="2547"/>
      <c r="C2" s="2547"/>
      <c r="D2" s="2547"/>
      <c r="E2" s="2547"/>
    </row>
    <row r="3" spans="1:5" ht="4.5" customHeight="1" x14ac:dyDescent="0.2"/>
    <row r="4" spans="1:5" x14ac:dyDescent="0.2">
      <c r="A4" s="2546" t="s">
        <v>1233</v>
      </c>
      <c r="B4" s="2546"/>
      <c r="C4" s="2546"/>
      <c r="D4" s="2546"/>
      <c r="E4" s="2546"/>
    </row>
    <row r="5" spans="1:5" x14ac:dyDescent="0.2">
      <c r="A5" s="2549" t="str">
        <f>'Single Audit Cover'!A4</f>
        <v>Year Ending June 30, 2020</v>
      </c>
      <c r="B5" s="2549"/>
      <c r="C5" s="2549"/>
      <c r="D5" s="2549"/>
      <c r="E5" s="2549"/>
    </row>
    <row r="6" spans="1:5" x14ac:dyDescent="0.2">
      <c r="A6" s="2546" t="s">
        <v>1232</v>
      </c>
      <c r="B6" s="2546"/>
      <c r="C6" s="2546"/>
      <c r="D6" s="2546"/>
      <c r="E6" s="2546"/>
    </row>
    <row r="8" spans="1:5" x14ac:dyDescent="0.2">
      <c r="A8" s="1036" t="s">
        <v>1231</v>
      </c>
    </row>
    <row r="10" spans="1:5" x14ac:dyDescent="0.2">
      <c r="A10" s="1037" t="s">
        <v>1230</v>
      </c>
      <c r="B10" s="1038" t="s">
        <v>1229</v>
      </c>
      <c r="C10" s="1038"/>
      <c r="D10" s="1039">
        <f>SUM('Acct Summary 7-8'!C7:K7)</f>
        <v>543241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18900</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-19658</v>
      </c>
    </row>
    <row r="19" spans="1:4" ht="13.5" thickBot="1" x14ac:dyDescent="0.25">
      <c r="A19" s="1041" t="s">
        <v>1223</v>
      </c>
      <c r="D19" s="1042">
        <f>SUM(D10:D17)</f>
        <v>542483</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8"/>
      <c r="B24" s="2548"/>
      <c r="D24" s="1044"/>
    </row>
    <row r="25" spans="1:4" x14ac:dyDescent="0.2">
      <c r="A25" s="2545"/>
      <c r="B25" s="2545"/>
      <c r="D25" s="1044"/>
    </row>
    <row r="26" spans="1:4" x14ac:dyDescent="0.2">
      <c r="A26" s="2545"/>
      <c r="B26" s="2545"/>
      <c r="D26" s="1044"/>
    </row>
    <row r="27" spans="1:4" x14ac:dyDescent="0.2">
      <c r="A27" s="2545"/>
      <c r="B27" s="2545"/>
      <c r="D27" s="1044"/>
    </row>
    <row r="28" spans="1:4" x14ac:dyDescent="0.2">
      <c r="A28" s="2545"/>
      <c r="B28" s="2545"/>
      <c r="D28" s="1044"/>
    </row>
    <row r="29" spans="1:4" x14ac:dyDescent="0.2">
      <c r="A29" s="2545"/>
      <c r="B29" s="2545"/>
      <c r="D29" s="1044"/>
    </row>
    <row r="30" spans="1:4" x14ac:dyDescent="0.2">
      <c r="A30" s="2545"/>
      <c r="B30" s="2545"/>
      <c r="D30" s="1044"/>
    </row>
    <row r="32" spans="1:4" x14ac:dyDescent="0.2">
      <c r="A32" s="1036" t="s">
        <v>1221</v>
      </c>
      <c r="D32" s="1039">
        <f>SUM(D19:D30)</f>
        <v>542483</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5"/>
      <c r="B40" s="2545"/>
      <c r="D40" s="1044"/>
    </row>
    <row r="41" spans="1:4" x14ac:dyDescent="0.2">
      <c r="A41" s="2545"/>
      <c r="B41" s="2545"/>
      <c r="D41" s="1047"/>
    </row>
    <row r="42" spans="1:4" x14ac:dyDescent="0.2">
      <c r="A42" s="2545"/>
      <c r="B42" s="2545"/>
      <c r="D42" s="1047"/>
    </row>
    <row r="43" spans="1:4" x14ac:dyDescent="0.2">
      <c r="A43" s="2545"/>
      <c r="B43" s="2545"/>
      <c r="D43" s="1047"/>
    </row>
    <row r="44" spans="1:4" x14ac:dyDescent="0.2">
      <c r="A44" s="2545"/>
      <c r="B44" s="2545"/>
      <c r="D44" s="1047"/>
    </row>
    <row r="45" spans="1:4" x14ac:dyDescent="0.2">
      <c r="A45" s="2545"/>
      <c r="B45" s="2545"/>
      <c r="D45" s="1047"/>
    </row>
    <row r="47" spans="1:4" x14ac:dyDescent="0.2">
      <c r="B47" s="1048" t="s">
        <v>1215</v>
      </c>
      <c r="C47" s="1048"/>
      <c r="D47" s="1049">
        <f>SUM(D35:D45)</f>
        <v>0</v>
      </c>
    </row>
    <row r="49" spans="2:4" x14ac:dyDescent="0.2">
      <c r="B49" s="1048" t="s">
        <v>1214</v>
      </c>
      <c r="C49" s="1048"/>
      <c r="D49" s="1049">
        <f>D32-D47</f>
        <v>542483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Brownstown CUSD 201</v>
      </c>
      <c r="C1" s="2550"/>
      <c r="D1" s="2550"/>
      <c r="E1" s="2550"/>
      <c r="F1" s="2550"/>
      <c r="G1" s="2550"/>
      <c r="H1" s="2550"/>
      <c r="I1" s="2550"/>
      <c r="J1" s="2550"/>
      <c r="K1" s="2550"/>
      <c r="L1" s="2550"/>
      <c r="M1" s="2550"/>
    </row>
    <row r="2" spans="2:14" ht="15" x14ac:dyDescent="0.2">
      <c r="B2" s="2551">
        <f>'Single Audit Cover'!E7</f>
        <v>3026201026</v>
      </c>
      <c r="C2" s="2551"/>
      <c r="D2" s="2551"/>
      <c r="E2" s="2551"/>
      <c r="F2" s="2551"/>
      <c r="G2" s="2551"/>
      <c r="H2" s="2551"/>
      <c r="I2" s="2551"/>
      <c r="J2" s="2551"/>
      <c r="K2" s="2551"/>
      <c r="L2" s="2551"/>
      <c r="M2" s="2551"/>
      <c r="N2" s="1078"/>
    </row>
    <row r="3" spans="2:14" ht="15" x14ac:dyDescent="0.2">
      <c r="B3" s="2552" t="s">
        <v>1207</v>
      </c>
      <c r="C3" s="2552"/>
      <c r="D3" s="2552"/>
      <c r="E3" s="2552"/>
      <c r="F3" s="2552"/>
      <c r="G3" s="2552"/>
      <c r="H3" s="2552"/>
      <c r="I3" s="2552"/>
      <c r="J3" s="2552"/>
      <c r="K3" s="2552"/>
      <c r="L3" s="2552"/>
      <c r="M3" s="2552"/>
      <c r="N3" s="1078"/>
    </row>
    <row r="4" spans="2:14" ht="15" x14ac:dyDescent="0.2">
      <c r="B4" s="2553" t="str">
        <f>'Single Audit Cover'!A4</f>
        <v>Year Ending June 30, 2020</v>
      </c>
      <c r="C4" s="2553"/>
      <c r="D4" s="2553"/>
      <c r="E4" s="2553"/>
      <c r="F4" s="2553"/>
      <c r="G4" s="2553"/>
      <c r="H4" s="2553"/>
      <c r="I4" s="2553"/>
      <c r="J4" s="2553"/>
      <c r="K4" s="2553"/>
      <c r="L4" s="2553"/>
      <c r="M4" s="2553"/>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3" t="str">
        <f>'Single Audit Cover'!A7</f>
        <v xml:space="preserve"> Brownstown CUSD 201</v>
      </c>
      <c r="B1" s="2563"/>
      <c r="C1" s="2563"/>
      <c r="D1" s="2563"/>
      <c r="E1" s="2563"/>
      <c r="F1" s="2563"/>
    </row>
    <row r="2" spans="1:7" ht="13.5" customHeight="1" x14ac:dyDescent="0.2">
      <c r="A2" s="2551">
        <f>'Single Audit Cover'!E7</f>
        <v>3026201026</v>
      </c>
      <c r="B2" s="2551"/>
      <c r="C2" s="2551"/>
      <c r="D2" s="2551"/>
      <c r="E2" s="2551"/>
      <c r="F2" s="2551"/>
      <c r="G2" s="1051"/>
    </row>
    <row r="3" spans="1:7" ht="15.75" customHeight="1" x14ac:dyDescent="0.2">
      <c r="A3" s="2564" t="s">
        <v>1259</v>
      </c>
      <c r="B3" s="2564"/>
      <c r="C3" s="2564"/>
      <c r="D3" s="2564"/>
      <c r="E3" s="2564"/>
      <c r="F3" s="2564"/>
    </row>
    <row r="4" spans="1:7" ht="13.5" customHeight="1" x14ac:dyDescent="0.2">
      <c r="A4" s="2565" t="str">
        <f>'Single Audit Cover'!A4</f>
        <v>Year Ending June 30, 2020</v>
      </c>
      <c r="B4" s="2565"/>
      <c r="C4" s="2565"/>
      <c r="D4" s="2565"/>
      <c r="E4" s="2565"/>
      <c r="F4" s="2565"/>
    </row>
    <row r="5" spans="1:7" ht="8.25" customHeight="1" x14ac:dyDescent="0.2">
      <c r="C5" s="295"/>
      <c r="D5" s="295"/>
    </row>
    <row r="6" spans="1:7" ht="13.5" customHeight="1" x14ac:dyDescent="0.2">
      <c r="A6" s="1052" t="s">
        <v>1702</v>
      </c>
      <c r="C6" s="295"/>
      <c r="D6" s="295"/>
    </row>
    <row r="7" spans="1:7" ht="60.95" customHeight="1" x14ac:dyDescent="0.2">
      <c r="A7" s="2562" t="s">
        <v>1703</v>
      </c>
      <c r="B7" s="2562"/>
      <c r="C7" s="2562"/>
      <c r="D7" s="2562"/>
      <c r="E7" s="2562"/>
      <c r="F7" s="2562"/>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62" t="s">
        <v>1705</v>
      </c>
      <c r="B13" s="2562"/>
      <c r="C13" s="2562"/>
      <c r="D13" s="2562"/>
      <c r="E13" s="2562"/>
      <c r="F13" s="2562"/>
    </row>
    <row r="14" spans="1:7" ht="9.75" customHeight="1" x14ac:dyDescent="0.2">
      <c r="C14" s="1036"/>
      <c r="D14" s="1036"/>
    </row>
    <row r="15" spans="1:7" ht="13.5" customHeight="1" x14ac:dyDescent="0.2">
      <c r="C15" s="1476" t="s">
        <v>1258</v>
      </c>
      <c r="D15" s="2560" t="s">
        <v>1257</v>
      </c>
      <c r="E15" s="2560"/>
      <c r="F15" s="2560"/>
    </row>
    <row r="16" spans="1:7" ht="13.5" customHeight="1" x14ac:dyDescent="0.2">
      <c r="A16" s="1058"/>
      <c r="B16" s="1052" t="s">
        <v>1256</v>
      </c>
      <c r="C16" s="1476" t="s">
        <v>1255</v>
      </c>
      <c r="D16" s="2561" t="s">
        <v>1568</v>
      </c>
      <c r="E16" s="2561"/>
      <c r="F16" s="2561"/>
    </row>
    <row r="17" spans="1:6" ht="20.45" customHeight="1" x14ac:dyDescent="0.2">
      <c r="A17" s="1059"/>
      <c r="B17" s="1060"/>
      <c r="C17" s="1061"/>
      <c r="D17" s="2555"/>
      <c r="E17" s="2555"/>
      <c r="F17" s="2555"/>
    </row>
    <row r="18" spans="1:6" ht="20.65" customHeight="1" x14ac:dyDescent="0.2">
      <c r="A18" s="1059"/>
      <c r="B18" s="1060"/>
      <c r="C18" s="1061"/>
      <c r="D18" s="2555"/>
      <c r="E18" s="2555"/>
      <c r="F18" s="2555"/>
    </row>
    <row r="19" spans="1:6" ht="20.65" customHeight="1" x14ac:dyDescent="0.2">
      <c r="A19" s="1059"/>
      <c r="B19" s="1060"/>
      <c r="C19" s="1061"/>
      <c r="D19" s="2555"/>
      <c r="E19" s="2555"/>
      <c r="F19" s="2555"/>
    </row>
    <row r="20" spans="1:6" ht="20.65" customHeight="1" x14ac:dyDescent="0.2">
      <c r="A20" s="1059"/>
      <c r="B20" s="1060"/>
      <c r="C20" s="1061"/>
      <c r="D20" s="2555"/>
      <c r="E20" s="2555"/>
      <c r="F20" s="2555"/>
    </row>
    <row r="21" spans="1:6" ht="20.65" customHeight="1" x14ac:dyDescent="0.2">
      <c r="A21" s="1059"/>
      <c r="B21" s="1060"/>
      <c r="C21" s="1061"/>
      <c r="D21" s="2555"/>
      <c r="E21" s="2555"/>
      <c r="F21" s="2555"/>
    </row>
    <row r="22" spans="1:6" ht="20.65" customHeight="1" x14ac:dyDescent="0.2">
      <c r="A22" s="1059"/>
      <c r="B22" s="1060"/>
      <c r="C22" s="1061"/>
      <c r="D22" s="2555"/>
      <c r="E22" s="2555"/>
      <c r="F22" s="2555"/>
    </row>
    <row r="23" spans="1:6" ht="20.65" customHeight="1" x14ac:dyDescent="0.2">
      <c r="A23" s="1059"/>
      <c r="B23" s="1060"/>
      <c r="C23" s="1061"/>
      <c r="D23" s="2555"/>
      <c r="E23" s="2555"/>
      <c r="F23" s="2555"/>
    </row>
    <row r="24" spans="1:6" ht="20.65" customHeight="1" x14ac:dyDescent="0.2">
      <c r="A24" s="1059"/>
      <c r="B24" s="1060"/>
      <c r="C24" s="1061"/>
      <c r="D24" s="2555"/>
      <c r="E24" s="2555"/>
      <c r="F24" s="2555"/>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56" t="s">
        <v>1706</v>
      </c>
      <c r="B27" s="2556"/>
      <c r="C27" s="2556"/>
      <c r="D27" s="2556"/>
      <c r="E27" s="2556"/>
      <c r="F27" s="2556"/>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57">
        <f>+C28+C29</f>
        <v>0</v>
      </c>
      <c r="F29" s="2558"/>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9" t="s">
        <v>1570</v>
      </c>
      <c r="C44" s="2559"/>
      <c r="D44" s="2559"/>
      <c r="E44" s="1168"/>
    </row>
    <row r="45" spans="1:6" s="1076" customFormat="1" ht="3.75" customHeight="1" x14ac:dyDescent="0.2">
      <c r="A45" s="1075"/>
      <c r="B45" s="1475"/>
      <c r="C45" s="1475"/>
      <c r="D45" s="1475"/>
      <c r="E45" s="1168"/>
    </row>
    <row r="46" spans="1:6" s="1076" customFormat="1" ht="20.25" customHeight="1" x14ac:dyDescent="0.2">
      <c r="A46" s="1077">
        <v>6</v>
      </c>
      <c r="B46" s="2554" t="s">
        <v>1531</v>
      </c>
      <c r="C46" s="2554"/>
      <c r="D46" s="2554"/>
    </row>
    <row r="47" spans="1:6" ht="14.25" customHeight="1" x14ac:dyDescent="0.2">
      <c r="A47" s="1077"/>
      <c r="B47" s="2554"/>
      <c r="C47" s="2554"/>
      <c r="D47" s="2554"/>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F24" sqref="F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t="s">
        <v>2015</v>
      </c>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1613</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t="s">
        <v>2023</v>
      </c>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8" t="s">
        <v>1986</v>
      </c>
      <c r="B85" s="2168"/>
      <c r="C85" s="2168"/>
      <c r="D85" s="2169"/>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70" t="s">
        <v>1986</v>
      </c>
      <c r="B88" s="2171"/>
      <c r="C88" s="2171"/>
      <c r="D88" s="2172"/>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2016</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7" t="str">
        <f>'Single Audit Cover'!A7</f>
        <v xml:space="preserve"> Brownstown CUSD 201</v>
      </c>
      <c r="C1" s="2578"/>
      <c r="D1" s="2578"/>
      <c r="E1" s="2578"/>
      <c r="F1" s="2578"/>
      <c r="G1" s="2578"/>
      <c r="H1" s="2578"/>
      <c r="I1" s="2578"/>
      <c r="J1" s="1178"/>
    </row>
    <row r="2" spans="2:10" s="295" customFormat="1" ht="12.75" customHeight="1" x14ac:dyDescent="0.2">
      <c r="B2" s="2579">
        <f>'Single Audit Cover'!E7</f>
        <v>3026201026</v>
      </c>
      <c r="C2" s="2580"/>
      <c r="D2" s="2580"/>
      <c r="E2" s="2580"/>
      <c r="F2" s="2580"/>
      <c r="G2" s="2580"/>
      <c r="H2" s="2580"/>
      <c r="I2" s="2580"/>
      <c r="J2" s="1178"/>
    </row>
    <row r="3" spans="2:10" s="295" customFormat="1" ht="12.75" customHeight="1" x14ac:dyDescent="0.2">
      <c r="B3" s="2581" t="s">
        <v>1273</v>
      </c>
      <c r="C3" s="2582"/>
      <c r="D3" s="2582"/>
      <c r="E3" s="2582"/>
      <c r="F3" s="2582"/>
      <c r="G3" s="2582"/>
      <c r="H3" s="2582"/>
      <c r="I3" s="2582"/>
      <c r="J3" s="1179"/>
    </row>
    <row r="4" spans="2:10" s="295" customFormat="1" ht="12.75" customHeight="1" x14ac:dyDescent="0.2">
      <c r="B4" s="2581" t="str">
        <f>'Single Audit Cover'!A4</f>
        <v>Year Ending June 30, 2020</v>
      </c>
      <c r="C4" s="2582"/>
      <c r="D4" s="2582"/>
      <c r="E4" s="2582"/>
      <c r="F4" s="2582"/>
      <c r="G4" s="2582"/>
      <c r="H4" s="2582"/>
      <c r="I4" s="2582"/>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1" t="s">
        <v>1272</v>
      </c>
      <c r="C7" s="2582"/>
      <c r="D7" s="2582"/>
      <c r="E7" s="2582"/>
      <c r="F7" s="2582"/>
      <c r="G7" s="2582"/>
      <c r="H7" s="2582"/>
      <c r="I7" s="2582"/>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3"/>
      <c r="D11" s="2583"/>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4"/>
      <c r="E29" s="2584"/>
      <c r="F29" s="2584"/>
      <c r="G29" s="2584"/>
      <c r="H29" s="2584"/>
      <c r="I29" s="258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85" t="s">
        <v>1725</v>
      </c>
      <c r="D37" s="2586"/>
      <c r="E37" s="2586"/>
      <c r="F37" s="2587"/>
      <c r="G37" s="2585" t="s">
        <v>1572</v>
      </c>
      <c r="H37" s="2586"/>
      <c r="I37" s="2587"/>
    </row>
    <row r="38" spans="2:9" ht="16.5" customHeight="1" x14ac:dyDescent="0.2">
      <c r="B38" s="1200"/>
      <c r="C38" s="2573"/>
      <c r="D38" s="2574"/>
      <c r="E38" s="2574"/>
      <c r="F38" s="2575"/>
      <c r="G38" s="2588"/>
      <c r="H38" s="2589"/>
      <c r="I38" s="2590"/>
    </row>
    <row r="39" spans="2:9" ht="16.5" customHeight="1" x14ac:dyDescent="0.2">
      <c r="B39" s="1200"/>
      <c r="C39" s="2573"/>
      <c r="D39" s="2574"/>
      <c r="E39" s="2574"/>
      <c r="F39" s="2575"/>
      <c r="G39" s="2576"/>
      <c r="H39" s="2576"/>
      <c r="I39" s="2576"/>
    </row>
    <row r="40" spans="2:9" ht="16.5" customHeight="1" x14ac:dyDescent="0.2">
      <c r="B40" s="1200"/>
      <c r="C40" s="2573"/>
      <c r="D40" s="2574"/>
      <c r="E40" s="2574"/>
      <c r="F40" s="2575"/>
      <c r="G40" s="2576"/>
      <c r="H40" s="2576"/>
      <c r="I40" s="2576"/>
    </row>
    <row r="41" spans="2:9" ht="16.5" customHeight="1" x14ac:dyDescent="0.2">
      <c r="B41" s="1200"/>
      <c r="C41" s="2573"/>
      <c r="D41" s="2574"/>
      <c r="E41" s="2574"/>
      <c r="F41" s="2575"/>
      <c r="G41" s="2576"/>
      <c r="H41" s="2576"/>
      <c r="I41" s="2576"/>
    </row>
    <row r="42" spans="2:9" ht="16.5" customHeight="1" x14ac:dyDescent="0.2">
      <c r="B42" s="1200"/>
      <c r="C42" s="2573"/>
      <c r="D42" s="2574"/>
      <c r="E42" s="2574"/>
      <c r="F42" s="2575"/>
      <c r="G42" s="2576"/>
      <c r="H42" s="2576"/>
      <c r="I42" s="2576"/>
    </row>
    <row r="43" spans="2:9" ht="16.5" customHeight="1" x14ac:dyDescent="0.2">
      <c r="B43" s="1200"/>
      <c r="C43" s="2566" t="s">
        <v>1573</v>
      </c>
      <c r="D43" s="2567"/>
      <c r="E43" s="2567"/>
      <c r="F43" s="2568"/>
      <c r="G43" s="2569">
        <f>SUM(G38:I42)</f>
        <v>0</v>
      </c>
      <c r="H43" s="2569"/>
      <c r="I43" s="2569"/>
    </row>
    <row r="44" spans="2:9" ht="12.75" customHeight="1" x14ac:dyDescent="0.2"/>
    <row r="45" spans="2:9" ht="12.75" customHeight="1" x14ac:dyDescent="0.2">
      <c r="B45" s="1900" t="str">
        <f>"Total Federal Expenditures for 7/1/"&amp;MID('AFR20'!E2,3,2)-1&amp;"-6/30/"&amp;MID('AFR20'!E2,3,2)</f>
        <v>Total Federal Expenditures for 7/1/19-6/30/20</v>
      </c>
      <c r="C45" s="1901"/>
      <c r="D45" s="2570">
        <v>0</v>
      </c>
      <c r="E45" s="2571"/>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72"/>
      <c r="F49" s="2572"/>
      <c r="G49" s="2572"/>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Brownstown CUSD 201</v>
      </c>
      <c r="C1" s="2577"/>
      <c r="D1" s="2577"/>
      <c r="E1" s="2577"/>
      <c r="F1" s="2577"/>
      <c r="G1" s="2577"/>
      <c r="H1" s="2577"/>
      <c r="I1" s="2577"/>
      <c r="J1" s="2577"/>
      <c r="K1" s="2577"/>
      <c r="L1" s="1144"/>
      <c r="M1" s="1144"/>
    </row>
    <row r="2" spans="1:13" ht="12" customHeight="1" x14ac:dyDescent="0.2">
      <c r="B2" s="2579">
        <f>'Single Audit Cover'!E7</f>
        <v>3026201026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1147"/>
      <c r="M3" s="1147"/>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1</v>
      </c>
      <c r="E10" s="300"/>
      <c r="F10" s="1156" t="s">
        <v>1283</v>
      </c>
      <c r="G10" s="1157"/>
      <c r="H10" s="1158" t="s">
        <v>1282</v>
      </c>
      <c r="I10" s="1157" t="s">
        <v>2081</v>
      </c>
      <c r="J10" s="1159" t="s">
        <v>1281</v>
      </c>
      <c r="K10" s="300"/>
      <c r="L10" s="1151"/>
    </row>
    <row r="11" spans="1:13" ht="13.5" customHeight="1" x14ac:dyDescent="0.2">
      <c r="B11" s="300"/>
      <c r="C11" s="300"/>
      <c r="D11" s="300"/>
      <c r="E11" s="300"/>
      <c r="F11" s="300"/>
      <c r="G11" s="1153"/>
      <c r="H11" s="300"/>
      <c r="I11" s="1160" t="s">
        <v>1280</v>
      </c>
      <c r="J11" s="300"/>
      <c r="K11" s="1161">
        <v>2013</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2100</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2101</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2102</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2103</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2104</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7" t="s">
        <v>2105</v>
      </c>
      <c r="C29" s="2597"/>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2106</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Q29" sqref="Q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Brownstown CUSD 201</v>
      </c>
      <c r="C1" s="2577"/>
      <c r="D1" s="2577"/>
      <c r="E1" s="2577"/>
      <c r="F1" s="2577"/>
      <c r="G1" s="2577"/>
      <c r="H1" s="2577"/>
      <c r="I1" s="2577"/>
      <c r="J1" s="2577"/>
      <c r="K1" s="2577"/>
      <c r="L1" s="1144"/>
      <c r="M1" s="1144"/>
    </row>
    <row r="2" spans="1:13" ht="12" customHeight="1" x14ac:dyDescent="0.2">
      <c r="B2" s="2579">
        <f>'Single Audit Cover'!E7</f>
        <v>3026201026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2020"/>
      <c r="M3" s="2020"/>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2</v>
      </c>
      <c r="E10" s="300"/>
      <c r="F10" s="1156" t="s">
        <v>1283</v>
      </c>
      <c r="G10" s="1157" t="s">
        <v>2081</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2107</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2108</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2110</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2109</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2111</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7" t="s">
        <v>2112</v>
      </c>
      <c r="C29" s="2597"/>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2113</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6" zoomScale="110" zoomScaleNormal="110" workbookViewId="0">
      <selection activeCell="R31" sqref="R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7" t="str">
        <f>'Single Audit Cover'!A7</f>
        <v xml:space="preserve"> Brownstown CUSD 201</v>
      </c>
      <c r="C1" s="2577"/>
      <c r="D1" s="2577"/>
      <c r="E1" s="2577"/>
      <c r="F1" s="2577"/>
      <c r="G1" s="2577"/>
      <c r="H1" s="2577"/>
      <c r="I1" s="2577"/>
      <c r="J1" s="2577"/>
      <c r="K1" s="2577"/>
      <c r="L1" s="1144"/>
      <c r="M1" s="1144"/>
    </row>
    <row r="2" spans="1:13" ht="12" customHeight="1" x14ac:dyDescent="0.2">
      <c r="B2" s="2579">
        <f>'Single Audit Cover'!E7</f>
        <v>3026201026</v>
      </c>
      <c r="C2" s="2579"/>
      <c r="D2" s="2579"/>
      <c r="E2" s="2579"/>
      <c r="F2" s="2579"/>
      <c r="G2" s="2579"/>
      <c r="H2" s="2579"/>
      <c r="I2" s="2579"/>
      <c r="J2" s="2579"/>
      <c r="K2" s="2579"/>
      <c r="L2" s="1145"/>
      <c r="M2" s="1146"/>
    </row>
    <row r="3" spans="1:13" ht="10.35" customHeight="1" x14ac:dyDescent="0.2">
      <c r="B3" s="2593" t="s">
        <v>1273</v>
      </c>
      <c r="C3" s="2593"/>
      <c r="D3" s="2593"/>
      <c r="E3" s="2593"/>
      <c r="F3" s="2593"/>
      <c r="G3" s="2593"/>
      <c r="H3" s="2593"/>
      <c r="I3" s="2593"/>
      <c r="J3" s="2593"/>
      <c r="K3" s="2593"/>
      <c r="L3" s="2020"/>
      <c r="M3" s="2020"/>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3</v>
      </c>
      <c r="E10" s="300"/>
      <c r="F10" s="1156" t="s">
        <v>1283</v>
      </c>
      <c r="G10" s="1157" t="s">
        <v>2081</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2114</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2115</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2116</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2119</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2120</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7" t="s">
        <v>2117</v>
      </c>
      <c r="C29" s="2597"/>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2118</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2" t="str">
        <f>'Single Audit Cover'!A7</f>
        <v xml:space="preserve"> Brownstown CUSD 201</v>
      </c>
      <c r="C1" s="2602"/>
      <c r="D1" s="2602"/>
      <c r="E1" s="2602"/>
      <c r="F1" s="2602"/>
      <c r="G1" s="2602"/>
      <c r="H1" s="2602"/>
      <c r="I1" s="2602"/>
      <c r="J1" s="2602"/>
      <c r="K1" s="2602"/>
      <c r="L1" s="1221"/>
    </row>
    <row r="2" spans="1:12" ht="12.75" customHeight="1" x14ac:dyDescent="0.2">
      <c r="B2" s="2603">
        <f>'Single Audit Cover'!E7</f>
        <v>3026201026</v>
      </c>
      <c r="C2" s="2603"/>
      <c r="D2" s="2603"/>
      <c r="E2" s="2603"/>
      <c r="F2" s="2603"/>
      <c r="G2" s="2603"/>
      <c r="H2" s="2603"/>
      <c r="I2" s="2603"/>
      <c r="J2" s="2603"/>
      <c r="K2" s="2603"/>
      <c r="L2" s="1222"/>
    </row>
    <row r="3" spans="1:12" ht="12.75" customHeight="1" x14ac:dyDescent="0.2">
      <c r="B3" s="2593" t="s">
        <v>1273</v>
      </c>
      <c r="C3" s="2593"/>
      <c r="D3" s="2593"/>
      <c r="E3" s="2593"/>
      <c r="F3" s="2593"/>
      <c r="G3" s="2593"/>
      <c r="H3" s="2593"/>
      <c r="I3" s="2593"/>
      <c r="J3" s="2593"/>
      <c r="K3" s="2593"/>
      <c r="L3" s="1147"/>
    </row>
    <row r="4" spans="1:12" ht="12.75" customHeight="1" x14ac:dyDescent="0.2">
      <c r="B4" s="2593" t="str">
        <f>'Single Audit Cover'!A4</f>
        <v>Year Ending June 30, 2020</v>
      </c>
      <c r="C4" s="2593"/>
      <c r="D4" s="2593"/>
      <c r="E4" s="2593"/>
      <c r="F4" s="2593"/>
      <c r="G4" s="2593"/>
      <c r="H4" s="2593"/>
      <c r="I4" s="2593"/>
      <c r="J4" s="2593"/>
      <c r="K4" s="2593"/>
      <c r="L4" s="1147"/>
    </row>
    <row r="5" spans="1:12" ht="5.25" customHeight="1" x14ac:dyDescent="0.2">
      <c r="B5" s="1036" t="s">
        <v>1158</v>
      </c>
      <c r="C5" s="1036"/>
      <c r="L5" s="300"/>
    </row>
    <row r="6" spans="1:12" ht="30.75" customHeight="1" x14ac:dyDescent="0.2">
      <c r="A6" s="300"/>
      <c r="B6" s="2604" t="s">
        <v>1296</v>
      </c>
      <c r="C6" s="2604"/>
      <c r="D6" s="2604"/>
      <c r="E6" s="2604"/>
      <c r="F6" s="2604"/>
      <c r="G6" s="2604"/>
      <c r="H6" s="2604"/>
      <c r="I6" s="2604"/>
      <c r="J6" s="2604"/>
      <c r="K6" s="2604"/>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4"/>
      <c r="G12" s="2584"/>
      <c r="H12" s="2584"/>
      <c r="I12" s="2584"/>
      <c r="J12" s="2584"/>
      <c r="K12" s="258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9"/>
      <c r="E14" s="2599"/>
      <c r="F14" s="2599"/>
      <c r="H14" s="1230" t="s">
        <v>1291</v>
      </c>
      <c r="I14" s="2600"/>
      <c r="J14" s="2600"/>
      <c r="K14" s="260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0"/>
      <c r="E16" s="2600"/>
      <c r="F16" s="2600"/>
      <c r="G16" s="2600"/>
      <c r="H16" s="2600"/>
      <c r="I16" s="2600"/>
      <c r="J16" s="2600"/>
      <c r="K16" s="2600"/>
      <c r="L16" s="300"/>
    </row>
    <row r="17" spans="2:12" ht="13.5" customHeight="1" x14ac:dyDescent="0.2">
      <c r="B17" s="1156" t="s">
        <v>1289</v>
      </c>
      <c r="C17" s="1156"/>
      <c r="D17" s="2601"/>
      <c r="E17" s="2601"/>
      <c r="F17" s="2601"/>
      <c r="G17" s="2601"/>
      <c r="H17" s="2601"/>
      <c r="I17" s="2601"/>
      <c r="J17" s="2601"/>
      <c r="K17" s="260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8"/>
      <c r="C20" s="2598"/>
      <c r="D20" s="2598"/>
      <c r="E20" s="2598"/>
      <c r="F20" s="2598"/>
      <c r="G20" s="2598"/>
      <c r="H20" s="2598"/>
      <c r="I20" s="2598"/>
      <c r="J20" s="2598"/>
      <c r="K20" s="259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7" t="str">
        <f>'Single Audit Cover'!A7</f>
        <v xml:space="preserve"> Brownstown CUSD 201</v>
      </c>
      <c r="C1" s="2577"/>
      <c r="D1" s="2577"/>
      <c r="E1" s="1240"/>
    </row>
    <row r="2" spans="2:5" s="1058" customFormat="1" ht="12.75" customHeight="1" x14ac:dyDescent="0.2">
      <c r="B2" s="2579">
        <f>'Single Audit Cover'!E7</f>
        <v>3026201026</v>
      </c>
      <c r="C2" s="2579"/>
      <c r="D2" s="2579"/>
      <c r="E2" s="1241"/>
    </row>
    <row r="3" spans="2:5" ht="12.75" customHeight="1" x14ac:dyDescent="0.2">
      <c r="B3" s="2593" t="s">
        <v>1740</v>
      </c>
      <c r="C3" s="2593"/>
      <c r="D3" s="2593"/>
      <c r="E3" s="1050"/>
    </row>
    <row r="4" spans="2:5" s="1058" customFormat="1" ht="12.75" customHeight="1" x14ac:dyDescent="0.2">
      <c r="B4" s="2605" t="str">
        <f>'Single Audit Cover'!A4</f>
        <v>Year Ending June 30, 2020</v>
      </c>
      <c r="C4" s="2605"/>
      <c r="D4" s="2605"/>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25145145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1.7534999999999999E-2</v>
      </c>
      <c r="E10" s="333" t="s">
        <v>997</v>
      </c>
      <c r="F10" s="332">
        <v>5.4510000000000001E-3</v>
      </c>
      <c r="G10" s="333" t="s">
        <v>997</v>
      </c>
      <c r="H10" s="332">
        <v>1.9059999999999999E-3</v>
      </c>
      <c r="I10" s="333" t="s">
        <v>998</v>
      </c>
      <c r="J10" s="1424">
        <f>ROUND(D10+F10+H10,5)</f>
        <v>2.4889999999999999E-2</v>
      </c>
      <c r="K10" s="217"/>
      <c r="L10" s="332">
        <v>4.7699999999999999E-4</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4495517</v>
      </c>
      <c r="E16" s="1547"/>
      <c r="F16" s="1546">
        <f>SUM('Acct Summary 7-8'!C17,'Acct Summary 7-8'!D17,'Acct Summary 7-8'!F17)</f>
        <v>4401577</v>
      </c>
      <c r="G16" s="1547"/>
      <c r="H16" s="1546">
        <f>SUM(D16-F16)</f>
        <v>93940</v>
      </c>
      <c r="I16" s="1548"/>
      <c r="J16" s="1546">
        <f>SUM('Acct Summary 7-8'!C81,'Acct Summary 7-8'!D81,'Acct Summary 7-8'!F81,'Acct Summary 7-8'!I81)</f>
        <v>2535986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3470030.0100000002</v>
      </c>
      <c r="I31" s="345"/>
      <c r="J31" s="217"/>
      <c r="K31" s="217"/>
      <c r="L31" s="217"/>
      <c r="M31" s="217"/>
    </row>
    <row r="32" spans="1:13" ht="13.35" customHeight="1" x14ac:dyDescent="0.2">
      <c r="B32" s="346" t="s">
        <v>2081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3284257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1393</v>
      </c>
      <c r="B3" s="2193"/>
      <c r="C3" s="2193"/>
      <c r="D3" s="2193"/>
      <c r="E3" s="2193"/>
      <c r="F3" s="2193"/>
      <c r="G3" s="2193"/>
      <c r="H3" s="2193"/>
      <c r="I3" s="2193"/>
      <c r="J3" s="2193"/>
      <c r="K3" s="2193"/>
      <c r="L3" s="2193"/>
      <c r="M3" s="2193"/>
      <c r="N3" s="2193"/>
      <c r="O3" s="2193"/>
      <c r="P3" s="2193"/>
      <c r="Q3" s="2193"/>
      <c r="R3" s="2193"/>
    </row>
    <row r="4" spans="1:18" x14ac:dyDescent="0.2">
      <c r="A4" s="2194" t="s">
        <v>1534</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Brownstown CUSD 201</v>
      </c>
      <c r="E7" s="368"/>
      <c r="G7" s="247"/>
      <c r="H7" s="364"/>
      <c r="I7" s="364"/>
      <c r="J7" s="364"/>
      <c r="K7" s="364"/>
      <c r="L7" s="307"/>
      <c r="M7" s="307"/>
      <c r="N7" s="307"/>
      <c r="O7" s="307"/>
      <c r="P7" s="307"/>
    </row>
    <row r="8" spans="1:18" ht="12.75" x14ac:dyDescent="0.2">
      <c r="A8" s="307"/>
      <c r="B8" s="307"/>
      <c r="C8" s="366" t="s">
        <v>1114</v>
      </c>
      <c r="D8" s="369">
        <f>COVER!A13</f>
        <v>3026201026</v>
      </c>
      <c r="E8" s="370"/>
      <c r="G8" s="307"/>
      <c r="H8" s="307"/>
      <c r="I8" s="307"/>
      <c r="J8" s="307"/>
      <c r="K8" s="307"/>
      <c r="L8" s="307"/>
      <c r="M8" s="307"/>
      <c r="N8" s="307"/>
      <c r="O8" s="307"/>
      <c r="P8" s="307"/>
    </row>
    <row r="9" spans="1:18" ht="12.75" x14ac:dyDescent="0.2">
      <c r="A9" s="307"/>
      <c r="B9" s="307"/>
      <c r="C9" s="366" t="s">
        <v>707</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2535986</v>
      </c>
      <c r="I12" s="380"/>
      <c r="J12" s="380"/>
      <c r="K12" s="1559">
        <f>TRUNC((H12/H13*100000),5)/100000</f>
        <v>0.56411442769999998</v>
      </c>
      <c r="L12" s="381"/>
      <c r="M12" s="337" t="s">
        <v>1133</v>
      </c>
      <c r="N12" s="337"/>
      <c r="O12" s="1562">
        <v>0.35</v>
      </c>
      <c r="P12" s="213"/>
      <c r="Q12" s="213"/>
    </row>
    <row r="13" spans="1:18" s="382" customFormat="1" ht="12.75" x14ac:dyDescent="0.2">
      <c r="A13" s="213"/>
      <c r="B13" s="377"/>
      <c r="C13" s="2190" t="s">
        <v>1312</v>
      </c>
      <c r="D13" s="2191"/>
      <c r="E13" s="213"/>
      <c r="F13" s="383" t="s">
        <v>787</v>
      </c>
      <c r="G13" s="378"/>
      <c r="H13" s="1551">
        <f>SUM('Acct Summary 7-8'!C8+'Acct Summary 7-8'!D8+'Acct Summary 7-8'!F8+'Acct Summary 7-8'!I8)+H14</f>
        <v>4495517</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4401577</v>
      </c>
      <c r="I17" s="380"/>
      <c r="J17" s="389"/>
      <c r="K17" s="1559">
        <f>TRUNC((H17/H18*100000),5)/100000</f>
        <v>0.97910362699999998</v>
      </c>
      <c r="L17" s="381"/>
      <c r="M17" s="390" t="s">
        <v>1160</v>
      </c>
      <c r="O17" s="1565" t="str">
        <f>IF(AND(O16="2", J20 &gt; 2),"1",IF(AND(O16 = "1", J20 &gt; 2),"2",IF(AND(O16="1", J20 &gt;1),"1","0")))</f>
        <v>0</v>
      </c>
      <c r="P17" s="213"/>
    </row>
    <row r="18" spans="1:18" s="382" customFormat="1" ht="11.25" x14ac:dyDescent="0.2">
      <c r="A18" s="213"/>
      <c r="B18" s="377"/>
      <c r="C18" s="2190" t="s">
        <v>1305</v>
      </c>
      <c r="D18" s="2191"/>
      <c r="E18" s="213"/>
      <c r="F18" s="391" t="s">
        <v>788</v>
      </c>
      <c r="G18" s="378"/>
      <c r="H18" s="1551">
        <f>SUM('Acct Summary 7-8'!C8+'Acct Summary 7-8'!D8+'Acct Summary 7-8'!F8+'Acct Summary 7-8'!I8)+H19</f>
        <v>4495517</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7" t="s">
        <v>1392</v>
      </c>
      <c r="D24" s="2187"/>
      <c r="E24" s="213"/>
      <c r="F24" s="213" t="s">
        <v>442</v>
      </c>
      <c r="G24" s="378"/>
      <c r="H24" s="1551">
        <f>SUM('Assets-Liab 5-6'!C4+'Assets-Liab 5-6'!D4+'Assets-Liab 5-6'!F4+'Assets-Liab 5-6'!I4+'Assets-Liab 5-6'!C5+'Assets-Liab 5-6'!D5+'Assets-Liab 5-6'!F5+'Assets-Liab 5-6'!I5)</f>
        <v>2534617</v>
      </c>
      <c r="I24" s="394"/>
      <c r="J24" s="394"/>
      <c r="K24" s="1555">
        <f>TRUNC(((H24/H25*100000)/100000),2)</f>
        <v>207.3</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12226.602779999999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531983.26018999994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3284257</v>
      </c>
      <c r="I32" s="392"/>
      <c r="J32" s="392"/>
      <c r="K32" s="1555">
        <f>TRUNC(100-((((H32/H33*100))*100)/100),2)</f>
        <v>5.35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3470030.0100000002</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C9" sqref="C9"/>
      <selection pane="bottomLeft" activeCell="M23" sqref="M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7" t="s">
        <v>966</v>
      </c>
      <c r="B3" s="2198"/>
      <c r="C3" s="1306"/>
      <c r="D3" s="1307"/>
      <c r="E3" s="1307"/>
      <c r="F3" s="1307"/>
      <c r="G3" s="1307"/>
      <c r="H3" s="1307"/>
      <c r="I3" s="1307"/>
      <c r="J3" s="1307"/>
      <c r="K3" s="1307"/>
      <c r="L3" s="1307"/>
      <c r="M3" s="1308"/>
      <c r="N3" s="1309"/>
    </row>
    <row r="4" spans="1:14" ht="13.5" customHeight="1" x14ac:dyDescent="0.2">
      <c r="A4" s="427" t="s">
        <v>1629</v>
      </c>
      <c r="B4" s="428"/>
      <c r="C4" s="1572">
        <v>1869012</v>
      </c>
      <c r="D4" s="1572">
        <v>134677</v>
      </c>
      <c r="E4" s="1572">
        <v>119271</v>
      </c>
      <c r="F4" s="1572">
        <v>178181</v>
      </c>
      <c r="G4" s="1572">
        <v>173125</v>
      </c>
      <c r="H4" s="1572">
        <v>1383622</v>
      </c>
      <c r="I4" s="1572">
        <v>92147</v>
      </c>
      <c r="J4" s="1572">
        <v>114100</v>
      </c>
      <c r="K4" s="1572">
        <v>123426</v>
      </c>
      <c r="L4" s="1573">
        <v>67051</v>
      </c>
      <c r="M4" s="1575"/>
      <c r="N4" s="1576"/>
    </row>
    <row r="5" spans="1:14" x14ac:dyDescent="0.2">
      <c r="A5" s="427" t="s">
        <v>984</v>
      </c>
      <c r="B5" s="429">
        <v>120</v>
      </c>
      <c r="C5" s="1572">
        <v>260600</v>
      </c>
      <c r="D5" s="1572">
        <v>0</v>
      </c>
      <c r="E5" s="1572">
        <v>0</v>
      </c>
      <c r="F5" s="1572">
        <v>0</v>
      </c>
      <c r="G5" s="1572">
        <v>0</v>
      </c>
      <c r="H5" s="1572">
        <v>0</v>
      </c>
      <c r="I5" s="1572">
        <v>0</v>
      </c>
      <c r="J5" s="1572">
        <v>0</v>
      </c>
      <c r="K5" s="1572">
        <v>0</v>
      </c>
      <c r="L5" s="1578"/>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1358</v>
      </c>
      <c r="D12" s="1572">
        <v>11</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2130970</v>
      </c>
      <c r="D13" s="1587">
        <f t="shared" ref="D13:L13" si="0">SUM(D4:D12)</f>
        <v>134688</v>
      </c>
      <c r="E13" s="1587">
        <f t="shared" si="0"/>
        <v>119271</v>
      </c>
      <c r="F13" s="1587">
        <f t="shared" si="0"/>
        <v>178181</v>
      </c>
      <c r="G13" s="1587">
        <f t="shared" si="0"/>
        <v>173125</v>
      </c>
      <c r="H13" s="1587">
        <f t="shared" si="0"/>
        <v>1383622</v>
      </c>
      <c r="I13" s="1587">
        <f t="shared" si="0"/>
        <v>92147</v>
      </c>
      <c r="J13" s="1587">
        <f t="shared" si="0"/>
        <v>114100</v>
      </c>
      <c r="K13" s="1587">
        <f t="shared" si="0"/>
        <v>123426</v>
      </c>
      <c r="L13" s="1587">
        <f t="shared" si="0"/>
        <v>67051</v>
      </c>
      <c r="M13" s="1575"/>
      <c r="N13" s="1576"/>
    </row>
    <row r="14" spans="1:14" ht="18" customHeight="1" thickTop="1" x14ac:dyDescent="0.2">
      <c r="A14" s="2199" t="s">
        <v>146</v>
      </c>
      <c r="B14" s="2200"/>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46608</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6342906</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366758</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740787</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1139903</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119271</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3164986</v>
      </c>
    </row>
    <row r="23" spans="1:14" ht="13.5" customHeight="1" thickBot="1" x14ac:dyDescent="0.25">
      <c r="A23" s="1426" t="s">
        <v>638</v>
      </c>
      <c r="B23" s="1429"/>
      <c r="C23" s="1575"/>
      <c r="D23" s="1575"/>
      <c r="E23" s="1575"/>
      <c r="F23" s="1575"/>
      <c r="G23" s="1575"/>
      <c r="H23" s="1575"/>
      <c r="I23" s="1575"/>
      <c r="J23" s="1575"/>
      <c r="K23" s="1575"/>
      <c r="L23" s="1575"/>
      <c r="M23" s="1594">
        <f>SUM(M15:M22)</f>
        <v>8636962</v>
      </c>
      <c r="N23" s="1594">
        <f>SUM(N21:N22)</f>
        <v>3284257</v>
      </c>
    </row>
    <row r="24" spans="1:14" ht="18" customHeight="1" thickTop="1" x14ac:dyDescent="0.2">
      <c r="A24" s="2201" t="s">
        <v>594</v>
      </c>
      <c r="B24" s="220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0</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67051</v>
      </c>
      <c r="M33" s="1575"/>
      <c r="N33" s="1576"/>
    </row>
    <row r="34" spans="1:14" ht="13.5" customHeight="1" thickBot="1" x14ac:dyDescent="0.25">
      <c r="A34" s="1427" t="s">
        <v>649</v>
      </c>
      <c r="B34" s="1428"/>
      <c r="C34" s="1598">
        <f>SUM(C25:C33)</f>
        <v>0</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67051</v>
      </c>
      <c r="M34" s="1575"/>
      <c r="N34" s="1585"/>
    </row>
    <row r="35" spans="1:14" ht="18" customHeight="1" thickTop="1" x14ac:dyDescent="0.2">
      <c r="A35" s="2203" t="s">
        <v>526</v>
      </c>
      <c r="B35" s="2204"/>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3284257</v>
      </c>
    </row>
    <row r="37" spans="1:14" ht="13.5" thickBot="1" x14ac:dyDescent="0.25">
      <c r="A37" s="1426" t="s">
        <v>648</v>
      </c>
      <c r="B37" s="1429"/>
      <c r="C37" s="1582"/>
      <c r="D37" s="1582"/>
      <c r="E37" s="1582"/>
      <c r="F37" s="1582"/>
      <c r="G37" s="1582"/>
      <c r="H37" s="1582"/>
      <c r="I37" s="1582"/>
      <c r="J37" s="1582"/>
      <c r="K37" s="1582"/>
      <c r="L37" s="1585"/>
      <c r="M37" s="1575"/>
      <c r="N37" s="1594">
        <f>SUM(N36:N36)</f>
        <v>3284257</v>
      </c>
    </row>
    <row r="38" spans="1:14" s="307" customFormat="1" ht="13.5" customHeight="1" thickTop="1" x14ac:dyDescent="0.2">
      <c r="A38" s="438" t="s">
        <v>417</v>
      </c>
      <c r="B38" s="432">
        <v>714</v>
      </c>
      <c r="C38" s="1573">
        <v>169308</v>
      </c>
      <c r="D38" s="1573"/>
      <c r="E38" s="1573">
        <v>116672</v>
      </c>
      <c r="F38" s="1573"/>
      <c r="G38" s="1573">
        <v>12149</v>
      </c>
      <c r="H38" s="1573">
        <v>58453</v>
      </c>
      <c r="I38" s="1573"/>
      <c r="J38" s="1574"/>
      <c r="K38" s="1573"/>
      <c r="L38" s="1586"/>
      <c r="M38" s="1602"/>
      <c r="N38" s="1602"/>
    </row>
    <row r="39" spans="1:14" s="307" customFormat="1" ht="13.5" customHeight="1" x14ac:dyDescent="0.2">
      <c r="A39" s="438" t="s">
        <v>339</v>
      </c>
      <c r="B39" s="432">
        <v>730</v>
      </c>
      <c r="C39" s="1573">
        <v>1961662</v>
      </c>
      <c r="D39" s="1573">
        <v>134688</v>
      </c>
      <c r="E39" s="1573">
        <v>2599</v>
      </c>
      <c r="F39" s="1573">
        <v>178181</v>
      </c>
      <c r="G39" s="1573">
        <v>160976</v>
      </c>
      <c r="H39" s="1573">
        <v>1325169</v>
      </c>
      <c r="I39" s="1573">
        <v>92147</v>
      </c>
      <c r="J39" s="1574">
        <v>114100</v>
      </c>
      <c r="K39" s="1573">
        <v>123426</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8636962</v>
      </c>
      <c r="N40" s="1602"/>
    </row>
    <row r="41" spans="1:14" ht="13.5" customHeight="1" thickBot="1" x14ac:dyDescent="0.25">
      <c r="A41" s="1426" t="s">
        <v>650</v>
      </c>
      <c r="B41" s="1405"/>
      <c r="C41" s="1594">
        <f>(SUM(C34,C37,C38,C39))</f>
        <v>2130970</v>
      </c>
      <c r="D41" s="1594">
        <f t="shared" ref="D41:L41" si="2">SUM(D34,D37,D38:D39)</f>
        <v>134688</v>
      </c>
      <c r="E41" s="1594">
        <f t="shared" si="2"/>
        <v>119271</v>
      </c>
      <c r="F41" s="1594">
        <f t="shared" si="2"/>
        <v>178181</v>
      </c>
      <c r="G41" s="1594">
        <f t="shared" si="2"/>
        <v>173125</v>
      </c>
      <c r="H41" s="1594">
        <f t="shared" si="2"/>
        <v>1383622</v>
      </c>
      <c r="I41" s="1594">
        <f t="shared" si="2"/>
        <v>92147</v>
      </c>
      <c r="J41" s="1594">
        <f t="shared" si="2"/>
        <v>114100</v>
      </c>
      <c r="K41" s="1594">
        <f t="shared" si="2"/>
        <v>123426</v>
      </c>
      <c r="L41" s="1594">
        <f t="shared" si="2"/>
        <v>67051</v>
      </c>
      <c r="M41" s="1594">
        <f>SUM(M40)</f>
        <v>8636962</v>
      </c>
      <c r="N41" s="1594">
        <f>SUM(N37)</f>
        <v>3284257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9" sqref="C9"/>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5" t="s">
        <v>1164</v>
      </c>
      <c r="B3" s="2226"/>
      <c r="C3" s="1311"/>
      <c r="D3" s="1312"/>
      <c r="E3" s="1312"/>
      <c r="F3" s="1312"/>
      <c r="G3" s="1312"/>
      <c r="H3" s="1312"/>
      <c r="I3" s="1312"/>
      <c r="J3" s="1312"/>
      <c r="K3" s="1313"/>
      <c r="L3" s="446"/>
    </row>
    <row r="4" spans="1:13" ht="15.75" customHeight="1" x14ac:dyDescent="0.2">
      <c r="A4" s="1537" t="s">
        <v>1479</v>
      </c>
      <c r="B4" s="1538">
        <v>1000</v>
      </c>
      <c r="C4" s="1604">
        <f>'Revenues 9-14'!C109</f>
        <v>611644</v>
      </c>
      <c r="D4" s="1604">
        <f>'Revenues 9-14'!D109</f>
        <v>141546</v>
      </c>
      <c r="E4" s="1604">
        <f>'Revenues 9-14'!E109</f>
        <v>269115</v>
      </c>
      <c r="F4" s="1604">
        <f>'Revenues 9-14'!F109</f>
        <v>44773</v>
      </c>
      <c r="G4" s="1604">
        <f>'Revenues 9-14'!G109</f>
        <v>135506</v>
      </c>
      <c r="H4" s="1604">
        <f>'Revenues 9-14'!H109</f>
        <v>12433</v>
      </c>
      <c r="I4" s="1604">
        <f>'Revenues 9-14'!I109</f>
        <v>12655</v>
      </c>
      <c r="J4" s="1604">
        <f>'Revenues 9-14'!J109</f>
        <v>115123</v>
      </c>
      <c r="K4" s="1604">
        <f>'Revenues 9-14'!K109</f>
        <v>11539</v>
      </c>
      <c r="L4" s="325"/>
    </row>
    <row r="5" spans="1:13" ht="15.75" customHeight="1" x14ac:dyDescent="0.2">
      <c r="A5" s="1314" t="s">
        <v>1480</v>
      </c>
      <c r="B5" s="1315">
        <v>2000</v>
      </c>
      <c r="C5" s="1605">
        <f>'Revenues 9-14'!C114</f>
        <v>622336</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2198985</v>
      </c>
      <c r="D6" s="1605">
        <f>'Revenues 9-14'!D170</f>
        <v>80000</v>
      </c>
      <c r="E6" s="1605">
        <f>'Revenues 9-14'!E170</f>
        <v>0</v>
      </c>
      <c r="F6" s="1605">
        <f>'Revenues 9-14'!F170</f>
        <v>258104</v>
      </c>
      <c r="G6" s="1605">
        <f>'Revenues 9-14'!G170</f>
        <v>12000</v>
      </c>
      <c r="H6" s="1605">
        <f>'Revenues 9-14'!H170</f>
        <v>50000</v>
      </c>
      <c r="I6" s="1605">
        <f>'Revenues 9-14'!I170</f>
        <v>0</v>
      </c>
      <c r="J6" s="1605">
        <f>'Revenues 9-14'!J170</f>
        <v>0</v>
      </c>
      <c r="K6" s="1605">
        <f>'Revenues 9-14'!K170</f>
        <v>0</v>
      </c>
      <c r="L6" s="325"/>
      <c r="M6" s="448"/>
    </row>
    <row r="7" spans="1:13" ht="15.75" customHeight="1" x14ac:dyDescent="0.2">
      <c r="A7" s="1314" t="s">
        <v>1482</v>
      </c>
      <c r="B7" s="1316">
        <v>4000</v>
      </c>
      <c r="C7" s="1605">
        <f>'Revenues 9-14'!C267</f>
        <v>525474</v>
      </c>
      <c r="D7" s="1605">
        <f>'Revenues 9-14'!D267</f>
        <v>0</v>
      </c>
      <c r="E7" s="1605">
        <f>'Revenues 9-14'!E267</f>
        <v>17767</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3958439</v>
      </c>
      <c r="D8" s="1594">
        <f t="shared" ref="D8:K8" si="0">SUM(D4:D7)</f>
        <v>221546</v>
      </c>
      <c r="E8" s="1594">
        <f t="shared" si="0"/>
        <v>286882</v>
      </c>
      <c r="F8" s="1594">
        <f t="shared" si="0"/>
        <v>302877</v>
      </c>
      <c r="G8" s="1594">
        <f t="shared" si="0"/>
        <v>147506</v>
      </c>
      <c r="H8" s="1594">
        <f t="shared" si="0"/>
        <v>62433</v>
      </c>
      <c r="I8" s="1594">
        <f t="shared" si="0"/>
        <v>12655</v>
      </c>
      <c r="J8" s="1594">
        <f t="shared" si="0"/>
        <v>115123</v>
      </c>
      <c r="K8" s="1594">
        <f t="shared" si="0"/>
        <v>11539</v>
      </c>
      <c r="L8" s="325"/>
    </row>
    <row r="9" spans="1:13" ht="15.75" thickTop="1" x14ac:dyDescent="0.2">
      <c r="A9" s="449" t="s">
        <v>1631</v>
      </c>
      <c r="B9" s="450">
        <v>3998</v>
      </c>
      <c r="C9" s="1586">
        <v>1435931</v>
      </c>
      <c r="D9" s="1611"/>
      <c r="E9" s="1586"/>
      <c r="F9" s="1586"/>
      <c r="G9" s="1612"/>
      <c r="H9" s="1586"/>
      <c r="I9" s="1607" t="s">
        <v>1158</v>
      </c>
      <c r="J9" s="1583"/>
      <c r="K9" s="1586"/>
      <c r="L9" s="325"/>
    </row>
    <row r="10" spans="1:13" s="452" customFormat="1" ht="13.5" thickBot="1" x14ac:dyDescent="0.25">
      <c r="A10" s="1426" t="s">
        <v>1162</v>
      </c>
      <c r="B10" s="1407"/>
      <c r="C10" s="1594">
        <f>SUM(C8:C9)</f>
        <v>5394370</v>
      </c>
      <c r="D10" s="1594">
        <f t="shared" ref="D10:K10" si="1">SUM(D8:D9)</f>
        <v>221546</v>
      </c>
      <c r="E10" s="1594">
        <f t="shared" si="1"/>
        <v>286882</v>
      </c>
      <c r="F10" s="1594">
        <f t="shared" si="1"/>
        <v>302877</v>
      </c>
      <c r="G10" s="1594">
        <f t="shared" si="1"/>
        <v>147506</v>
      </c>
      <c r="H10" s="1594">
        <f t="shared" si="1"/>
        <v>62433</v>
      </c>
      <c r="I10" s="1594">
        <f t="shared" si="1"/>
        <v>12655</v>
      </c>
      <c r="J10" s="1594">
        <f t="shared" si="1"/>
        <v>115123</v>
      </c>
      <c r="K10" s="1594">
        <f t="shared" si="1"/>
        <v>11539</v>
      </c>
      <c r="L10" s="451"/>
    </row>
    <row r="11" spans="1:13" s="452" customFormat="1" ht="16.7" customHeight="1" thickTop="1" x14ac:dyDescent="0.2">
      <c r="A11" s="2199" t="s">
        <v>1165</v>
      </c>
      <c r="B11" s="2200"/>
      <c r="C11" s="1600"/>
      <c r="D11" s="1601"/>
      <c r="E11" s="1601"/>
      <c r="F11" s="1601"/>
      <c r="G11" s="1601"/>
      <c r="H11" s="1601"/>
      <c r="I11" s="1601"/>
      <c r="J11" s="1601"/>
      <c r="K11" s="1613"/>
      <c r="L11" s="451"/>
    </row>
    <row r="12" spans="1:13" ht="15.75" customHeight="1" x14ac:dyDescent="0.2">
      <c r="A12" s="1314" t="s">
        <v>453</v>
      </c>
      <c r="B12" s="1316">
        <v>1000</v>
      </c>
      <c r="C12" s="1604">
        <f>'Expenditures 15-22'!K33</f>
        <v>1879518</v>
      </c>
      <c r="D12" s="1614" t="s">
        <v>1158</v>
      </c>
      <c r="E12" s="1575" t="s">
        <v>1158</v>
      </c>
      <c r="F12" s="1575" t="s">
        <v>1158</v>
      </c>
      <c r="G12" s="1604">
        <f>'Expenditures 15-22'!K229</f>
        <v>31867</v>
      </c>
      <c r="H12" s="1615"/>
      <c r="I12" s="1575" t="s">
        <v>1158</v>
      </c>
      <c r="J12" s="1575" t="s">
        <v>1158</v>
      </c>
      <c r="K12" s="1615" t="s">
        <v>1158</v>
      </c>
      <c r="L12" s="325"/>
    </row>
    <row r="13" spans="1:13" ht="15.75" customHeight="1" x14ac:dyDescent="0.2">
      <c r="A13" s="1314" t="s">
        <v>454</v>
      </c>
      <c r="B13" s="1316">
        <v>2000</v>
      </c>
      <c r="C13" s="1605">
        <f>'Expenditures 15-22'!K74</f>
        <v>1084319</v>
      </c>
      <c r="D13" s="1605">
        <f>'Expenditures 15-22'!K129</f>
        <v>313053</v>
      </c>
      <c r="E13" s="1576" t="s">
        <v>1158</v>
      </c>
      <c r="F13" s="1605">
        <f>'Expenditures 15-22'!K184</f>
        <v>260303</v>
      </c>
      <c r="G13" s="1605">
        <f>'Expenditures 15-22'!K279</f>
        <v>84791</v>
      </c>
      <c r="H13" s="1605">
        <f>'Expenditures 15-22'!K303</f>
        <v>1141953</v>
      </c>
      <c r="I13" s="1575" t="s">
        <v>1158</v>
      </c>
      <c r="J13" s="1605">
        <f>'Expenditures 15-22'!K330</f>
        <v>91143</v>
      </c>
      <c r="K13" s="1616">
        <f>'Expenditures 15-22'!K352</f>
        <v>1946</v>
      </c>
      <c r="L13" s="325"/>
    </row>
    <row r="14" spans="1:13" ht="15.75" customHeight="1" x14ac:dyDescent="0.2">
      <c r="A14" s="1314" t="s">
        <v>446</v>
      </c>
      <c r="B14" s="1316">
        <v>3000</v>
      </c>
      <c r="C14" s="1605">
        <f>'Expenditures 15-22'!K75</f>
        <v>32036</v>
      </c>
      <c r="D14" s="1605">
        <f>'Expenditures 15-22'!K130</f>
        <v>0</v>
      </c>
      <c r="E14" s="1614" t="s">
        <v>1158</v>
      </c>
      <c r="F14" s="1605">
        <f>'Expenditures 15-22'!K185</f>
        <v>0</v>
      </c>
      <c r="G14" s="1605">
        <f>'Expenditures 15-22'!K280</f>
        <v>3593</v>
      </c>
      <c r="H14" s="1610"/>
      <c r="I14" s="1575" t="s">
        <v>1158</v>
      </c>
      <c r="J14" s="1575" t="s">
        <v>1158</v>
      </c>
      <c r="K14" s="1610" t="s">
        <v>1158</v>
      </c>
      <c r="L14" s="325"/>
    </row>
    <row r="15" spans="1:13" ht="15.75" customHeight="1" x14ac:dyDescent="0.2">
      <c r="A15" s="1314" t="s">
        <v>107</v>
      </c>
      <c r="B15" s="1316">
        <v>4000</v>
      </c>
      <c r="C15" s="1605">
        <f>'Expenditures 15-22'!K102</f>
        <v>832348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171701</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3828221</v>
      </c>
      <c r="D17" s="1594">
        <f t="shared" si="2"/>
        <v>313053</v>
      </c>
      <c r="E17" s="1594">
        <f t="shared" si="2"/>
        <v>171701</v>
      </c>
      <c r="F17" s="1594">
        <f t="shared" si="2"/>
        <v>260303</v>
      </c>
      <c r="G17" s="1594">
        <f t="shared" si="2"/>
        <v>120251</v>
      </c>
      <c r="H17" s="1594">
        <f t="shared" si="2"/>
        <v>1141953</v>
      </c>
      <c r="I17" s="1575"/>
      <c r="J17" s="1594">
        <f>SUM(J12:J16)</f>
        <v>91143</v>
      </c>
      <c r="K17" s="1594">
        <f>SUM(K12:K16)</f>
        <v>1946</v>
      </c>
      <c r="L17" s="325"/>
    </row>
    <row r="18" spans="1:12" ht="15" customHeight="1" thickTop="1" x14ac:dyDescent="0.2">
      <c r="A18" s="1430" t="s">
        <v>1632</v>
      </c>
      <c r="B18" s="1431">
        <v>4180</v>
      </c>
      <c r="C18" s="1604">
        <f t="shared" ref="C18:H18" si="3">C9</f>
        <v>1435931</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5264152</v>
      </c>
      <c r="D19" s="1594">
        <f t="shared" si="4"/>
        <v>313053</v>
      </c>
      <c r="E19" s="1594">
        <f t="shared" si="4"/>
        <v>171701</v>
      </c>
      <c r="F19" s="1594">
        <f t="shared" si="4"/>
        <v>260303</v>
      </c>
      <c r="G19" s="1594">
        <f t="shared" si="4"/>
        <v>120251</v>
      </c>
      <c r="H19" s="1594">
        <f t="shared" si="4"/>
        <v>1141953</v>
      </c>
      <c r="I19" s="1575"/>
      <c r="J19" s="1594">
        <f>SUM(J17:J18)</f>
        <v>91143</v>
      </c>
      <c r="K19" s="1594">
        <f>SUM(K17:K18)</f>
        <v>1946</v>
      </c>
      <c r="L19" s="325"/>
    </row>
    <row r="20" spans="1:12" ht="16.5" thickTop="1" thickBot="1" x14ac:dyDescent="0.25">
      <c r="A20" s="2215" t="s">
        <v>1633</v>
      </c>
      <c r="B20" s="2216"/>
      <c r="C20" s="1620">
        <f>C8-C17</f>
        <v>130218</v>
      </c>
      <c r="D20" s="1620">
        <f t="shared" ref="D20:K20" si="5">D8-D17</f>
        <v>-91507</v>
      </c>
      <c r="E20" s="1620">
        <f t="shared" si="5"/>
        <v>115181</v>
      </c>
      <c r="F20" s="1620">
        <f t="shared" si="5"/>
        <v>42574</v>
      </c>
      <c r="G20" s="1620">
        <f t="shared" si="5"/>
        <v>27255</v>
      </c>
      <c r="H20" s="1620">
        <f t="shared" si="5"/>
        <v>-1079520</v>
      </c>
      <c r="I20" s="1620">
        <f t="shared" si="5"/>
        <v>12655</v>
      </c>
      <c r="J20" s="1620">
        <f t="shared" si="5"/>
        <v>23980</v>
      </c>
      <c r="K20" s="1620">
        <f t="shared" si="5"/>
        <v>9593</v>
      </c>
      <c r="L20" s="325"/>
    </row>
    <row r="21" spans="1:12" ht="16.7" customHeight="1" thickTop="1" x14ac:dyDescent="0.2">
      <c r="A21" s="2227" t="s">
        <v>591</v>
      </c>
      <c r="B21" s="2228"/>
      <c r="C21" s="1600"/>
      <c r="D21" s="1601"/>
      <c r="E21" s="1601"/>
      <c r="F21" s="1601"/>
      <c r="G21" s="1601"/>
      <c r="H21" s="1601"/>
      <c r="I21" s="1601"/>
      <c r="J21" s="1601"/>
      <c r="K21" s="1613"/>
      <c r="L21" s="453"/>
    </row>
    <row r="22" spans="1:12" ht="15.75" customHeight="1" collapsed="1" x14ac:dyDescent="0.2">
      <c r="A22" s="2223" t="s">
        <v>592</v>
      </c>
      <c r="B22" s="2224"/>
      <c r="C22" s="1582"/>
      <c r="D22" s="1582"/>
      <c r="E22" s="1582"/>
      <c r="F22" s="1582"/>
      <c r="G22" s="1582"/>
      <c r="H22" s="1582"/>
      <c r="I22" s="1582"/>
      <c r="J22" s="1582"/>
      <c r="K22" s="1582"/>
      <c r="L22" s="325"/>
    </row>
    <row r="23" spans="1:12" s="433" customFormat="1" ht="15.75" customHeight="1" x14ac:dyDescent="0.2">
      <c r="A23" s="2219" t="s">
        <v>290</v>
      </c>
      <c r="B23" s="2220"/>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150000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50000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1" t="s">
        <v>973</v>
      </c>
      <c r="B32" s="222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2500000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9" t="s">
        <v>371</v>
      </c>
      <c r="B44" s="2230"/>
      <c r="C44" s="1622">
        <f>SUM(C24:C43)</f>
        <v>150000</v>
      </c>
      <c r="D44" s="1622">
        <f t="shared" ref="D44:K44" si="6">SUM(D24:D43)</f>
        <v>50000</v>
      </c>
      <c r="E44" s="1622">
        <f t="shared" si="6"/>
        <v>0</v>
      </c>
      <c r="F44" s="1622">
        <f t="shared" si="6"/>
        <v>0</v>
      </c>
      <c r="G44" s="1622">
        <f t="shared" si="6"/>
        <v>0</v>
      </c>
      <c r="H44" s="1622">
        <f t="shared" si="6"/>
        <v>2500000</v>
      </c>
      <c r="I44" s="1622">
        <f t="shared" si="6"/>
        <v>0</v>
      </c>
      <c r="J44" s="1622">
        <f t="shared" si="6"/>
        <v>0</v>
      </c>
      <c r="K44" s="1622">
        <f t="shared" si="6"/>
        <v>0</v>
      </c>
      <c r="L44" s="453"/>
    </row>
    <row r="45" spans="1:12" ht="15.75" customHeight="1" thickTop="1" x14ac:dyDescent="0.2">
      <c r="A45" s="2223" t="s">
        <v>108</v>
      </c>
      <c r="B45" s="2224"/>
      <c r="C45" s="1623"/>
      <c r="D45" s="1623"/>
      <c r="E45" s="1623"/>
      <c r="F45" s="1623"/>
      <c r="G45" s="1623"/>
      <c r="H45" s="1623"/>
      <c r="I45" s="1623"/>
      <c r="J45" s="1623"/>
      <c r="K45" s="1623"/>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150000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50000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45750</v>
      </c>
      <c r="I75" s="1574">
        <v>0</v>
      </c>
      <c r="J75" s="1574">
        <v>0</v>
      </c>
      <c r="K75" s="1574">
        <v>0</v>
      </c>
      <c r="L75" s="453"/>
    </row>
    <row r="76" spans="1:12" s="433" customFormat="1" ht="13.5" thickBot="1" x14ac:dyDescent="0.25">
      <c r="A76" s="2205" t="s">
        <v>437</v>
      </c>
      <c r="B76" s="2206"/>
      <c r="C76" s="1622">
        <f t="shared" ref="C76:K76" si="7">SUM(C47:C75)</f>
        <v>50000</v>
      </c>
      <c r="D76" s="1622">
        <f t="shared" si="7"/>
        <v>0</v>
      </c>
      <c r="E76" s="1622">
        <f t="shared" si="7"/>
        <v>0</v>
      </c>
      <c r="F76" s="1622">
        <f t="shared" si="7"/>
        <v>0</v>
      </c>
      <c r="G76" s="1622">
        <f t="shared" si="7"/>
        <v>0</v>
      </c>
      <c r="H76" s="1622">
        <f t="shared" si="7"/>
        <v>45750</v>
      </c>
      <c r="I76" s="1622">
        <f t="shared" si="7"/>
        <v>150000</v>
      </c>
      <c r="J76" s="1622">
        <f t="shared" si="7"/>
        <v>0</v>
      </c>
      <c r="K76" s="1622">
        <f t="shared" si="7"/>
        <v>0</v>
      </c>
      <c r="L76" s="453"/>
    </row>
    <row r="77" spans="1:12" ht="14.25" thickTop="1" thickBot="1" x14ac:dyDescent="0.25">
      <c r="A77" s="2207" t="s">
        <v>1166</v>
      </c>
      <c r="B77" s="2208"/>
      <c r="C77" s="1622">
        <f t="shared" ref="C77:K77" si="8">C44-C76</f>
        <v>100000</v>
      </c>
      <c r="D77" s="1622">
        <f t="shared" si="8"/>
        <v>50000</v>
      </c>
      <c r="E77" s="1622">
        <f t="shared" si="8"/>
        <v>0</v>
      </c>
      <c r="F77" s="1622">
        <f t="shared" si="8"/>
        <v>0</v>
      </c>
      <c r="G77" s="1622">
        <f t="shared" si="8"/>
        <v>0</v>
      </c>
      <c r="H77" s="1622">
        <f t="shared" si="8"/>
        <v>2454250</v>
      </c>
      <c r="I77" s="1622">
        <f t="shared" si="8"/>
        <v>-150000</v>
      </c>
      <c r="J77" s="1622">
        <f t="shared" si="8"/>
        <v>0</v>
      </c>
      <c r="K77" s="1622">
        <f t="shared" si="8"/>
        <v>0</v>
      </c>
      <c r="L77" s="325"/>
    </row>
    <row r="78" spans="1:12" ht="21.75" customHeight="1" thickTop="1" thickBot="1" x14ac:dyDescent="0.25">
      <c r="A78" s="2211" t="s">
        <v>593</v>
      </c>
      <c r="B78" s="2212"/>
      <c r="C78" s="1627">
        <f t="shared" ref="C78:K78" si="9">C20+C77</f>
        <v>230218</v>
      </c>
      <c r="D78" s="1627">
        <f t="shared" si="9"/>
        <v>-41507</v>
      </c>
      <c r="E78" s="1627">
        <f t="shared" si="9"/>
        <v>115181</v>
      </c>
      <c r="F78" s="1627">
        <f t="shared" si="9"/>
        <v>42574</v>
      </c>
      <c r="G78" s="1627">
        <f t="shared" si="9"/>
        <v>27255</v>
      </c>
      <c r="H78" s="1627">
        <f t="shared" si="9"/>
        <v>1374730</v>
      </c>
      <c r="I78" s="1627">
        <f t="shared" si="9"/>
        <v>-137345</v>
      </c>
      <c r="J78" s="1627">
        <f t="shared" si="9"/>
        <v>23980</v>
      </c>
      <c r="K78" s="1627">
        <f t="shared" si="9"/>
        <v>9593</v>
      </c>
      <c r="L78" s="457"/>
    </row>
    <row r="79" spans="1:12" ht="13.5" thickTop="1" x14ac:dyDescent="0.2">
      <c r="A79" s="1829" t="str">
        <f>"Fund Balances - July 1, "&amp;'AFR20'!E2-1</f>
        <v>Fund Balances - July 1, 2019</v>
      </c>
      <c r="B79" s="458"/>
      <c r="C79" s="1583">
        <v>1900752</v>
      </c>
      <c r="D79" s="1628">
        <v>176195</v>
      </c>
      <c r="E79" s="1628">
        <v>4090</v>
      </c>
      <c r="F79" s="1628">
        <v>135607</v>
      </c>
      <c r="G79" s="1628">
        <v>145870</v>
      </c>
      <c r="H79" s="1628">
        <v>8892</v>
      </c>
      <c r="I79" s="1628">
        <v>229492</v>
      </c>
      <c r="J79" s="1628">
        <v>90120</v>
      </c>
      <c r="K79" s="1628">
        <v>113833</v>
      </c>
      <c r="L79" s="325"/>
    </row>
    <row r="80" spans="1:12" x14ac:dyDescent="0.2">
      <c r="A80" s="2217" t="s">
        <v>1769</v>
      </c>
      <c r="B80" s="2218"/>
      <c r="C80" s="1574"/>
      <c r="D80" s="1574"/>
      <c r="E80" s="1574"/>
      <c r="F80" s="1574"/>
      <c r="G80" s="1574"/>
      <c r="H80" s="1574"/>
      <c r="I80" s="1574"/>
      <c r="J80" s="1574"/>
      <c r="K80" s="1574"/>
      <c r="L80" s="325"/>
    </row>
    <row r="81" spans="1:12" ht="13.5" thickBot="1" x14ac:dyDescent="0.25">
      <c r="A81" s="2209" t="str">
        <f>"Fund Balances - June 30, "&amp;'AFR20'!E2</f>
        <v>Fund Balances - June 30, 2020</v>
      </c>
      <c r="B81" s="2210"/>
      <c r="C81" s="1594">
        <f>(SUM(C78:C80))</f>
        <v>2130970</v>
      </c>
      <c r="D81" s="1594">
        <f>SUM(D78:D80)</f>
        <v>134688</v>
      </c>
      <c r="E81" s="1594">
        <f t="shared" ref="E81:K81" si="10">SUM(E78:E80)</f>
        <v>119271</v>
      </c>
      <c r="F81" s="1594">
        <f t="shared" si="10"/>
        <v>178181</v>
      </c>
      <c r="G81" s="1594">
        <f t="shared" si="10"/>
        <v>173125</v>
      </c>
      <c r="H81" s="1594">
        <f t="shared" si="10"/>
        <v>1383622</v>
      </c>
      <c r="I81" s="1594">
        <f t="shared" si="10"/>
        <v>92147</v>
      </c>
      <c r="J81" s="1594">
        <f t="shared" si="10"/>
        <v>114100</v>
      </c>
      <c r="K81" s="1594">
        <f t="shared" si="10"/>
        <v>123426</v>
      </c>
      <c r="L81" s="325"/>
    </row>
    <row r="82" spans="1:12" ht="0.75" customHeight="1" thickTop="1" thickBot="1" x14ac:dyDescent="0.25">
      <c r="A82" s="459" t="s">
        <v>340</v>
      </c>
      <c r="B82" s="460"/>
      <c r="C82" s="461">
        <f>(C81-C79)</f>
        <v>230218</v>
      </c>
      <c r="D82" s="461">
        <f t="shared" ref="D82:K82" si="11">(D81-D79)</f>
        <v>-41507</v>
      </c>
      <c r="E82" s="461">
        <f t="shared" si="11"/>
        <v>115181</v>
      </c>
      <c r="F82" s="461">
        <f t="shared" si="11"/>
        <v>42574</v>
      </c>
      <c r="G82" s="461">
        <f t="shared" si="11"/>
        <v>27255</v>
      </c>
      <c r="H82" s="461">
        <f t="shared" si="11"/>
        <v>1374730</v>
      </c>
      <c r="I82" s="461">
        <f t="shared" si="11"/>
        <v>-137345</v>
      </c>
      <c r="J82" s="461">
        <f t="shared" si="11"/>
        <v>23980</v>
      </c>
      <c r="K82" s="461">
        <f t="shared" si="11"/>
        <v>9593</v>
      </c>
    </row>
    <row r="83" spans="1:12" ht="14.25" hidden="1" thickTop="1" thickBot="1" x14ac:dyDescent="0.25">
      <c r="A83" s="462" t="s">
        <v>341</v>
      </c>
      <c r="B83" s="428"/>
      <c r="C83" s="463">
        <f>C82/C81</f>
        <v>0.10803436932476759</v>
      </c>
      <c r="D83" s="463">
        <f t="shared" ref="D83:K83" si="12">D82/D81</f>
        <v>-0.30817147778569731</v>
      </c>
      <c r="E83" s="463">
        <f t="shared" si="12"/>
        <v>0.96570834486170154</v>
      </c>
      <c r="F83" s="463">
        <f t="shared" si="12"/>
        <v>0.23893681144454235</v>
      </c>
      <c r="G83" s="463">
        <f t="shared" si="12"/>
        <v>0.15742960288808663</v>
      </c>
      <c r="H83" s="463">
        <f t="shared" si="12"/>
        <v>0.99357338926383076</v>
      </c>
      <c r="I83" s="463">
        <f t="shared" si="12"/>
        <v>-1.4904988767946867</v>
      </c>
      <c r="J83" s="463">
        <f t="shared" si="12"/>
        <v>0.21016652059596844</v>
      </c>
      <c r="K83" s="463">
        <f t="shared" si="12"/>
        <v>7.7722684037398931E-2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2" sqref="I2:S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1776</v>
      </c>
      <c r="B1" s="416"/>
      <c r="C1" s="417" t="s">
        <v>422</v>
      </c>
      <c r="D1" s="417" t="s">
        <v>423</v>
      </c>
      <c r="E1" s="417" t="s">
        <v>424</v>
      </c>
      <c r="F1" s="417" t="s">
        <v>425</v>
      </c>
      <c r="G1" s="417" t="s">
        <v>426</v>
      </c>
      <c r="H1" s="417" t="s">
        <v>427</v>
      </c>
      <c r="I1" s="417" t="s">
        <v>428</v>
      </c>
      <c r="J1" s="417" t="s">
        <v>429</v>
      </c>
      <c r="K1" s="417" t="s">
        <v>750</v>
      </c>
    </row>
    <row r="2" spans="1:12" ht="36" x14ac:dyDescent="0.2">
      <c r="A2" s="221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406405</v>
      </c>
      <c r="D5" s="1586">
        <v>126334</v>
      </c>
      <c r="E5" s="1586">
        <v>151871</v>
      </c>
      <c r="F5" s="1586">
        <v>44173</v>
      </c>
      <c r="G5" s="1586">
        <v>64565</v>
      </c>
      <c r="H5" s="1586">
        <v>0</v>
      </c>
      <c r="I5" s="1586">
        <v>11044</v>
      </c>
      <c r="J5" s="1586">
        <v>114220</v>
      </c>
      <c r="K5" s="1586">
        <v>11044</v>
      </c>
    </row>
    <row r="6" spans="1:12" ht="15" x14ac:dyDescent="0.2">
      <c r="A6" s="427" t="s">
        <v>1640</v>
      </c>
      <c r="B6" s="429">
        <v>1130</v>
      </c>
      <c r="C6" s="1586">
        <v>11044</v>
      </c>
      <c r="D6" s="1586">
        <v>0</v>
      </c>
      <c r="E6" s="1580"/>
      <c r="F6" s="1580"/>
      <c r="G6" s="1575"/>
      <c r="H6" s="1575"/>
      <c r="I6" s="1575"/>
      <c r="J6" s="1575"/>
      <c r="K6" s="1575"/>
    </row>
    <row r="7" spans="1:12" x14ac:dyDescent="0.2">
      <c r="A7" s="427" t="s">
        <v>110</v>
      </c>
      <c r="B7" s="471">
        <v>1140</v>
      </c>
      <c r="C7" s="1586">
        <v>8836</v>
      </c>
      <c r="D7" s="1586">
        <v>0</v>
      </c>
      <c r="E7" s="1575"/>
      <c r="F7" s="1586">
        <v>0</v>
      </c>
      <c r="G7" s="1586">
        <v>0</v>
      </c>
      <c r="H7" s="1586">
        <v>0</v>
      </c>
      <c r="I7" s="1575"/>
      <c r="J7" s="1575"/>
      <c r="K7" s="1575"/>
    </row>
    <row r="8" spans="1:12" x14ac:dyDescent="0.2">
      <c r="A8" s="427" t="s">
        <v>410</v>
      </c>
      <c r="B8" s="429">
        <v>1150</v>
      </c>
      <c r="C8" s="1580"/>
      <c r="D8" s="1580"/>
      <c r="E8" s="1582"/>
      <c r="F8" s="1582"/>
      <c r="G8" s="1586">
        <v>69522</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426285</v>
      </c>
      <c r="D12" s="1629">
        <f t="shared" si="0"/>
        <v>126334</v>
      </c>
      <c r="E12" s="1629">
        <f t="shared" si="0"/>
        <v>151871</v>
      </c>
      <c r="F12" s="1629">
        <f t="shared" si="0"/>
        <v>44173</v>
      </c>
      <c r="G12" s="1629">
        <f t="shared" si="0"/>
        <v>134087</v>
      </c>
      <c r="H12" s="1629">
        <f t="shared" si="0"/>
        <v>0</v>
      </c>
      <c r="I12" s="1629">
        <f t="shared" si="0"/>
        <v>11044</v>
      </c>
      <c r="J12" s="1629">
        <f t="shared" si="0"/>
        <v>114220</v>
      </c>
      <c r="K12" s="1594">
        <f t="shared" si="0"/>
        <v>11044</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1594</v>
      </c>
      <c r="D14" s="1586">
        <v>472</v>
      </c>
      <c r="E14" s="1586">
        <v>572</v>
      </c>
      <c r="F14" s="1586">
        <v>165</v>
      </c>
      <c r="G14" s="1586">
        <v>504</v>
      </c>
      <c r="H14" s="1586">
        <v>0</v>
      </c>
      <c r="I14" s="1586">
        <v>41</v>
      </c>
      <c r="J14" s="1586">
        <v>428</v>
      </c>
      <c r="K14" s="1586">
        <v>41</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95681</v>
      </c>
      <c r="D16" s="1586">
        <v>0</v>
      </c>
      <c r="E16" s="1586">
        <v>0</v>
      </c>
      <c r="F16" s="1586">
        <v>0</v>
      </c>
      <c r="G16" s="1586">
        <v>461</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97275</v>
      </c>
      <c r="D18" s="1631">
        <f t="shared" ref="D18:K18" si="1">SUM(D14:D17)</f>
        <v>472</v>
      </c>
      <c r="E18" s="1631">
        <f t="shared" si="1"/>
        <v>572</v>
      </c>
      <c r="F18" s="1631">
        <f t="shared" si="1"/>
        <v>165</v>
      </c>
      <c r="G18" s="1631">
        <f t="shared" si="1"/>
        <v>965</v>
      </c>
      <c r="H18" s="1631">
        <f t="shared" si="1"/>
        <v>0</v>
      </c>
      <c r="I18" s="1631">
        <f t="shared" si="1"/>
        <v>41</v>
      </c>
      <c r="J18" s="1631">
        <f t="shared" si="1"/>
        <v>428</v>
      </c>
      <c r="K18" s="1632">
        <f t="shared" si="1"/>
        <v>41</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31666</v>
      </c>
      <c r="D65" s="1586">
        <v>381</v>
      </c>
      <c r="E65" s="1586">
        <v>140</v>
      </c>
      <c r="F65" s="1586">
        <v>420</v>
      </c>
      <c r="G65" s="1586">
        <v>454</v>
      </c>
      <c r="H65" s="1586">
        <v>2430</v>
      </c>
      <c r="I65" s="1586">
        <v>1570</v>
      </c>
      <c r="J65" s="1586">
        <v>308</v>
      </c>
      <c r="K65" s="1586">
        <v>454</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31666</v>
      </c>
      <c r="D67" s="1594">
        <f t="shared" ref="D67:K67" si="2">SUM(D65:D66)</f>
        <v>381</v>
      </c>
      <c r="E67" s="1594">
        <f t="shared" si="2"/>
        <v>140</v>
      </c>
      <c r="F67" s="1594">
        <f t="shared" si="2"/>
        <v>420</v>
      </c>
      <c r="G67" s="1594">
        <f t="shared" si="2"/>
        <v>454</v>
      </c>
      <c r="H67" s="1594">
        <f t="shared" si="2"/>
        <v>2430</v>
      </c>
      <c r="I67" s="1594">
        <f t="shared" si="2"/>
        <v>1570</v>
      </c>
      <c r="J67" s="1594">
        <f t="shared" si="2"/>
        <v>308</v>
      </c>
      <c r="K67" s="1594">
        <f t="shared" si="2"/>
        <v>454</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2420</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271</v>
      </c>
      <c r="B71" s="429">
        <v>1613</v>
      </c>
      <c r="C71" s="1586">
        <v>0</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3948</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6368</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6143</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0</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6143</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19663</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19663</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0</v>
      </c>
      <c r="E95" s="1615"/>
      <c r="F95" s="1615"/>
      <c r="G95" s="1615"/>
      <c r="H95" s="1615"/>
      <c r="I95" s="1615"/>
      <c r="J95" s="1615"/>
      <c r="K95" s="1615"/>
    </row>
    <row r="96" spans="1:11" ht="12.75" customHeight="1" x14ac:dyDescent="0.2">
      <c r="A96" s="427" t="s">
        <v>388</v>
      </c>
      <c r="B96" s="429">
        <v>1920</v>
      </c>
      <c r="C96" s="1586">
        <v>20000</v>
      </c>
      <c r="D96" s="1586">
        <v>100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335</v>
      </c>
      <c r="D99" s="1586">
        <v>7678</v>
      </c>
      <c r="E99" s="1586">
        <v>0</v>
      </c>
      <c r="F99" s="1586">
        <v>0</v>
      </c>
      <c r="G99" s="1586">
        <v>0</v>
      </c>
      <c r="H99" s="1586">
        <v>0</v>
      </c>
      <c r="I99" s="1575"/>
      <c r="J99" s="1586">
        <v>167</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1175</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116532</v>
      </c>
      <c r="F103" s="1575"/>
      <c r="G103" s="1575"/>
      <c r="H103" s="1586">
        <v>10003</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2734</v>
      </c>
      <c r="D107" s="1586">
        <v>6581</v>
      </c>
      <c r="E107" s="1586">
        <v>0</v>
      </c>
      <c r="F107" s="1586">
        <v>15</v>
      </c>
      <c r="G107" s="1586">
        <v>0</v>
      </c>
      <c r="H107" s="1586">
        <v>0</v>
      </c>
      <c r="I107" s="1586">
        <v>0</v>
      </c>
      <c r="J107" s="1586">
        <v>0</v>
      </c>
      <c r="K107" s="1586">
        <v>0</v>
      </c>
    </row>
    <row r="108" spans="1:12" ht="12.75" customHeight="1" thickBot="1" x14ac:dyDescent="0.25">
      <c r="A108" s="1406" t="s">
        <v>484</v>
      </c>
      <c r="B108" s="1408"/>
      <c r="C108" s="1629">
        <f>SUM(C95:C107)</f>
        <v>24244</v>
      </c>
      <c r="D108" s="1629">
        <f t="shared" ref="D108:K108" si="3">SUM(D95:D107)</f>
        <v>14359</v>
      </c>
      <c r="E108" s="1629">
        <f t="shared" si="3"/>
        <v>116532</v>
      </c>
      <c r="F108" s="1629">
        <f t="shared" si="3"/>
        <v>15</v>
      </c>
      <c r="G108" s="1629">
        <f t="shared" si="3"/>
        <v>0</v>
      </c>
      <c r="H108" s="1629">
        <f t="shared" si="3"/>
        <v>10003</v>
      </c>
      <c r="I108" s="1629">
        <f t="shared" si="3"/>
        <v>0</v>
      </c>
      <c r="J108" s="1629">
        <f t="shared" si="3"/>
        <v>167</v>
      </c>
      <c r="K108" s="1594">
        <f t="shared" si="3"/>
        <v>0</v>
      </c>
    </row>
    <row r="109" spans="1:12" ht="14.25" thickTop="1" thickBot="1" x14ac:dyDescent="0.25">
      <c r="A109" s="1409" t="s">
        <v>246</v>
      </c>
      <c r="B109" s="1410" t="s">
        <v>566</v>
      </c>
      <c r="C109" s="1636">
        <f t="shared" ref="C109:K109" si="4">SUM(C12,C18,C40,C63,C67,C75,C82,C93,C108,)</f>
        <v>611644</v>
      </c>
      <c r="D109" s="1636">
        <f t="shared" si="4"/>
        <v>141546</v>
      </c>
      <c r="E109" s="1636">
        <f t="shared" si="4"/>
        <v>269115</v>
      </c>
      <c r="F109" s="1636">
        <f t="shared" si="4"/>
        <v>44773</v>
      </c>
      <c r="G109" s="1636">
        <f t="shared" si="4"/>
        <v>135506</v>
      </c>
      <c r="H109" s="1636">
        <f t="shared" si="4"/>
        <v>12433</v>
      </c>
      <c r="I109" s="1636">
        <f t="shared" si="4"/>
        <v>12655</v>
      </c>
      <c r="J109" s="1636">
        <f t="shared" si="4"/>
        <v>115123</v>
      </c>
      <c r="K109" s="1627">
        <f t="shared" si="4"/>
        <v>11539</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622336</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622336</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1989630</v>
      </c>
      <c r="D117" s="1586">
        <v>80000</v>
      </c>
      <c r="E117" s="1586">
        <v>0</v>
      </c>
      <c r="F117" s="1586">
        <v>87000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1989630</v>
      </c>
      <c r="D122" s="1629">
        <f t="shared" si="5"/>
        <v>80000</v>
      </c>
      <c r="E122" s="1629">
        <f t="shared" si="5"/>
        <v>0</v>
      </c>
      <c r="F122" s="1629">
        <f t="shared" si="5"/>
        <v>87000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15997</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0</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15997</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0</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0</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2342</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2342</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104236</v>
      </c>
      <c r="G152" s="1586">
        <v>0</v>
      </c>
      <c r="H152" s="1575"/>
      <c r="I152" s="1575"/>
      <c r="J152" s="1575"/>
      <c r="K152" s="1575"/>
    </row>
    <row r="153" spans="1:11" ht="12.75" customHeight="1" x14ac:dyDescent="0.2">
      <c r="A153" s="427" t="s">
        <v>1047</v>
      </c>
      <c r="B153" s="478">
        <v>3510</v>
      </c>
      <c r="C153" s="1586">
        <v>0</v>
      </c>
      <c r="D153" s="1586">
        <v>0</v>
      </c>
      <c r="E153" s="1635"/>
      <c r="F153" s="1586">
        <v>66868</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171104</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187924</v>
      </c>
      <c r="D159" s="1586">
        <v>0</v>
      </c>
      <c r="E159" s="1635"/>
      <c r="F159" s="1586">
        <v>0</v>
      </c>
      <c r="G159" s="1586">
        <v>12000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0</v>
      </c>
      <c r="E167" s="1615"/>
      <c r="F167" s="1615"/>
      <c r="G167" s="1575"/>
      <c r="H167" s="1586">
        <v>50000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3" t="s">
        <v>395</v>
      </c>
      <c r="B169" s="2234"/>
      <c r="C169" s="1648">
        <f t="shared" ref="C169:K169" si="6">SUM(C132,C141,C145,C146:C150,C155,C156:C167,C168)</f>
        <v>209355</v>
      </c>
      <c r="D169" s="1648">
        <f t="shared" si="6"/>
        <v>0</v>
      </c>
      <c r="E169" s="1648">
        <f t="shared" si="6"/>
        <v>0</v>
      </c>
      <c r="F169" s="1648">
        <f t="shared" si="6"/>
        <v>171104</v>
      </c>
      <c r="G169" s="1648">
        <f t="shared" si="6"/>
        <v>12000</v>
      </c>
      <c r="H169" s="1648">
        <f t="shared" si="6"/>
        <v>50000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2198985</v>
      </c>
      <c r="D170" s="1636">
        <f t="shared" si="7"/>
        <v>80000</v>
      </c>
      <c r="E170" s="1636">
        <f t="shared" si="7"/>
        <v>0</v>
      </c>
      <c r="F170" s="1636">
        <f t="shared" si="7"/>
        <v>258104</v>
      </c>
      <c r="G170" s="1636">
        <f t="shared" si="7"/>
        <v>12000</v>
      </c>
      <c r="H170" s="1636">
        <f t="shared" si="7"/>
        <v>50000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5" t="s">
        <v>1472</v>
      </c>
      <c r="B172" s="2236"/>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9" t="s">
        <v>1643</v>
      </c>
      <c r="B175" s="2240"/>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3" t="s">
        <v>1642</v>
      </c>
      <c r="B176" s="2244"/>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14191</v>
      </c>
      <c r="D180" s="1586">
        <v>0</v>
      </c>
      <c r="E180" s="1575"/>
      <c r="F180" s="1586">
        <v>0</v>
      </c>
      <c r="G180" s="1586">
        <v>0</v>
      </c>
      <c r="H180" s="1586">
        <v>0</v>
      </c>
      <c r="I180" s="1575"/>
      <c r="J180" s="1575"/>
      <c r="K180" s="1586">
        <v>0</v>
      </c>
    </row>
    <row r="181" spans="1:11" ht="13.5" thickBot="1" x14ac:dyDescent="0.25">
      <c r="A181" s="2241" t="s">
        <v>779</v>
      </c>
      <c r="B181" s="2242"/>
      <c r="C181" s="1629">
        <f>SUM(C177:C180)</f>
        <v>14191</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7" t="s">
        <v>1777</v>
      </c>
      <c r="B182" s="2238"/>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96032</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39427</v>
      </c>
      <c r="D193" s="1575"/>
      <c r="E193" s="1635"/>
      <c r="F193" s="1575"/>
      <c r="G193" s="1586">
        <v>0</v>
      </c>
      <c r="H193" s="1575"/>
      <c r="I193" s="1575"/>
      <c r="J193" s="1575"/>
      <c r="K193" s="1575"/>
    </row>
    <row r="194" spans="1:11" ht="12.75" customHeight="1" x14ac:dyDescent="0.2">
      <c r="A194" s="427" t="s">
        <v>1431</v>
      </c>
      <c r="B194" s="429">
        <v>4225</v>
      </c>
      <c r="C194" s="1586">
        <v>32899</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168358</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164727</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397</v>
      </c>
      <c r="B204" s="1407"/>
      <c r="C204" s="1629">
        <f>SUM(C200:C203)</f>
        <v>164727</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10940</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10940</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5152</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110134</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115286</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17767</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17767</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21646</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9618</v>
      </c>
      <c r="D263" s="1586">
        <v>0</v>
      </c>
      <c r="E263" s="1575"/>
      <c r="F263" s="1586">
        <v>0</v>
      </c>
      <c r="G263" s="1586">
        <v>0</v>
      </c>
      <c r="H263" s="1575"/>
      <c r="I263" s="1575"/>
      <c r="J263" s="1575"/>
      <c r="K263" s="1575"/>
    </row>
    <row r="264" spans="1:11" ht="12.75" customHeight="1" x14ac:dyDescent="0.2">
      <c r="A264" s="427" t="s">
        <v>374</v>
      </c>
      <c r="B264" s="429">
        <v>4992</v>
      </c>
      <c r="C264" s="1586">
        <v>19658</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1050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511283</v>
      </c>
      <c r="D266" s="1636">
        <f t="shared" si="10"/>
        <v>0</v>
      </c>
      <c r="E266" s="1636">
        <f t="shared" si="10"/>
        <v>17767</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525474</v>
      </c>
      <c r="D267" s="1636">
        <f>SUM(D175,D181,D266)</f>
        <v>0</v>
      </c>
      <c r="E267" s="1636">
        <f>SUM(E175,E266)</f>
        <v>17767</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3958439</v>
      </c>
      <c r="D268" s="1636">
        <f t="shared" si="12"/>
        <v>221546</v>
      </c>
      <c r="E268" s="1636">
        <f t="shared" si="12"/>
        <v>286882</v>
      </c>
      <c r="F268" s="1636">
        <f t="shared" si="12"/>
        <v>302877</v>
      </c>
      <c r="G268" s="1636">
        <f t="shared" si="12"/>
        <v>147506</v>
      </c>
      <c r="H268" s="1636">
        <f t="shared" si="12"/>
        <v>62433</v>
      </c>
      <c r="I268" s="1636">
        <f t="shared" si="12"/>
        <v>12655</v>
      </c>
      <c r="J268" s="1636">
        <f t="shared" si="12"/>
        <v>115123</v>
      </c>
      <c r="K268" s="1627">
        <f t="shared" si="12"/>
        <v>11539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activeCell="C9" sqref="C9"/>
      <selection pane="bottomLeft" activeCell="C9" sqref="C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1" t="s">
        <v>294</v>
      </c>
      <c r="B3" s="2252"/>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942147</v>
      </c>
      <c r="D5" s="1573">
        <v>172154</v>
      </c>
      <c r="E5" s="1573">
        <v>4868</v>
      </c>
      <c r="F5" s="1573">
        <v>32451</v>
      </c>
      <c r="G5" s="1573">
        <v>7238</v>
      </c>
      <c r="H5" s="1573">
        <v>119</v>
      </c>
      <c r="I5" s="1573">
        <v>0</v>
      </c>
      <c r="J5" s="1573">
        <v>0</v>
      </c>
      <c r="K5" s="1659">
        <f>SUM(C5:J5)</f>
        <v>1158977</v>
      </c>
      <c r="L5" s="1573">
        <v>1183929</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57268</v>
      </c>
      <c r="D7" s="1573">
        <v>7335</v>
      </c>
      <c r="E7" s="1573">
        <v>8356</v>
      </c>
      <c r="F7" s="1573">
        <v>49120</v>
      </c>
      <c r="G7" s="1573">
        <v>0</v>
      </c>
      <c r="H7" s="1573">
        <v>0</v>
      </c>
      <c r="I7" s="1573">
        <v>0</v>
      </c>
      <c r="J7" s="1573">
        <v>0</v>
      </c>
      <c r="K7" s="1659">
        <f t="shared" ref="K7:K32" si="0">SUM(C7:J7)</f>
        <v>122079</v>
      </c>
      <c r="L7" s="1573">
        <v>118068</v>
      </c>
    </row>
    <row r="8" spans="1:14" x14ac:dyDescent="0.2">
      <c r="A8" s="1274" t="s">
        <v>163</v>
      </c>
      <c r="B8" s="503">
        <v>1200</v>
      </c>
      <c r="C8" s="1573">
        <v>187471</v>
      </c>
      <c r="D8" s="1573">
        <v>32887</v>
      </c>
      <c r="E8" s="1573">
        <v>0</v>
      </c>
      <c r="F8" s="1573">
        <v>0</v>
      </c>
      <c r="G8" s="1573">
        <v>0</v>
      </c>
      <c r="H8" s="1573">
        <v>0</v>
      </c>
      <c r="I8" s="1573">
        <v>0</v>
      </c>
      <c r="J8" s="1573">
        <v>0</v>
      </c>
      <c r="K8" s="1659">
        <f t="shared" si="0"/>
        <v>220358</v>
      </c>
      <c r="L8" s="1573">
        <v>220500</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73355</v>
      </c>
      <c r="D10" s="1573">
        <v>14419</v>
      </c>
      <c r="E10" s="1573">
        <v>14691</v>
      </c>
      <c r="F10" s="1573">
        <v>26259</v>
      </c>
      <c r="G10" s="1573">
        <v>14983</v>
      </c>
      <c r="H10" s="1573">
        <v>0</v>
      </c>
      <c r="I10" s="1573">
        <v>0</v>
      </c>
      <c r="J10" s="1573">
        <v>0</v>
      </c>
      <c r="K10" s="1659">
        <f t="shared" si="0"/>
        <v>143707</v>
      </c>
      <c r="L10" s="1573">
        <v>143900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55104</v>
      </c>
      <c r="D13" s="1573">
        <v>10682</v>
      </c>
      <c r="E13" s="1573">
        <v>0</v>
      </c>
      <c r="F13" s="1573">
        <v>0</v>
      </c>
      <c r="G13" s="1573">
        <v>0</v>
      </c>
      <c r="H13" s="1573">
        <v>0</v>
      </c>
      <c r="I13" s="1573">
        <v>0</v>
      </c>
      <c r="J13" s="1573">
        <v>0</v>
      </c>
      <c r="K13" s="1659">
        <f t="shared" si="0"/>
        <v>65786</v>
      </c>
      <c r="L13" s="1573">
        <v>65804</v>
      </c>
    </row>
    <row r="14" spans="1:14" x14ac:dyDescent="0.2">
      <c r="A14" s="1274" t="s">
        <v>956</v>
      </c>
      <c r="B14" s="503">
        <v>1500</v>
      </c>
      <c r="C14" s="1573">
        <v>69847</v>
      </c>
      <c r="D14" s="1573">
        <v>10279</v>
      </c>
      <c r="E14" s="1573">
        <v>6332</v>
      </c>
      <c r="F14" s="1573">
        <v>1374</v>
      </c>
      <c r="G14" s="1573">
        <v>0</v>
      </c>
      <c r="H14" s="1573">
        <v>2020</v>
      </c>
      <c r="I14" s="1573">
        <v>0</v>
      </c>
      <c r="J14" s="1573">
        <v>0</v>
      </c>
      <c r="K14" s="1659">
        <f t="shared" si="0"/>
        <v>89852</v>
      </c>
      <c r="L14" s="1573">
        <v>90275</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11263</v>
      </c>
      <c r="D17" s="1573">
        <v>1940</v>
      </c>
      <c r="E17" s="1573">
        <v>0</v>
      </c>
      <c r="F17" s="1573">
        <v>1430</v>
      </c>
      <c r="G17" s="1573">
        <v>0</v>
      </c>
      <c r="H17" s="1573">
        <v>0</v>
      </c>
      <c r="I17" s="1573">
        <v>0</v>
      </c>
      <c r="J17" s="1573">
        <v>0</v>
      </c>
      <c r="K17" s="1659">
        <f t="shared" si="0"/>
        <v>14633</v>
      </c>
      <c r="L17" s="1573">
        <v>14765</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64126</v>
      </c>
      <c r="I22" s="1660"/>
      <c r="J22" s="1582"/>
      <c r="K22" s="1659">
        <f t="shared" si="0"/>
        <v>64126</v>
      </c>
      <c r="L22" s="1577">
        <v>64126</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t="s">
        <v>1158</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1396455</v>
      </c>
      <c r="D33" s="1661">
        <f t="shared" ref="D33:L33" si="1">SUM(D5:D32)</f>
        <v>249696</v>
      </c>
      <c r="E33" s="1661">
        <f t="shared" si="1"/>
        <v>34247</v>
      </c>
      <c r="F33" s="1661">
        <f t="shared" si="1"/>
        <v>110634</v>
      </c>
      <c r="G33" s="1661">
        <f t="shared" si="1"/>
        <v>22221</v>
      </c>
      <c r="H33" s="1661">
        <f t="shared" si="1"/>
        <v>66265</v>
      </c>
      <c r="I33" s="1661">
        <f t="shared" si="1"/>
        <v>0</v>
      </c>
      <c r="J33" s="1661">
        <f t="shared" si="1"/>
        <v>0</v>
      </c>
      <c r="K33" s="1661">
        <f t="shared" si="1"/>
        <v>1879518</v>
      </c>
      <c r="L33" s="1661">
        <f t="shared" si="1"/>
        <v>1901367</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46007</v>
      </c>
      <c r="D36" s="1573">
        <v>1081</v>
      </c>
      <c r="E36" s="1573">
        <v>0</v>
      </c>
      <c r="F36" s="1573">
        <v>415</v>
      </c>
      <c r="G36" s="1573">
        <v>0</v>
      </c>
      <c r="H36" s="1573">
        <v>0</v>
      </c>
      <c r="I36" s="1573">
        <v>0</v>
      </c>
      <c r="J36" s="1573">
        <v>0</v>
      </c>
      <c r="K36" s="1659">
        <f t="shared" ref="K36:K41" si="2">SUM(C36:J36)</f>
        <v>47503</v>
      </c>
      <c r="L36" s="1573">
        <v>47615</v>
      </c>
    </row>
    <row r="37" spans="1:14" x14ac:dyDescent="0.2">
      <c r="A37" s="1274" t="s">
        <v>1080</v>
      </c>
      <c r="B37" s="503">
        <v>2120</v>
      </c>
      <c r="C37" s="1573">
        <v>60590</v>
      </c>
      <c r="D37" s="1573">
        <v>11542</v>
      </c>
      <c r="E37" s="1573">
        <v>25</v>
      </c>
      <c r="F37" s="1573">
        <v>975</v>
      </c>
      <c r="G37" s="1573">
        <v>0</v>
      </c>
      <c r="H37" s="1573">
        <v>0</v>
      </c>
      <c r="I37" s="1573">
        <v>0</v>
      </c>
      <c r="J37" s="1573">
        <v>0</v>
      </c>
      <c r="K37" s="1659">
        <f t="shared" si="2"/>
        <v>73132</v>
      </c>
      <c r="L37" s="1573">
        <v>72800</v>
      </c>
    </row>
    <row r="38" spans="1:14" x14ac:dyDescent="0.2">
      <c r="A38" s="1274" t="s">
        <v>196</v>
      </c>
      <c r="B38" s="503">
        <v>2130</v>
      </c>
      <c r="C38" s="1573">
        <v>49710</v>
      </c>
      <c r="D38" s="1573">
        <v>3887</v>
      </c>
      <c r="E38" s="1573">
        <v>60</v>
      </c>
      <c r="F38" s="1573">
        <v>1633</v>
      </c>
      <c r="G38" s="1573">
        <v>0</v>
      </c>
      <c r="H38" s="1573">
        <v>0</v>
      </c>
      <c r="I38" s="1573">
        <v>0</v>
      </c>
      <c r="J38" s="1573">
        <v>0</v>
      </c>
      <c r="K38" s="1659">
        <f t="shared" si="2"/>
        <v>55290</v>
      </c>
      <c r="L38" s="1573">
        <v>55435</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46424</v>
      </c>
      <c r="F40" s="1573">
        <v>0</v>
      </c>
      <c r="G40" s="1573">
        <v>0</v>
      </c>
      <c r="H40" s="1573">
        <v>0</v>
      </c>
      <c r="I40" s="1573">
        <v>0</v>
      </c>
      <c r="J40" s="1573">
        <v>0</v>
      </c>
      <c r="K40" s="1659">
        <f t="shared" si="2"/>
        <v>46424</v>
      </c>
      <c r="L40" s="1573">
        <v>46426</v>
      </c>
    </row>
    <row r="41" spans="1:14" x14ac:dyDescent="0.2">
      <c r="A41" s="1274" t="s">
        <v>1647</v>
      </c>
      <c r="B41" s="503">
        <v>2190</v>
      </c>
      <c r="C41" s="1573">
        <v>0</v>
      </c>
      <c r="D41" s="1573">
        <v>0</v>
      </c>
      <c r="E41" s="1573">
        <v>400</v>
      </c>
      <c r="F41" s="1573">
        <v>1258</v>
      </c>
      <c r="G41" s="1573">
        <v>0</v>
      </c>
      <c r="H41" s="1573">
        <v>0</v>
      </c>
      <c r="I41" s="1573">
        <v>0</v>
      </c>
      <c r="J41" s="1573">
        <v>0</v>
      </c>
      <c r="K41" s="1659">
        <f t="shared" si="2"/>
        <v>1658</v>
      </c>
      <c r="L41" s="1573">
        <v>2200</v>
      </c>
    </row>
    <row r="42" spans="1:14" ht="12.75" customHeight="1" thickBot="1" x14ac:dyDescent="0.25">
      <c r="A42" s="1380" t="s">
        <v>556</v>
      </c>
      <c r="B42" s="1381" t="s">
        <v>710</v>
      </c>
      <c r="C42" s="1661">
        <f>SUM(C36:C41)</f>
        <v>156307</v>
      </c>
      <c r="D42" s="1661">
        <f t="shared" ref="D42:L42" si="3">SUM(D36:D41)</f>
        <v>16510</v>
      </c>
      <c r="E42" s="1661">
        <f t="shared" si="3"/>
        <v>46909</v>
      </c>
      <c r="F42" s="1661">
        <f t="shared" si="3"/>
        <v>4281</v>
      </c>
      <c r="G42" s="1661">
        <f t="shared" si="3"/>
        <v>0</v>
      </c>
      <c r="H42" s="1661">
        <f t="shared" si="3"/>
        <v>0</v>
      </c>
      <c r="I42" s="1661">
        <f t="shared" si="3"/>
        <v>0</v>
      </c>
      <c r="J42" s="1661">
        <f t="shared" si="3"/>
        <v>0</v>
      </c>
      <c r="K42" s="1661">
        <f t="shared" si="3"/>
        <v>224007</v>
      </c>
      <c r="L42" s="1661">
        <f t="shared" si="3"/>
        <v>224476</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3133</v>
      </c>
      <c r="D44" s="1573">
        <v>1900</v>
      </c>
      <c r="E44" s="1573">
        <v>12039</v>
      </c>
      <c r="F44" s="1573">
        <v>11152</v>
      </c>
      <c r="G44" s="1573">
        <v>0</v>
      </c>
      <c r="H44" s="1573">
        <v>0</v>
      </c>
      <c r="I44" s="1573">
        <v>0</v>
      </c>
      <c r="J44" s="1573">
        <v>0</v>
      </c>
      <c r="K44" s="1665">
        <f>SUM(C44:J44)</f>
        <v>28224</v>
      </c>
      <c r="L44" s="1586">
        <v>26925</v>
      </c>
    </row>
    <row r="45" spans="1:14" x14ac:dyDescent="0.2">
      <c r="A45" s="1274" t="s">
        <v>809</v>
      </c>
      <c r="B45" s="503">
        <v>2220</v>
      </c>
      <c r="C45" s="1573">
        <v>25298</v>
      </c>
      <c r="D45" s="1573">
        <v>3875</v>
      </c>
      <c r="E45" s="1573">
        <v>1741</v>
      </c>
      <c r="F45" s="1573">
        <v>846</v>
      </c>
      <c r="G45" s="1573">
        <v>0</v>
      </c>
      <c r="H45" s="1573">
        <v>206</v>
      </c>
      <c r="I45" s="1573">
        <v>0</v>
      </c>
      <c r="J45" s="1573">
        <v>0</v>
      </c>
      <c r="K45" s="1665">
        <f>SUM(C45:J45)</f>
        <v>31966</v>
      </c>
      <c r="L45" s="1573">
        <v>32150</v>
      </c>
    </row>
    <row r="46" spans="1:14" x14ac:dyDescent="0.2">
      <c r="A46" s="1274" t="s">
        <v>810</v>
      </c>
      <c r="B46" s="503">
        <v>2230</v>
      </c>
      <c r="C46" s="1573">
        <v>0</v>
      </c>
      <c r="D46" s="1573">
        <v>0</v>
      </c>
      <c r="E46" s="1573">
        <v>2762</v>
      </c>
      <c r="F46" s="1573">
        <v>0</v>
      </c>
      <c r="G46" s="1573">
        <v>0</v>
      </c>
      <c r="H46" s="1573">
        <v>0</v>
      </c>
      <c r="I46" s="1573">
        <v>0</v>
      </c>
      <c r="J46" s="1573">
        <v>0</v>
      </c>
      <c r="K46" s="1665">
        <f>SUM(C46:J46)</f>
        <v>2762</v>
      </c>
      <c r="L46" s="1573">
        <v>2763</v>
      </c>
    </row>
    <row r="47" spans="1:14" ht="12.75" customHeight="1" thickBot="1" x14ac:dyDescent="0.25">
      <c r="A47" s="1380" t="s">
        <v>557</v>
      </c>
      <c r="B47" s="1381" t="s">
        <v>32</v>
      </c>
      <c r="C47" s="1661">
        <f>SUM(C44:C46)</f>
        <v>28431</v>
      </c>
      <c r="D47" s="1661">
        <f t="shared" ref="D47:K47" si="4">SUM(D44:D46)</f>
        <v>5775</v>
      </c>
      <c r="E47" s="1661">
        <f t="shared" si="4"/>
        <v>16542</v>
      </c>
      <c r="F47" s="1661">
        <f t="shared" si="4"/>
        <v>11998</v>
      </c>
      <c r="G47" s="1661">
        <f t="shared" si="4"/>
        <v>0</v>
      </c>
      <c r="H47" s="1661">
        <f t="shared" si="4"/>
        <v>206</v>
      </c>
      <c r="I47" s="1661">
        <f t="shared" si="4"/>
        <v>0</v>
      </c>
      <c r="J47" s="1661">
        <f t="shared" si="4"/>
        <v>0</v>
      </c>
      <c r="K47" s="1661">
        <f t="shared" si="4"/>
        <v>62952</v>
      </c>
      <c r="L47" s="1661">
        <f>SUM(L44:L46)</f>
        <v>61838</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36069</v>
      </c>
      <c r="D49" s="1573">
        <v>2435</v>
      </c>
      <c r="E49" s="1573">
        <v>20499</v>
      </c>
      <c r="F49" s="1573">
        <v>1911</v>
      </c>
      <c r="G49" s="1573">
        <v>0</v>
      </c>
      <c r="H49" s="1573">
        <v>5151</v>
      </c>
      <c r="I49" s="1573">
        <v>0</v>
      </c>
      <c r="J49" s="1573">
        <v>0</v>
      </c>
      <c r="K49" s="1665">
        <f>SUM(C49:J49)</f>
        <v>66065</v>
      </c>
      <c r="L49" s="1586">
        <v>67800</v>
      </c>
    </row>
    <row r="50" spans="1:14" x14ac:dyDescent="0.2">
      <c r="A50" s="1274" t="s">
        <v>812</v>
      </c>
      <c r="B50" s="503">
        <v>2320</v>
      </c>
      <c r="C50" s="1573">
        <v>71337</v>
      </c>
      <c r="D50" s="1573">
        <v>30233</v>
      </c>
      <c r="E50" s="1573">
        <v>6045</v>
      </c>
      <c r="F50" s="1573">
        <v>86</v>
      </c>
      <c r="G50" s="1573">
        <v>0</v>
      </c>
      <c r="H50" s="1573">
        <v>1047</v>
      </c>
      <c r="I50" s="1573">
        <v>0</v>
      </c>
      <c r="J50" s="1573">
        <v>0</v>
      </c>
      <c r="K50" s="1665">
        <f>SUM(C50:J50)</f>
        <v>108748</v>
      </c>
      <c r="L50" s="1573">
        <v>103980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107406</v>
      </c>
      <c r="D53" s="1661">
        <f t="shared" ref="D53:L53" si="5">SUM(D49:D52)</f>
        <v>32668</v>
      </c>
      <c r="E53" s="1661">
        <f t="shared" si="5"/>
        <v>26544</v>
      </c>
      <c r="F53" s="1661">
        <f t="shared" si="5"/>
        <v>1997</v>
      </c>
      <c r="G53" s="1661">
        <f t="shared" si="5"/>
        <v>0</v>
      </c>
      <c r="H53" s="1661">
        <f t="shared" si="5"/>
        <v>6198</v>
      </c>
      <c r="I53" s="1661">
        <f t="shared" si="5"/>
        <v>0</v>
      </c>
      <c r="J53" s="1661">
        <f t="shared" si="5"/>
        <v>0</v>
      </c>
      <c r="K53" s="1661">
        <f t="shared" si="5"/>
        <v>174813</v>
      </c>
      <c r="L53" s="1661">
        <f t="shared" si="5"/>
        <v>171780</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121398</v>
      </c>
      <c r="D55" s="1573">
        <v>21893</v>
      </c>
      <c r="E55" s="1573">
        <v>25929</v>
      </c>
      <c r="F55" s="1573">
        <v>3836</v>
      </c>
      <c r="G55" s="1573">
        <v>0</v>
      </c>
      <c r="H55" s="1573">
        <v>598</v>
      </c>
      <c r="I55" s="1573">
        <v>0</v>
      </c>
      <c r="J55" s="1573">
        <v>0</v>
      </c>
      <c r="K55" s="1665">
        <f>SUM(C55:J55)</f>
        <v>173654</v>
      </c>
      <c r="L55" s="1586">
        <v>173300</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121398</v>
      </c>
      <c r="D57" s="1666">
        <f t="shared" ref="D57:K57" si="6">SUM(D55:D56)</f>
        <v>21893</v>
      </c>
      <c r="E57" s="1666">
        <f t="shared" si="6"/>
        <v>25929</v>
      </c>
      <c r="F57" s="1666">
        <f t="shared" si="6"/>
        <v>3836</v>
      </c>
      <c r="G57" s="1666">
        <f t="shared" si="6"/>
        <v>0</v>
      </c>
      <c r="H57" s="1666">
        <f t="shared" si="6"/>
        <v>598</v>
      </c>
      <c r="I57" s="1666">
        <f t="shared" si="6"/>
        <v>0</v>
      </c>
      <c r="J57" s="1666">
        <f t="shared" si="6"/>
        <v>0</v>
      </c>
      <c r="K57" s="1666">
        <f t="shared" si="6"/>
        <v>173654</v>
      </c>
      <c r="L57" s="1661">
        <f>SUM(L55:L56)</f>
        <v>173300</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41585</v>
      </c>
      <c r="D60" s="1573">
        <v>122</v>
      </c>
      <c r="E60" s="1573">
        <v>7189</v>
      </c>
      <c r="F60" s="1573">
        <v>464</v>
      </c>
      <c r="G60" s="1573">
        <v>0</v>
      </c>
      <c r="H60" s="1573">
        <v>61</v>
      </c>
      <c r="I60" s="1573">
        <v>0</v>
      </c>
      <c r="J60" s="1573">
        <v>0</v>
      </c>
      <c r="K60" s="1665">
        <f t="shared" si="7"/>
        <v>49421</v>
      </c>
      <c r="L60" s="1573">
        <v>50271</v>
      </c>
      <c r="M60" s="501"/>
      <c r="N60" s="501"/>
    </row>
    <row r="61" spans="1:14" s="321" customFormat="1" x14ac:dyDescent="0.2">
      <c r="A61" s="1274" t="s">
        <v>195</v>
      </c>
      <c r="B61" s="503">
        <v>2540</v>
      </c>
      <c r="C61" s="1573">
        <v>151189</v>
      </c>
      <c r="D61" s="1573">
        <v>10164</v>
      </c>
      <c r="E61" s="1573">
        <v>28608</v>
      </c>
      <c r="F61" s="1573">
        <v>5827</v>
      </c>
      <c r="G61" s="1573">
        <v>21300</v>
      </c>
      <c r="H61" s="1573">
        <v>0</v>
      </c>
      <c r="I61" s="1573">
        <v>0</v>
      </c>
      <c r="J61" s="1573">
        <v>0</v>
      </c>
      <c r="K61" s="1665">
        <f t="shared" si="7"/>
        <v>217088</v>
      </c>
      <c r="L61" s="1573">
        <v>238500</v>
      </c>
      <c r="M61" s="501"/>
      <c r="N61" s="501"/>
    </row>
    <row r="62" spans="1:14" s="321" customFormat="1" x14ac:dyDescent="0.2">
      <c r="A62" s="1274" t="s">
        <v>946</v>
      </c>
      <c r="B62" s="503">
        <v>2550</v>
      </c>
      <c r="C62" s="1573">
        <v>0</v>
      </c>
      <c r="D62" s="1573">
        <v>0</v>
      </c>
      <c r="E62" s="1573">
        <v>1488</v>
      </c>
      <c r="F62" s="1573">
        <v>0</v>
      </c>
      <c r="G62" s="1573">
        <v>0</v>
      </c>
      <c r="H62" s="1573">
        <v>0</v>
      </c>
      <c r="I62" s="1573">
        <v>0</v>
      </c>
      <c r="J62" s="1573">
        <v>0</v>
      </c>
      <c r="K62" s="1665">
        <f t="shared" si="7"/>
        <v>1488</v>
      </c>
      <c r="L62" s="1573">
        <v>100</v>
      </c>
      <c r="M62" s="501"/>
      <c r="N62" s="501"/>
    </row>
    <row r="63" spans="1:14" s="501" customFormat="1" x14ac:dyDescent="0.2">
      <c r="A63" s="1274" t="s">
        <v>100</v>
      </c>
      <c r="B63" s="503">
        <v>2560</v>
      </c>
      <c r="C63" s="1573">
        <v>66756</v>
      </c>
      <c r="D63" s="1573">
        <v>8641</v>
      </c>
      <c r="E63" s="1573">
        <v>2559</v>
      </c>
      <c r="F63" s="1573">
        <v>102840</v>
      </c>
      <c r="G63" s="1573">
        <v>0</v>
      </c>
      <c r="H63" s="1573">
        <v>100</v>
      </c>
      <c r="I63" s="1573">
        <v>0</v>
      </c>
      <c r="J63" s="1573">
        <v>0</v>
      </c>
      <c r="K63" s="1665">
        <f t="shared" si="7"/>
        <v>180896</v>
      </c>
      <c r="L63" s="1573">
        <v>181850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259530</v>
      </c>
      <c r="D65" s="1661">
        <f t="shared" ref="D65:L65" si="8">SUM(D59:D64)</f>
        <v>18927</v>
      </c>
      <c r="E65" s="1661">
        <f t="shared" si="8"/>
        <v>39844</v>
      </c>
      <c r="F65" s="1661">
        <f t="shared" si="8"/>
        <v>109131</v>
      </c>
      <c r="G65" s="1661">
        <f t="shared" si="8"/>
        <v>21300</v>
      </c>
      <c r="H65" s="1661">
        <f t="shared" si="8"/>
        <v>161</v>
      </c>
      <c r="I65" s="1661">
        <f t="shared" si="8"/>
        <v>0</v>
      </c>
      <c r="J65" s="1661">
        <f t="shared" si="8"/>
        <v>0</v>
      </c>
      <c r="K65" s="1661">
        <f t="shared" si="8"/>
        <v>448893</v>
      </c>
      <c r="L65" s="1661">
        <f t="shared" si="8"/>
        <v>470721</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673072</v>
      </c>
      <c r="D74" s="1668">
        <f t="shared" ref="D74:K74" si="10">SUM(D42,D47,D53,D57,D65,D72,D73)</f>
        <v>95773</v>
      </c>
      <c r="E74" s="1668">
        <f t="shared" si="10"/>
        <v>155768</v>
      </c>
      <c r="F74" s="1668">
        <f t="shared" si="10"/>
        <v>131243</v>
      </c>
      <c r="G74" s="1668">
        <f t="shared" si="10"/>
        <v>21300</v>
      </c>
      <c r="H74" s="1668">
        <f t="shared" si="10"/>
        <v>7163</v>
      </c>
      <c r="I74" s="1668">
        <f t="shared" si="10"/>
        <v>0</v>
      </c>
      <c r="J74" s="1668">
        <f t="shared" si="10"/>
        <v>0</v>
      </c>
      <c r="K74" s="1668">
        <f t="shared" si="10"/>
        <v>1084319</v>
      </c>
      <c r="L74" s="1668">
        <f>SUM(L42,L47,L53,L57,L65,L72,L73)</f>
        <v>1102115</v>
      </c>
    </row>
    <row r="75" spans="1:14" s="254" customFormat="1" ht="15.75" customHeight="1" thickTop="1" thickBot="1" x14ac:dyDescent="0.25">
      <c r="A75" s="1348" t="s">
        <v>47</v>
      </c>
      <c r="B75" s="1349" t="s">
        <v>571</v>
      </c>
      <c r="C75" s="1573">
        <v>20423</v>
      </c>
      <c r="D75" s="1573">
        <v>1500</v>
      </c>
      <c r="E75" s="1573">
        <v>5789</v>
      </c>
      <c r="F75" s="1573">
        <v>4324</v>
      </c>
      <c r="G75" s="1573">
        <v>0</v>
      </c>
      <c r="H75" s="1573">
        <v>0</v>
      </c>
      <c r="I75" s="1573">
        <v>0</v>
      </c>
      <c r="J75" s="1573">
        <v>0</v>
      </c>
      <c r="K75" s="1661">
        <f>SUM(C75:J75)</f>
        <v>32036</v>
      </c>
      <c r="L75" s="1645">
        <v>33225</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358</v>
      </c>
      <c r="F78" s="1660"/>
      <c r="G78" s="1660"/>
      <c r="H78" s="1573">
        <v>4097</v>
      </c>
      <c r="I78" s="1582"/>
      <c r="J78" s="1582"/>
      <c r="K78" s="1659">
        <f t="shared" ref="K78:K83" si="11">SUM(C78:J78)</f>
        <v>4455</v>
      </c>
      <c r="L78" s="1586">
        <v>4460</v>
      </c>
    </row>
    <row r="79" spans="1:14" x14ac:dyDescent="0.2">
      <c r="A79" s="1274" t="s">
        <v>301</v>
      </c>
      <c r="B79" s="503">
        <v>4120</v>
      </c>
      <c r="C79" s="1660"/>
      <c r="D79" s="1660"/>
      <c r="E79" s="1573">
        <v>0</v>
      </c>
      <c r="F79" s="1660"/>
      <c r="G79" s="1660"/>
      <c r="H79" s="1573">
        <v>113801</v>
      </c>
      <c r="I79" s="1582"/>
      <c r="J79" s="1582"/>
      <c r="K79" s="1659">
        <f t="shared" si="11"/>
        <v>113801</v>
      </c>
      <c r="L79" s="1573">
        <v>113800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36426</v>
      </c>
      <c r="I81" s="1582"/>
      <c r="J81" s="1582"/>
      <c r="K81" s="1659">
        <f t="shared" si="11"/>
        <v>36426</v>
      </c>
      <c r="L81" s="1573">
        <v>36400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1465</v>
      </c>
      <c r="B84" s="1385">
        <v>4100</v>
      </c>
      <c r="C84" s="1660"/>
      <c r="D84" s="1660"/>
      <c r="E84" s="1661">
        <f>SUM(E78:E83)</f>
        <v>358</v>
      </c>
      <c r="F84" s="1660"/>
      <c r="G84" s="1660"/>
      <c r="H84" s="1661">
        <f>SUM(H78:H83)</f>
        <v>154324</v>
      </c>
      <c r="I84" s="1582"/>
      <c r="J84" s="1582"/>
      <c r="K84" s="1661">
        <f>SUM(K78:K83)</f>
        <v>154682</v>
      </c>
      <c r="L84" s="1661">
        <f>SUM(L78:L83)</f>
        <v>154660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177897</v>
      </c>
      <c r="I86" s="1582"/>
      <c r="J86" s="1582"/>
      <c r="K86" s="1668">
        <f t="shared" ref="K86:K98" si="12">H86</f>
        <v>177897</v>
      </c>
      <c r="L86" s="1624">
        <v>178000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177897</v>
      </c>
      <c r="I92" s="1582"/>
      <c r="J92" s="1582"/>
      <c r="K92" s="1668">
        <f t="shared" si="12"/>
        <v>177897</v>
      </c>
      <c r="L92" s="1661">
        <f>SUM(L85:L91)</f>
        <v>178000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499769</v>
      </c>
      <c r="I99" s="1582"/>
      <c r="J99" s="1582"/>
      <c r="K99" s="1668">
        <f>SUM(E99,H99)</f>
        <v>499769</v>
      </c>
      <c r="L99" s="1624">
        <v>627000</v>
      </c>
    </row>
    <row r="100" spans="1:14" ht="14.25" thickTop="1" thickBot="1" x14ac:dyDescent="0.25">
      <c r="A100" s="1386" t="s">
        <v>1466</v>
      </c>
      <c r="B100" s="1387">
        <v>4300</v>
      </c>
      <c r="C100" s="1660"/>
      <c r="D100" s="1660"/>
      <c r="E100" s="1668">
        <f>SUM(E93:E99)</f>
        <v>0</v>
      </c>
      <c r="F100" s="1660"/>
      <c r="G100" s="1660"/>
      <c r="H100" s="1668">
        <f>SUM(H93:H99)</f>
        <v>499769</v>
      </c>
      <c r="I100" s="1582"/>
      <c r="J100" s="1582"/>
      <c r="K100" s="1668">
        <f>SUM(K93:K99)</f>
        <v>499769</v>
      </c>
      <c r="L100" s="1668">
        <f>SUM(L93:L99)</f>
        <v>627000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358</v>
      </c>
      <c r="F102" s="1660"/>
      <c r="G102" s="1660"/>
      <c r="H102" s="1668">
        <f>SUM(H84,H92,H100,H101)</f>
        <v>831990</v>
      </c>
      <c r="I102" s="1582"/>
      <c r="J102" s="1582"/>
      <c r="K102" s="1668">
        <f>SUM(K84,K92,K100,K101)</f>
        <v>832348</v>
      </c>
      <c r="L102" s="1668">
        <f>SUM(L84,L92,L100,L101)</f>
        <v>959660</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2089950</v>
      </c>
      <c r="D114" s="1661">
        <f t="shared" ref="D114:K114" si="13">SUM(D33,D74,D75,D102,D112,D113)</f>
        <v>346969</v>
      </c>
      <c r="E114" s="1661">
        <f t="shared" si="13"/>
        <v>196162</v>
      </c>
      <c r="F114" s="1661">
        <f t="shared" si="13"/>
        <v>246201</v>
      </c>
      <c r="G114" s="1661">
        <f t="shared" si="13"/>
        <v>43521</v>
      </c>
      <c r="H114" s="1661">
        <f>SUM(H33,H74,H75,H102,H112,H113)</f>
        <v>905418</v>
      </c>
      <c r="I114" s="1661">
        <f t="shared" si="13"/>
        <v>0</v>
      </c>
      <c r="J114" s="1661">
        <f t="shared" si="13"/>
        <v>0</v>
      </c>
      <c r="K114" s="1661">
        <f t="shared" si="13"/>
        <v>3828221</v>
      </c>
      <c r="L114" s="1661">
        <f>SUM(L33,L74,L75,L102,L112,L113)</f>
        <v>3996367</v>
      </c>
    </row>
    <row r="115" spans="1:14" ht="13.5" thickTop="1" x14ac:dyDescent="0.2">
      <c r="A115" s="2270" t="s">
        <v>988</v>
      </c>
      <c r="B115" s="2271"/>
      <c r="C115" s="1662"/>
      <c r="D115" s="1662"/>
      <c r="E115" s="1662"/>
      <c r="F115" s="1662"/>
      <c r="G115" s="1662"/>
      <c r="H115" s="1662"/>
      <c r="I115" s="1662"/>
      <c r="J115" s="1662"/>
      <c r="K115" s="1675">
        <f>'Revenues 9-14'!C268-'Expenditures 15-22'!K114</f>
        <v>130218</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8" t="s">
        <v>293</v>
      </c>
      <c r="B117" s="2249"/>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0</v>
      </c>
      <c r="D124" s="1573">
        <v>0</v>
      </c>
      <c r="E124" s="1573">
        <v>72349</v>
      </c>
      <c r="F124" s="1573">
        <v>80754</v>
      </c>
      <c r="G124" s="1573">
        <v>156830</v>
      </c>
      <c r="H124" s="1573">
        <v>0</v>
      </c>
      <c r="I124" s="1573">
        <v>0</v>
      </c>
      <c r="J124" s="1573">
        <v>0</v>
      </c>
      <c r="K124" s="1661">
        <f>SUM(C124:J124)</f>
        <v>309933</v>
      </c>
      <c r="L124" s="1573">
        <v>344000</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3120</v>
      </c>
      <c r="H126" s="1680"/>
      <c r="I126" s="1573">
        <v>0</v>
      </c>
      <c r="J126" s="1660"/>
      <c r="K126" s="1661">
        <f>SUM(C126:J126)</f>
        <v>3120</v>
      </c>
      <c r="L126" s="1573">
        <v>0</v>
      </c>
    </row>
    <row r="127" spans="1:14" ht="12.75" customHeight="1" thickTop="1" thickBot="1" x14ac:dyDescent="0.25">
      <c r="A127" s="1380" t="s">
        <v>713</v>
      </c>
      <c r="B127" s="1381" t="s">
        <v>35</v>
      </c>
      <c r="C127" s="1661">
        <f>SUM(C122:C126)</f>
        <v>0</v>
      </c>
      <c r="D127" s="1661">
        <f t="shared" ref="D127:L127" si="14">SUM(D122:D126)</f>
        <v>0</v>
      </c>
      <c r="E127" s="1661">
        <f t="shared" si="14"/>
        <v>72349</v>
      </c>
      <c r="F127" s="1661">
        <f t="shared" si="14"/>
        <v>80754</v>
      </c>
      <c r="G127" s="1661">
        <f t="shared" si="14"/>
        <v>159950</v>
      </c>
      <c r="H127" s="1661">
        <f t="shared" si="14"/>
        <v>0</v>
      </c>
      <c r="I127" s="1661">
        <f t="shared" si="14"/>
        <v>0</v>
      </c>
      <c r="J127" s="1661">
        <f t="shared" si="14"/>
        <v>0</v>
      </c>
      <c r="K127" s="1661">
        <f t="shared" si="14"/>
        <v>313053</v>
      </c>
      <c r="L127" s="1661">
        <f t="shared" si="14"/>
        <v>344000</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0</v>
      </c>
      <c r="D129" s="1668">
        <f t="shared" ref="D129:L129" si="15">SUM(D120,D127,D128)</f>
        <v>0</v>
      </c>
      <c r="E129" s="1668">
        <f t="shared" si="15"/>
        <v>72349</v>
      </c>
      <c r="F129" s="1668">
        <f t="shared" si="15"/>
        <v>80754</v>
      </c>
      <c r="G129" s="1668">
        <f t="shared" si="15"/>
        <v>159950</v>
      </c>
      <c r="H129" s="1668">
        <f t="shared" si="15"/>
        <v>0</v>
      </c>
      <c r="I129" s="1668">
        <f t="shared" si="15"/>
        <v>0</v>
      </c>
      <c r="J129" s="1668">
        <f t="shared" si="15"/>
        <v>0</v>
      </c>
      <c r="K129" s="1668">
        <f t="shared" si="15"/>
        <v>313053</v>
      </c>
      <c r="L129" s="1668">
        <f t="shared" si="15"/>
        <v>344000</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0" t="s">
        <v>616</v>
      </c>
      <c r="B151" s="2242"/>
      <c r="C151" s="1661">
        <f>SUM(C129,C130,C139,C149,C150)</f>
        <v>0</v>
      </c>
      <c r="D151" s="1661">
        <f t="shared" ref="D151:K151" si="16">SUM(D129,D130,D139,D149,D150)</f>
        <v>0</v>
      </c>
      <c r="E151" s="1661">
        <f t="shared" si="16"/>
        <v>72349</v>
      </c>
      <c r="F151" s="1661">
        <f t="shared" si="16"/>
        <v>80754</v>
      </c>
      <c r="G151" s="1661">
        <f t="shared" si="16"/>
        <v>159950</v>
      </c>
      <c r="H151" s="1661">
        <f t="shared" si="16"/>
        <v>0</v>
      </c>
      <c r="I151" s="1661">
        <f t="shared" si="16"/>
        <v>0</v>
      </c>
      <c r="J151" s="1661">
        <f t="shared" si="16"/>
        <v>0</v>
      </c>
      <c r="K151" s="1661">
        <f t="shared" si="16"/>
        <v>313053</v>
      </c>
      <c r="L151" s="1661">
        <f>SUM(L129,L130,L139,L149,L150)</f>
        <v>344000</v>
      </c>
    </row>
    <row r="152" spans="1:14" ht="12.75" customHeight="1" thickTop="1" x14ac:dyDescent="0.2">
      <c r="A152" s="2263" t="s">
        <v>1167</v>
      </c>
      <c r="B152" s="2264"/>
      <c r="C152" s="1662"/>
      <c r="D152" s="1662"/>
      <c r="E152" s="1662"/>
      <c r="F152" s="1662"/>
      <c r="G152" s="1662"/>
      <c r="H152" s="1662"/>
      <c r="I152" s="1662"/>
      <c r="J152" s="1660"/>
      <c r="K152" s="1675">
        <f>'Revenues 9-14'!D268-'Expenditures 15-22'!K151</f>
        <v>-91507</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8" t="s">
        <v>617</v>
      </c>
      <c r="B154" s="2250"/>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29362</v>
      </c>
      <c r="I169" s="1660"/>
      <c r="J169" s="1660"/>
      <c r="K169" s="1659">
        <f>SUM(C169:H169)</f>
        <v>29362</v>
      </c>
      <c r="L169" s="1681">
        <v>29364</v>
      </c>
    </row>
    <row r="170" spans="1:14" ht="33.75" customHeight="1" x14ac:dyDescent="0.2">
      <c r="A170" s="543" t="s">
        <v>1648</v>
      </c>
      <c r="B170" s="545" t="s">
        <v>31</v>
      </c>
      <c r="C170" s="1660"/>
      <c r="D170" s="1660"/>
      <c r="E170" s="1660"/>
      <c r="F170" s="1660"/>
      <c r="G170" s="1660"/>
      <c r="H170" s="1573">
        <v>142339</v>
      </c>
      <c r="I170" s="1660"/>
      <c r="J170" s="1660"/>
      <c r="K170" s="1659">
        <f>SUM(C170:J170)</f>
        <v>142339</v>
      </c>
      <c r="L170" s="1641">
        <v>142339</v>
      </c>
    </row>
    <row r="171" spans="1:14" ht="15.75" customHeight="1" x14ac:dyDescent="0.2">
      <c r="A171" s="507" t="s">
        <v>760</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633</v>
      </c>
      <c r="B172" s="1381" t="s">
        <v>489</v>
      </c>
      <c r="C172" s="1660"/>
      <c r="D172" s="1660"/>
      <c r="E172" s="1668">
        <f>SUM(E168,E169,E170,E171)</f>
        <v>0</v>
      </c>
      <c r="F172" s="1660"/>
      <c r="G172" s="1660"/>
      <c r="H172" s="1668">
        <f>SUM(H168,H169,H170,H171)</f>
        <v>171701</v>
      </c>
      <c r="I172" s="1670"/>
      <c r="J172" s="1660"/>
      <c r="K172" s="1668">
        <f>SUM(K168,K169,K170,K171)</f>
        <v>171701</v>
      </c>
      <c r="L172" s="1668">
        <f>SUM(L168,L169,L170,L171)</f>
        <v>171703</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171701</v>
      </c>
      <c r="I174" s="1670"/>
      <c r="J174" s="1660"/>
      <c r="K174" s="1668">
        <f>SUM(K160,K172,K173)</f>
        <v>171701</v>
      </c>
      <c r="L174" s="1668">
        <f>SUM(L160,L172,L173)</f>
        <v>171703</v>
      </c>
    </row>
    <row r="175" spans="1:14" ht="13.5" thickTop="1" x14ac:dyDescent="0.2">
      <c r="A175" s="2270" t="s">
        <v>988</v>
      </c>
      <c r="B175" s="2271"/>
      <c r="C175" s="1660"/>
      <c r="D175" s="1660"/>
      <c r="E175" s="1660"/>
      <c r="F175" s="1660"/>
      <c r="G175" s="1660"/>
      <c r="H175" s="1662"/>
      <c r="I175" s="1660"/>
      <c r="J175" s="1660"/>
      <c r="K175" s="1675">
        <f>'Revenues 9-14'!E268-'Expenditures 15-22'!K174</f>
        <v>115181</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127436</v>
      </c>
      <c r="D182" s="1573">
        <v>5478</v>
      </c>
      <c r="E182" s="1573">
        <v>99288</v>
      </c>
      <c r="F182" s="1573">
        <v>26351</v>
      </c>
      <c r="G182" s="1573">
        <v>0</v>
      </c>
      <c r="H182" s="1573">
        <v>1750</v>
      </c>
      <c r="I182" s="1573">
        <v>0</v>
      </c>
      <c r="J182" s="1573">
        <v>0</v>
      </c>
      <c r="K182" s="1659">
        <f>SUM(C182:J182)</f>
        <v>260303</v>
      </c>
      <c r="L182" s="1573">
        <v>262400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127436</v>
      </c>
      <c r="D184" s="1668">
        <f t="shared" ref="D184:J184" si="17">SUM(D180,D182,D183)</f>
        <v>5478</v>
      </c>
      <c r="E184" s="1668">
        <f t="shared" si="17"/>
        <v>99288</v>
      </c>
      <c r="F184" s="1668">
        <f t="shared" si="17"/>
        <v>26351</v>
      </c>
      <c r="G184" s="1668">
        <f t="shared" si="17"/>
        <v>0</v>
      </c>
      <c r="H184" s="1668">
        <f t="shared" si="17"/>
        <v>1750</v>
      </c>
      <c r="I184" s="1668">
        <f t="shared" si="17"/>
        <v>0</v>
      </c>
      <c r="J184" s="1668">
        <f t="shared" si="17"/>
        <v>0</v>
      </c>
      <c r="K184" s="1668">
        <f>SUM(K180,K182,K183)</f>
        <v>260303</v>
      </c>
      <c r="L184" s="1668">
        <f>SUM(L180, L182:L183)</f>
        <v>262400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127436</v>
      </c>
      <c r="D210" s="1661">
        <f>SUM(D184,D185)</f>
        <v>5478</v>
      </c>
      <c r="E210" s="1661">
        <f>SUM(E184,E185,E196)</f>
        <v>99288</v>
      </c>
      <c r="F210" s="1661">
        <f>SUM(F184,F185)</f>
        <v>26351</v>
      </c>
      <c r="G210" s="1661">
        <f>SUM(G184,G185)</f>
        <v>0</v>
      </c>
      <c r="H210" s="1661">
        <f>SUM(H184,H185,H196,H208,H209)</f>
        <v>1750</v>
      </c>
      <c r="I210" s="1661">
        <f>SUM(I184,I185)</f>
        <v>0</v>
      </c>
      <c r="J210" s="1661">
        <f>SUM(J184,J185)</f>
        <v>0</v>
      </c>
      <c r="K210" s="1659">
        <f>SUM(K184,K185,K196,K208,K209)</f>
        <v>260303</v>
      </c>
      <c r="L210" s="1661">
        <f>SUM(L184,L185,L196,L208,L209)</f>
        <v>262400</v>
      </c>
    </row>
    <row r="211" spans="1:14" ht="13.5" thickTop="1" x14ac:dyDescent="0.2">
      <c r="A211" s="2270" t="s">
        <v>988</v>
      </c>
      <c r="B211" s="2271"/>
      <c r="C211" s="1662"/>
      <c r="D211" s="1662"/>
      <c r="E211" s="1662"/>
      <c r="F211" s="1662"/>
      <c r="G211" s="1662"/>
      <c r="H211" s="1662"/>
      <c r="I211" s="1660"/>
      <c r="J211" s="1660"/>
      <c r="K211" s="1675">
        <f>'Revenues 9-14'!F268-'Expenditures 15-22'!K210</f>
        <v>42574</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5" t="s">
        <v>958</v>
      </c>
      <c r="B213" s="2266"/>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12562</v>
      </c>
      <c r="E215" s="1660"/>
      <c r="F215" s="1660"/>
      <c r="G215" s="1660"/>
      <c r="H215" s="1660"/>
      <c r="I215" s="1660"/>
      <c r="J215" s="1660"/>
      <c r="K215" s="1659">
        <f>D215</f>
        <v>12562</v>
      </c>
      <c r="L215" s="1573">
        <v>12600</v>
      </c>
    </row>
    <row r="216" spans="1:14" x14ac:dyDescent="0.2">
      <c r="A216" s="1274" t="s">
        <v>162</v>
      </c>
      <c r="B216" s="503" t="s">
        <v>960</v>
      </c>
      <c r="C216" s="1660"/>
      <c r="D216" s="1573">
        <v>3828</v>
      </c>
      <c r="E216" s="1660"/>
      <c r="F216" s="1660"/>
      <c r="G216" s="1660"/>
      <c r="H216" s="1660"/>
      <c r="I216" s="1660"/>
      <c r="J216" s="1660"/>
      <c r="K216" s="1659">
        <f t="shared" ref="K216:K228" si="19">D216</f>
        <v>3828</v>
      </c>
      <c r="L216" s="1573">
        <v>3850</v>
      </c>
    </row>
    <row r="217" spans="1:14" x14ac:dyDescent="0.2">
      <c r="A217" s="1274" t="s">
        <v>163</v>
      </c>
      <c r="B217" s="503">
        <v>1200</v>
      </c>
      <c r="C217" s="1660"/>
      <c r="D217" s="1573">
        <v>8798</v>
      </c>
      <c r="E217" s="1660"/>
      <c r="F217" s="1660"/>
      <c r="G217" s="1660"/>
      <c r="H217" s="1660"/>
      <c r="I217" s="1660"/>
      <c r="J217" s="1660"/>
      <c r="K217" s="1659">
        <f t="shared" si="19"/>
        <v>8798</v>
      </c>
      <c r="L217" s="1573">
        <v>8800</v>
      </c>
    </row>
    <row r="218" spans="1:14" x14ac:dyDescent="0.2">
      <c r="A218" s="1274" t="s">
        <v>276</v>
      </c>
      <c r="B218" s="503" t="s">
        <v>961</v>
      </c>
      <c r="C218" s="1660"/>
      <c r="D218" s="1573">
        <v>0</v>
      </c>
      <c r="E218" s="1660"/>
      <c r="F218" s="1660"/>
      <c r="G218" s="1660"/>
      <c r="H218" s="1660"/>
      <c r="I218" s="1660"/>
      <c r="J218" s="1660"/>
      <c r="K218" s="1659">
        <f t="shared" si="19"/>
        <v>0</v>
      </c>
      <c r="L218" s="1573">
        <v>0</v>
      </c>
    </row>
    <row r="219" spans="1:14" x14ac:dyDescent="0.2">
      <c r="A219" s="1274" t="s">
        <v>277</v>
      </c>
      <c r="B219" s="503">
        <v>1250</v>
      </c>
      <c r="C219" s="1660"/>
      <c r="D219" s="1573">
        <v>3713</v>
      </c>
      <c r="E219" s="1660"/>
      <c r="F219" s="1660"/>
      <c r="G219" s="1660"/>
      <c r="H219" s="1660"/>
      <c r="I219" s="1660"/>
      <c r="J219" s="1660"/>
      <c r="K219" s="1659">
        <f t="shared" si="19"/>
        <v>3713</v>
      </c>
      <c r="L219" s="1573">
        <v>5350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539</v>
      </c>
      <c r="E222" s="1660"/>
      <c r="F222" s="1660"/>
      <c r="G222" s="1660"/>
      <c r="H222" s="1660"/>
      <c r="I222" s="1660"/>
      <c r="J222" s="1660"/>
      <c r="K222" s="1659">
        <f t="shared" si="19"/>
        <v>539</v>
      </c>
      <c r="L222" s="1573">
        <v>650</v>
      </c>
    </row>
    <row r="223" spans="1:14" x14ac:dyDescent="0.2">
      <c r="A223" s="1274" t="s">
        <v>956</v>
      </c>
      <c r="B223" s="503">
        <v>1500</v>
      </c>
      <c r="C223" s="1660"/>
      <c r="D223" s="1573">
        <v>2315</v>
      </c>
      <c r="E223" s="1660"/>
      <c r="F223" s="1660"/>
      <c r="G223" s="1660"/>
      <c r="H223" s="1660"/>
      <c r="I223" s="1660"/>
      <c r="J223" s="1660"/>
      <c r="K223" s="1659">
        <f t="shared" si="19"/>
        <v>2315</v>
      </c>
      <c r="L223" s="1573">
        <v>2635</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112</v>
      </c>
      <c r="E226" s="1660"/>
      <c r="F226" s="1660"/>
      <c r="G226" s="1660"/>
      <c r="H226" s="1660"/>
      <c r="I226" s="1660"/>
      <c r="J226" s="1660"/>
      <c r="K226" s="1659">
        <f t="shared" si="19"/>
        <v>112</v>
      </c>
      <c r="L226" s="1573">
        <v>200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31867</v>
      </c>
      <c r="E229" s="1660"/>
      <c r="F229" s="1660"/>
      <c r="G229" s="1660"/>
      <c r="H229" s="1660"/>
      <c r="I229" s="1660"/>
      <c r="J229" s="1660"/>
      <c r="K229" s="1661">
        <f>SUM(K215:K228)</f>
        <v>31867</v>
      </c>
      <c r="L229" s="1661">
        <f>SUM(L215:L228)</f>
        <v>34085</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7576</v>
      </c>
      <c r="E232" s="1660"/>
      <c r="F232" s="1660"/>
      <c r="G232" s="1660"/>
      <c r="H232" s="1660"/>
      <c r="I232" s="1660"/>
      <c r="J232" s="1660"/>
      <c r="K232" s="1659">
        <f t="shared" ref="K232:K237" si="20">D232</f>
        <v>7576</v>
      </c>
      <c r="L232" s="1573">
        <v>11400</v>
      </c>
    </row>
    <row r="233" spans="1:12" x14ac:dyDescent="0.2">
      <c r="A233" s="1274" t="s">
        <v>1080</v>
      </c>
      <c r="B233" s="503">
        <v>2120</v>
      </c>
      <c r="C233" s="1660"/>
      <c r="D233" s="1573">
        <v>631</v>
      </c>
      <c r="E233" s="1660"/>
      <c r="F233" s="1660"/>
      <c r="G233" s="1660"/>
      <c r="H233" s="1660"/>
      <c r="I233" s="1660"/>
      <c r="J233" s="1660"/>
      <c r="K233" s="1659">
        <f t="shared" si="20"/>
        <v>631</v>
      </c>
      <c r="L233" s="1573">
        <v>625</v>
      </c>
    </row>
    <row r="234" spans="1:12" x14ac:dyDescent="0.2">
      <c r="A234" s="1274" t="s">
        <v>196</v>
      </c>
      <c r="B234" s="503">
        <v>2130</v>
      </c>
      <c r="C234" s="1660"/>
      <c r="D234" s="1573">
        <v>8915</v>
      </c>
      <c r="E234" s="1660"/>
      <c r="F234" s="1660"/>
      <c r="G234" s="1660"/>
      <c r="H234" s="1660"/>
      <c r="I234" s="1660"/>
      <c r="J234" s="1660"/>
      <c r="K234" s="1659">
        <f t="shared" si="20"/>
        <v>8915</v>
      </c>
      <c r="L234" s="1573">
        <v>11800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17122</v>
      </c>
      <c r="E238" s="1660"/>
      <c r="F238" s="1660"/>
      <c r="G238" s="1660"/>
      <c r="H238" s="1660"/>
      <c r="I238" s="1660"/>
      <c r="J238" s="1660"/>
      <c r="K238" s="1661">
        <f>SUM(K232:K237)</f>
        <v>17122</v>
      </c>
      <c r="L238" s="1661">
        <f>SUM(L232:L237)</f>
        <v>23825</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43</v>
      </c>
      <c r="E240" s="1660"/>
      <c r="F240" s="1660"/>
      <c r="G240" s="1660"/>
      <c r="H240" s="1660"/>
      <c r="I240" s="1660"/>
      <c r="J240" s="1660"/>
      <c r="K240" s="1665">
        <f>D240</f>
        <v>43</v>
      </c>
      <c r="L240" s="1586">
        <v>0</v>
      </c>
    </row>
    <row r="241" spans="1:12" x14ac:dyDescent="0.2">
      <c r="A241" s="1274" t="s">
        <v>809</v>
      </c>
      <c r="B241" s="503">
        <v>2220</v>
      </c>
      <c r="C241" s="1660"/>
      <c r="D241" s="1573">
        <v>2462</v>
      </c>
      <c r="E241" s="1660"/>
      <c r="F241" s="1660"/>
      <c r="G241" s="1660"/>
      <c r="H241" s="1660"/>
      <c r="I241" s="1660"/>
      <c r="J241" s="1660"/>
      <c r="K241" s="1665">
        <f>D241</f>
        <v>2462</v>
      </c>
      <c r="L241" s="1573">
        <v>5200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2505</v>
      </c>
      <c r="E243" s="1660"/>
      <c r="F243" s="1660"/>
      <c r="G243" s="1660"/>
      <c r="H243" s="1660"/>
      <c r="I243" s="1660"/>
      <c r="J243" s="1660"/>
      <c r="K243" s="1661">
        <f>SUM(K240:K242)</f>
        <v>2505</v>
      </c>
      <c r="L243" s="1661">
        <f>SUM(L240:L242)</f>
        <v>5200</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5158</v>
      </c>
      <c r="E245" s="1660"/>
      <c r="F245" s="1660"/>
      <c r="G245" s="1660"/>
      <c r="H245" s="1660"/>
      <c r="I245" s="1660"/>
      <c r="J245" s="1660"/>
      <c r="K245" s="1665">
        <f>D245</f>
        <v>5158</v>
      </c>
      <c r="L245" s="1586">
        <v>4800</v>
      </c>
    </row>
    <row r="246" spans="1:12" x14ac:dyDescent="0.2">
      <c r="A246" s="1274" t="s">
        <v>812</v>
      </c>
      <c r="B246" s="503">
        <v>2320</v>
      </c>
      <c r="C246" s="1660"/>
      <c r="D246" s="1573">
        <v>1294</v>
      </c>
      <c r="E246" s="1660"/>
      <c r="F246" s="1660"/>
      <c r="G246" s="1660"/>
      <c r="H246" s="1660"/>
      <c r="I246" s="1660"/>
      <c r="J246" s="1660"/>
      <c r="K246" s="1665">
        <f t="shared" ref="K246:K256" si="21">D246</f>
        <v>1294</v>
      </c>
      <c r="L246" s="1573">
        <v>1350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0</v>
      </c>
      <c r="E254" s="1660"/>
      <c r="F254" s="1660"/>
      <c r="G254" s="1660"/>
      <c r="H254" s="1660"/>
      <c r="I254" s="1660"/>
      <c r="J254" s="1660"/>
      <c r="K254" s="1665">
        <f t="shared" si="21"/>
        <v>0</v>
      </c>
      <c r="L254" s="1573">
        <v>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6452</v>
      </c>
      <c r="E257" s="1660"/>
      <c r="F257" s="1660"/>
      <c r="G257" s="1660"/>
      <c r="H257" s="1660"/>
      <c r="I257" s="1660"/>
      <c r="J257" s="1660"/>
      <c r="K257" s="1661">
        <f>SUM(K245:K256)</f>
        <v>6452</v>
      </c>
      <c r="L257" s="1661">
        <f>SUM(L245:L256)</f>
        <v>6150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1984</v>
      </c>
      <c r="E259" s="1660"/>
      <c r="F259" s="1660"/>
      <c r="G259" s="1660"/>
      <c r="H259" s="1660"/>
      <c r="I259" s="1660"/>
      <c r="J259" s="1660"/>
      <c r="K259" s="1665">
        <f>D259</f>
        <v>1984</v>
      </c>
      <c r="L259" s="1586">
        <v>1875</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1984</v>
      </c>
      <c r="E261" s="1660"/>
      <c r="F261" s="1660"/>
      <c r="G261" s="1660"/>
      <c r="H261" s="1660"/>
      <c r="I261" s="1660"/>
      <c r="J261" s="1660"/>
      <c r="K261" s="1661">
        <f>SUM(K259:K260)</f>
        <v>1984</v>
      </c>
      <c r="L261" s="1661">
        <f>SUM(L259:L260)</f>
        <v>1875</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6822</v>
      </c>
      <c r="E264" s="1660"/>
      <c r="F264" s="1660"/>
      <c r="G264" s="1660"/>
      <c r="H264" s="1660"/>
      <c r="I264" s="1660"/>
      <c r="J264" s="1660"/>
      <c r="K264" s="1665">
        <f t="shared" ref="K264:K269" si="22">D264</f>
        <v>6822</v>
      </c>
      <c r="L264" s="1573">
        <v>8800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21030</v>
      </c>
      <c r="E266" s="1660"/>
      <c r="F266" s="1660"/>
      <c r="G266" s="1660"/>
      <c r="H266" s="1660"/>
      <c r="I266" s="1660"/>
      <c r="J266" s="1660"/>
      <c r="K266" s="1665">
        <f t="shared" si="22"/>
        <v>21030</v>
      </c>
      <c r="L266" s="1573">
        <v>20900</v>
      </c>
    </row>
    <row r="267" spans="1:14" x14ac:dyDescent="0.2">
      <c r="A267" s="1274" t="s">
        <v>946</v>
      </c>
      <c r="B267" s="503">
        <v>2550</v>
      </c>
      <c r="C267" s="1660"/>
      <c r="D267" s="1573">
        <v>19206</v>
      </c>
      <c r="E267" s="1660"/>
      <c r="F267" s="1660"/>
      <c r="G267" s="1660"/>
      <c r="H267" s="1660"/>
      <c r="I267" s="1660"/>
      <c r="J267" s="1660"/>
      <c r="K267" s="1665">
        <f t="shared" si="22"/>
        <v>19206</v>
      </c>
      <c r="L267" s="1573">
        <v>12000</v>
      </c>
    </row>
    <row r="268" spans="1:14" x14ac:dyDescent="0.2">
      <c r="A268" s="1274" t="s">
        <v>100</v>
      </c>
      <c r="B268" s="503">
        <v>2560</v>
      </c>
      <c r="C268" s="1660"/>
      <c r="D268" s="1573">
        <v>9670</v>
      </c>
      <c r="E268" s="1660"/>
      <c r="F268" s="1660"/>
      <c r="G268" s="1660"/>
      <c r="H268" s="1660"/>
      <c r="I268" s="1660"/>
      <c r="J268" s="1660"/>
      <c r="K268" s="1665">
        <f t="shared" si="22"/>
        <v>9670</v>
      </c>
      <c r="L268" s="1573">
        <v>12500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56728</v>
      </c>
      <c r="E270" s="1660"/>
      <c r="F270" s="1660"/>
      <c r="G270" s="1660"/>
      <c r="H270" s="1660"/>
      <c r="I270" s="1660"/>
      <c r="J270" s="1660"/>
      <c r="K270" s="1661">
        <f>SUM(K263:K269)</f>
        <v>56728</v>
      </c>
      <c r="L270" s="1661">
        <f>SUM(L263:L269)</f>
        <v>54200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84791</v>
      </c>
      <c r="E279" s="1660"/>
      <c r="F279" s="1660"/>
      <c r="G279" s="1660"/>
      <c r="H279" s="1660"/>
      <c r="I279" s="1660"/>
      <c r="J279" s="1660"/>
      <c r="K279" s="1668">
        <f>SUM(K238,K243,K257,K261,K270,K277,K278)</f>
        <v>84791</v>
      </c>
      <c r="L279" s="1668">
        <f>SUM(L238,L243,L257,L261,L270,L277,L278)</f>
        <v>91250</v>
      </c>
    </row>
    <row r="280" spans="1:12" ht="15.75" customHeight="1" thickTop="1" thickBot="1" x14ac:dyDescent="0.25">
      <c r="A280" s="1362" t="s">
        <v>869</v>
      </c>
      <c r="B280" s="1351">
        <v>3000</v>
      </c>
      <c r="C280" s="1660"/>
      <c r="D280" s="1573">
        <v>3593</v>
      </c>
      <c r="E280" s="1660"/>
      <c r="F280" s="1660"/>
      <c r="G280" s="1660"/>
      <c r="H280" s="1660"/>
      <c r="I280" s="1660"/>
      <c r="J280" s="1660"/>
      <c r="K280" s="1673">
        <f>D280</f>
        <v>3593</v>
      </c>
      <c r="L280" s="1645">
        <v>3800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1" t="s">
        <v>502</v>
      </c>
      <c r="B295" s="2262"/>
      <c r="C295" s="1660"/>
      <c r="D295" s="1661">
        <f>SUM(D229,D279,D280,D285)</f>
        <v>120251</v>
      </c>
      <c r="E295" s="1660"/>
      <c r="F295" s="1660"/>
      <c r="G295" s="1660"/>
      <c r="H295" s="1661">
        <f>H293</f>
        <v>0</v>
      </c>
      <c r="I295" s="1660"/>
      <c r="J295" s="1660"/>
      <c r="K295" s="1661">
        <f>SUM(K229,K279,K280,K285,K293,K294)</f>
        <v>120251</v>
      </c>
      <c r="L295" s="1661">
        <f>SUM(L229,L279,L280,L285,L293,L294)</f>
        <v>129135</v>
      </c>
    </row>
    <row r="296" spans="1:14" ht="13.5" thickTop="1" x14ac:dyDescent="0.2">
      <c r="A296" s="2270" t="s">
        <v>988</v>
      </c>
      <c r="B296" s="2271"/>
      <c r="C296" s="1660"/>
      <c r="D296" s="1662"/>
      <c r="E296" s="1660"/>
      <c r="F296" s="1660"/>
      <c r="G296" s="1660"/>
      <c r="H296" s="1693"/>
      <c r="I296" s="1660"/>
      <c r="J296" s="1660"/>
      <c r="K296" s="1675">
        <f>'Revenues 9-14'!G268-'Expenditures 15-22'!K295</f>
        <v>27255</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3" t="s">
        <v>142</v>
      </c>
      <c r="B298" s="2247"/>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1141953</v>
      </c>
      <c r="H301" s="1573">
        <v>0</v>
      </c>
      <c r="I301" s="1573">
        <v>0</v>
      </c>
      <c r="J301" s="1573">
        <v>0</v>
      </c>
      <c r="K301" s="1659">
        <f>SUM(C301:J301)</f>
        <v>1141953</v>
      </c>
      <c r="L301" s="1574">
        <v>1142000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1141953</v>
      </c>
      <c r="H303" s="1668">
        <f t="shared" si="23"/>
        <v>0</v>
      </c>
      <c r="I303" s="1668">
        <f t="shared" si="23"/>
        <v>0</v>
      </c>
      <c r="J303" s="1668">
        <f t="shared" si="23"/>
        <v>0</v>
      </c>
      <c r="K303" s="1668">
        <f t="shared" si="23"/>
        <v>1141953</v>
      </c>
      <c r="L303" s="1668">
        <f t="shared" si="23"/>
        <v>1142000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8" t="s">
        <v>275</v>
      </c>
      <c r="B312" s="2259"/>
      <c r="C312" s="1661">
        <f>SUM(C303)</f>
        <v>0</v>
      </c>
      <c r="D312" s="1661">
        <f>SUM(D303)</f>
        <v>0</v>
      </c>
      <c r="E312" s="1661">
        <f>SUM(E303,E310)</f>
        <v>0</v>
      </c>
      <c r="F312" s="1661">
        <f>SUM(F303)</f>
        <v>0</v>
      </c>
      <c r="G312" s="1661">
        <f>SUM(G303)</f>
        <v>1141953</v>
      </c>
      <c r="H312" s="1661">
        <f>SUM(H303,H310)</f>
        <v>0</v>
      </c>
      <c r="I312" s="1661">
        <f>SUM(I303)</f>
        <v>0</v>
      </c>
      <c r="J312" s="1661">
        <f>SUM(J303)</f>
        <v>0</v>
      </c>
      <c r="K312" s="1661">
        <f>SUM(K303,K310,K311)</f>
        <v>1141953</v>
      </c>
      <c r="L312" s="1661">
        <f>SUM(L303,L310,L311)</f>
        <v>1142000</v>
      </c>
      <c r="M312" s="539"/>
      <c r="N312" s="539"/>
    </row>
    <row r="313" spans="1:14" ht="13.5" thickTop="1" x14ac:dyDescent="0.2">
      <c r="A313" s="2254" t="s">
        <v>988</v>
      </c>
      <c r="B313" s="2255"/>
      <c r="C313" s="1664"/>
      <c r="D313" s="1664"/>
      <c r="E313" s="1664"/>
      <c r="F313" s="1664"/>
      <c r="G313" s="1664"/>
      <c r="H313" s="1664"/>
      <c r="I313" s="1664"/>
      <c r="J313" s="1664"/>
      <c r="K313" s="1682">
        <f>'Revenues 9-14'!H268-'Expenditures 15-22'!K312</f>
        <v>-1079520</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7" t="s">
        <v>148</v>
      </c>
      <c r="B315" s="2268"/>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9" t="s">
        <v>891</v>
      </c>
      <c r="B317" s="2268"/>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12294</v>
      </c>
      <c r="F320" s="1573">
        <v>0</v>
      </c>
      <c r="G320" s="1573">
        <v>0</v>
      </c>
      <c r="H320" s="1573">
        <v>0</v>
      </c>
      <c r="I320" s="1573">
        <v>0</v>
      </c>
      <c r="J320" s="1573">
        <v>0</v>
      </c>
      <c r="K320" s="1659">
        <f t="shared" ref="K320:K327" si="24">SUM(C320:J320)</f>
        <v>12294</v>
      </c>
      <c r="L320" s="1574">
        <v>12294</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27255</v>
      </c>
      <c r="F322" s="1573">
        <v>0</v>
      </c>
      <c r="G322" s="1573">
        <v>0</v>
      </c>
      <c r="H322" s="1573">
        <v>0</v>
      </c>
      <c r="I322" s="1573">
        <v>0</v>
      </c>
      <c r="J322" s="1573">
        <v>0</v>
      </c>
      <c r="K322" s="1659">
        <f t="shared" si="24"/>
        <v>27255</v>
      </c>
      <c r="L322" s="1574">
        <v>26849</v>
      </c>
      <c r="M322" s="539"/>
      <c r="N322" s="539"/>
    </row>
    <row r="323" spans="1:14" s="548" customFormat="1" x14ac:dyDescent="0.2">
      <c r="A323" s="1289" t="s">
        <v>696</v>
      </c>
      <c r="B323" s="567" t="s">
        <v>283</v>
      </c>
      <c r="C323" s="1573">
        <v>37056</v>
      </c>
      <c r="D323" s="1573">
        <v>0</v>
      </c>
      <c r="E323" s="1573">
        <v>0</v>
      </c>
      <c r="F323" s="1573">
        <v>0</v>
      </c>
      <c r="G323" s="1573">
        <v>0</v>
      </c>
      <c r="H323" s="1573">
        <v>0</v>
      </c>
      <c r="I323" s="1573">
        <v>0</v>
      </c>
      <c r="J323" s="1573">
        <v>0</v>
      </c>
      <c r="K323" s="1659">
        <f t="shared" si="24"/>
        <v>37056</v>
      </c>
      <c r="L323" s="1574">
        <v>37056</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0</v>
      </c>
      <c r="D325" s="1573">
        <v>0</v>
      </c>
      <c r="E325" s="1573">
        <v>9950</v>
      </c>
      <c r="F325" s="1573">
        <v>0</v>
      </c>
      <c r="G325" s="1573">
        <v>0</v>
      </c>
      <c r="H325" s="1573">
        <v>0</v>
      </c>
      <c r="I325" s="1573">
        <v>0</v>
      </c>
      <c r="J325" s="1573">
        <v>0</v>
      </c>
      <c r="K325" s="1659">
        <f t="shared" si="24"/>
        <v>9950</v>
      </c>
      <c r="L325" s="1574">
        <v>9950</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4588</v>
      </c>
      <c r="F327" s="1573">
        <v>0</v>
      </c>
      <c r="G327" s="1573">
        <v>0</v>
      </c>
      <c r="H327" s="1573">
        <v>0</v>
      </c>
      <c r="I327" s="1573">
        <v>0</v>
      </c>
      <c r="J327" s="1573">
        <v>0</v>
      </c>
      <c r="K327" s="1659">
        <f t="shared" si="24"/>
        <v>4588</v>
      </c>
      <c r="L327" s="1574">
        <v>4600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37056</v>
      </c>
      <c r="D330" s="1661">
        <f t="shared" ref="D330:J330" si="25">SUM(D319:D329)</f>
        <v>0</v>
      </c>
      <c r="E330" s="1661">
        <f t="shared" si="25"/>
        <v>54087</v>
      </c>
      <c r="F330" s="1661">
        <f t="shared" si="25"/>
        <v>0</v>
      </c>
      <c r="G330" s="1661">
        <f t="shared" si="25"/>
        <v>0</v>
      </c>
      <c r="H330" s="1661">
        <f t="shared" si="25"/>
        <v>0</v>
      </c>
      <c r="I330" s="1661">
        <f t="shared" si="25"/>
        <v>0</v>
      </c>
      <c r="J330" s="1661">
        <f t="shared" si="25"/>
        <v>0</v>
      </c>
      <c r="K330" s="1661">
        <f>SUM(K319:K329)</f>
        <v>91143</v>
      </c>
      <c r="L330" s="1661">
        <f>SUM(L319:L329)</f>
        <v>90749</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37056</v>
      </c>
      <c r="D342" s="1661">
        <f>SUM(D330)</f>
        <v>0</v>
      </c>
      <c r="E342" s="1661">
        <f>SUM(E330)</f>
        <v>54087</v>
      </c>
      <c r="F342" s="1661">
        <f>SUM(F330)</f>
        <v>0</v>
      </c>
      <c r="G342" s="1661">
        <f>SUM(G330)</f>
        <v>0</v>
      </c>
      <c r="H342" s="1661">
        <f>SUM(H330,H334,H340)</f>
        <v>0</v>
      </c>
      <c r="I342" s="1661">
        <f>SUM(I330)</f>
        <v>0</v>
      </c>
      <c r="J342" s="1661">
        <f>SUM(J330)</f>
        <v>0</v>
      </c>
      <c r="K342" s="1661">
        <f>SUM(K330,K334,K340)</f>
        <v>91143</v>
      </c>
      <c r="L342" s="1668">
        <f>SUM(L330,L334,L340,L341)</f>
        <v>90749</v>
      </c>
    </row>
    <row r="343" spans="1:14" ht="12.75" customHeight="1" thickTop="1" x14ac:dyDescent="0.2">
      <c r="A343" s="2256" t="s">
        <v>988</v>
      </c>
      <c r="B343" s="2257"/>
      <c r="C343" s="1660"/>
      <c r="D343" s="1660"/>
      <c r="E343" s="1660"/>
      <c r="F343" s="1660"/>
      <c r="G343" s="1660"/>
      <c r="H343" s="1660"/>
      <c r="I343" s="1660"/>
      <c r="J343" s="1660"/>
      <c r="K343" s="1675">
        <f>'Revenues 9-14'!J268-'Expenditures 15-22'!K342</f>
        <v>23980</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6" t="s">
        <v>959</v>
      </c>
      <c r="B345" s="2247"/>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1325</v>
      </c>
      <c r="F348" s="1573">
        <v>0</v>
      </c>
      <c r="G348" s="1573">
        <v>0</v>
      </c>
      <c r="H348" s="1573">
        <v>0</v>
      </c>
      <c r="I348" s="1573">
        <v>0</v>
      </c>
      <c r="J348" s="1573">
        <v>0</v>
      </c>
      <c r="K348" s="1659">
        <f>SUM(C348:J348)</f>
        <v>1325</v>
      </c>
      <c r="L348" s="1573">
        <v>1947</v>
      </c>
    </row>
    <row r="349" spans="1:14" x14ac:dyDescent="0.2">
      <c r="A349" s="1274" t="s">
        <v>195</v>
      </c>
      <c r="B349" s="503">
        <v>2540</v>
      </c>
      <c r="C349" s="1573">
        <v>0</v>
      </c>
      <c r="D349" s="1573">
        <v>0</v>
      </c>
      <c r="E349" s="1573">
        <v>0</v>
      </c>
      <c r="F349" s="1573">
        <v>0</v>
      </c>
      <c r="G349" s="1573">
        <v>621</v>
      </c>
      <c r="H349" s="1573">
        <v>0</v>
      </c>
      <c r="I349" s="1573">
        <v>0</v>
      </c>
      <c r="J349" s="1573">
        <v>0</v>
      </c>
      <c r="K349" s="1659">
        <f>SUM(C349:J349)</f>
        <v>621</v>
      </c>
      <c r="L349" s="1573">
        <v>0</v>
      </c>
    </row>
    <row r="350" spans="1:14" ht="12.75" customHeight="1" thickBot="1" x14ac:dyDescent="0.25">
      <c r="A350" s="1380" t="s">
        <v>713</v>
      </c>
      <c r="B350" s="1381" t="s">
        <v>35</v>
      </c>
      <c r="C350" s="1661">
        <f>SUM(C348:C349)</f>
        <v>0</v>
      </c>
      <c r="D350" s="1661">
        <f t="shared" ref="D350:L350" si="26">SUM(D348:D349)</f>
        <v>0</v>
      </c>
      <c r="E350" s="1661">
        <f t="shared" si="26"/>
        <v>1325</v>
      </c>
      <c r="F350" s="1661">
        <f t="shared" si="26"/>
        <v>0</v>
      </c>
      <c r="G350" s="1661">
        <f t="shared" si="26"/>
        <v>621</v>
      </c>
      <c r="H350" s="1661">
        <f t="shared" si="26"/>
        <v>0</v>
      </c>
      <c r="I350" s="1661">
        <f t="shared" si="26"/>
        <v>0</v>
      </c>
      <c r="J350" s="1661">
        <f t="shared" si="26"/>
        <v>0</v>
      </c>
      <c r="K350" s="1661">
        <f t="shared" si="26"/>
        <v>1946</v>
      </c>
      <c r="L350" s="1661">
        <f t="shared" si="26"/>
        <v>1947</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1325</v>
      </c>
      <c r="F352" s="1661">
        <f t="shared" si="27"/>
        <v>0</v>
      </c>
      <c r="G352" s="1661">
        <f t="shared" si="27"/>
        <v>621</v>
      </c>
      <c r="H352" s="1661">
        <f t="shared" si="27"/>
        <v>0</v>
      </c>
      <c r="I352" s="1661">
        <f t="shared" si="27"/>
        <v>0</v>
      </c>
      <c r="J352" s="1661">
        <f t="shared" si="27"/>
        <v>0</v>
      </c>
      <c r="K352" s="1661">
        <f t="shared" si="27"/>
        <v>1946</v>
      </c>
      <c r="L352" s="1661">
        <f t="shared" si="27"/>
        <v>1947</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t="s">
        <v>1158</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1325</v>
      </c>
      <c r="F367" s="1661">
        <f t="shared" si="28"/>
        <v>0</v>
      </c>
      <c r="G367" s="1661">
        <f t="shared" si="28"/>
        <v>621</v>
      </c>
      <c r="H367" s="1661">
        <f t="shared" si="28"/>
        <v>0</v>
      </c>
      <c r="I367" s="1661">
        <f t="shared" si="28"/>
        <v>0</v>
      </c>
      <c r="J367" s="1661">
        <f t="shared" si="28"/>
        <v>0</v>
      </c>
      <c r="K367" s="1661">
        <f t="shared" si="28"/>
        <v>1946</v>
      </c>
      <c r="L367" s="1661">
        <f t="shared" si="28"/>
        <v>1947</v>
      </c>
    </row>
    <row r="368" spans="1:14" ht="13.5" thickTop="1" x14ac:dyDescent="0.2">
      <c r="A368" s="2270" t="s">
        <v>988</v>
      </c>
      <c r="B368" s="2271"/>
      <c r="C368" s="1680"/>
      <c r="D368" s="1680"/>
      <c r="E368" s="1664"/>
      <c r="F368" s="1664"/>
      <c r="G368" s="1664"/>
      <c r="H368" s="1664"/>
      <c r="I368" s="1664"/>
      <c r="J368" s="1663"/>
      <c r="K368" s="1659">
        <f>'Revenues 9-14'!K268-'Expenditures 15-22'!K367</f>
        <v>9593</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http://purl.org/dc/elements/1.1/"/>
    <ds:schemaRef ds:uri="http://schemas.microsoft.com/office/infopath/2007/PartnerControls"/>
    <ds:schemaRef ds:uri="http://schemas.microsoft.com/office/2006/metadata/properties"/>
    <ds:schemaRef ds:uri="6ce3111e-7420-4802-b50a-75d4e9a0b980"/>
    <ds:schemaRef ds:uri="http://schemas.openxmlformats.org/package/2006/metadata/core-properties"/>
    <ds:schemaRef ds:uri="http://schemas.microsoft.com/office/2006/documentManagement/types"/>
    <ds:schemaRef ds:uri="4d435f69-8686-490b-bd6d-b153bf22ab50"/>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2020-001</vt:lpstr>
      <vt:lpstr>2020-002 </vt:lpstr>
      <vt:lpstr>2020-003</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2020-10-16T18:25:55Z</cp:lastPrinted>
  <dcterms:created xsi:type="dcterms:W3CDTF">2003-10-29T19:06:34Z</dcterms:created>
  <dcterms:modified xsi:type="dcterms:W3CDTF">2020-10-20T22:07:10Z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