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F468EA-5233-46E3-A28C-9A708BC08660}"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7" r:id="rId21"/>
    <sheet name="Opinion, GAS Rept &amp; Notes - PDF" sheetId="129" r:id="rId22"/>
    <sheet name="Activity Funds - Excel" sheetId="188"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#REF!</definedName>
    <definedName name="AFAFDAF">#REF!</definedName>
    <definedName name="AFDASFDAFDAFD">#REF!</definedName>
    <definedName name="b">#REF!</definedName>
    <definedName name="d">#REF!</definedName>
    <definedName name="dafd">#REF!</definedName>
    <definedName name="E">#REF!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8" i="188" l="1"/>
  <c r="E48" i="188"/>
  <c r="C48" i="188"/>
  <c r="I46" i="188"/>
  <c r="I45" i="188"/>
  <c r="I44" i="188"/>
  <c r="I43" i="188"/>
  <c r="I42" i="188"/>
  <c r="I41" i="188"/>
  <c r="I40" i="188"/>
  <c r="I39" i="188"/>
  <c r="I38" i="188"/>
  <c r="I37" i="188"/>
  <c r="I36" i="188"/>
  <c r="I35" i="188"/>
  <c r="I34" i="188"/>
  <c r="I33" i="188"/>
  <c r="I32" i="188"/>
  <c r="I31" i="188"/>
  <c r="I30" i="188"/>
  <c r="I29" i="188"/>
  <c r="I28" i="188"/>
  <c r="I27" i="188"/>
  <c r="I26" i="188"/>
  <c r="I25" i="188"/>
  <c r="I24" i="188"/>
  <c r="I23" i="188"/>
  <c r="I22" i="188"/>
  <c r="I21" i="188"/>
  <c r="I20" i="188"/>
  <c r="I19" i="188"/>
  <c r="I18" i="188"/>
  <c r="I17" i="188"/>
  <c r="I48" i="188" s="1"/>
  <c r="G12" i="188"/>
  <c r="I12" i="188" s="1"/>
  <c r="E12" i="188"/>
  <c r="M61" i="184" l="1"/>
  <c r="E5" i="29"/>
  <c r="F45" i="29"/>
  <c r="H14" i="29"/>
  <c r="F14" i="29"/>
  <c r="E14" i="29"/>
  <c r="D14" i="29"/>
  <c r="C14" i="29"/>
  <c r="D13" i="29"/>
  <c r="C13" i="29"/>
  <c r="C5" i="29"/>
  <c r="F5" i="29"/>
  <c r="D5" i="29"/>
  <c r="E325" i="29"/>
  <c r="D215" i="29"/>
  <c r="I12" i="11" l="1"/>
  <c r="D12" i="1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8" i="127"/>
  <c r="B69"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F41" i="108"/>
  <c r="G43" i="108" s="1"/>
  <c r="B1381" i="106"/>
  <c r="D1381" i="106" s="1"/>
  <c r="B5527" i="106"/>
  <c r="D5527" i="106" s="1"/>
  <c r="B6216" i="106"/>
  <c r="D6216" i="106" s="1"/>
  <c r="N23" i="3"/>
  <c r="B284" i="106" s="1"/>
  <c r="D284" i="106" s="1"/>
  <c r="N57" i="184"/>
  <c r="N68" i="184" s="1"/>
  <c r="E68" i="184"/>
  <c r="E367" i="29"/>
  <c r="B3636" i="106" s="1"/>
  <c r="D3636" i="106" s="1"/>
  <c r="B3635" i="106"/>
  <c r="D3635" i="106" s="1"/>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224" i="106"/>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7" i="106" l="1"/>
  <c r="D6227" i="106" s="1"/>
  <c r="F8" i="4"/>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<sst xmlns="http://schemas.openxmlformats.org/spreadsheetml/2006/main" count="5267" uniqueCount="2191">
  <si>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</si>
  <si>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</si>
  <si>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</si>
  <si>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</si>
  <si>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</si>
  <si>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</si>
  <si>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</si>
  <si>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</si>
  <si>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</si>
  <si>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</si>
  <si>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</si>
  <si>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</si>
  <si>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</si>
  <si>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</si>
  <si>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</si>
  <si>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</si>
  <si>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</si>
  <si>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</si>
  <si>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</si>
  <si>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</si>
  <si>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</si>
  <si>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</si>
  <si>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</si>
  <si>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</si>
  <si>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</si>
  <si>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</si>
  <si>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</si>
  <si>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</si>
  <si>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</si>
  <si>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</si>
  <si>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</si>
  <si>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</si>
  <si>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</si>
  <si>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</si>
  <si>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</si>
  <si>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</si>
  <si>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</si>
  <si>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</si>
  <si>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</si>
  <si>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</si>
  <si>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</si>
  <si>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</si>
  <si>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</si>
  <si>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</si>
  <si>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</si>
  <si>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</si>
  <si>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</si>
  <si>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</si>
  <si>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</si>
  <si>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</si>
  <si>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</si>
  <si>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</si>
  <si>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</si>
  <si>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</si>
  <si>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</si>
  <si>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</si>
  <si>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</si>
  <si>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</si>
  <si>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</si>
  <si>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</si>
  <si>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</si>
  <si>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</si>
  <si>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</si>
  <si>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</si>
  <si>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</si>
  <si>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</si>
  <si>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</si>
  <si>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</si>
  <si>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</si>
  <si>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</si>
  <si>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</si>
  <si>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</si>
  <si>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</si>
  <si>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</si>
  <si>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</si>
  <si>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</si>
  <si>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</si>
  <si>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</si>
  <si>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</si>
  <si>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</si>
  <si>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</si>
  <si>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</si>
  <si>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</si>
  <si>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</si>
  <si>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</si>
  <si>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</si>
  <si>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</si>
  <si>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</si>
  <si>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</si>
  <si>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</si>
  <si>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</si>
  <si>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</si>
  <si>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</si>
  <si>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</si>
  <si>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</si>
  <si>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</si>
  <si>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</si>
  <si>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</si>
  <si>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</si>
  <si>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</si>
  <si>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</si>
  <si>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</si>
  <si>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</si>
  <si>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</si>
  <si>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</si>
  <si>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</si>
  <si>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</si>
  <si>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</si>
  <si>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</si>
  <si>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</si>
  <si>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</si>
  <si>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</si>
  <si>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</si>
  <si>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</si>
  <si>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</si>
  <si>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</si>
  <si>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</si>
  <si>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</si>
  <si>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</si>
  <si>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</si>
  <si>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</si>
  <si>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</si>
  <si>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</si>
  <si>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</si>
  <si>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</si>
  <si>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</si>
  <si>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</si>
  <si>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</si>
  <si>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</si>
  <si>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</si>
  <si>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</si>
  <si>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</si>
  <si>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</si>
  <si>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</si>
  <si>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</si>
  <si>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</si>
  <si>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</si>
  <si>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</si>
  <si>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</si>
  <si>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</si>
  <si>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</si>
  <si>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</si>
  <si>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</si>
  <si>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</si>
  <si>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</si>
  <si>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</si>
  <si>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</si>
  <si>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</si>
  <si>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</si>
  <si>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</si>
  <si>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</si>
  <si>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</si>
  <si>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</si>
  <si>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</si>
  <si>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</si>
  <si>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</si>
  <si>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</si>
  <si>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</si>
  <si>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</si>
  <si>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</si>
  <si>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</si>
  <si>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</si>
  <si>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</si>
  <si>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</si>
  <si>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</si>
  <si>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</si>
  <si>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</si>
  <si>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</si>
  <si>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</si>
  <si>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</si>
  <si>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</si>
  <si>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</si>
  <si>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</si>
  <si>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</si>
  <si>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</si>
  <si>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</si>
  <si>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</si>
  <si>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</si>
  <si>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</si>
  <si>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</si>
  <si>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</si>
  <si>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</si>
  <si>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</si>
  <si>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</si>
  <si>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</si>
  <si>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</si>
  <si>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</si>
  <si>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</si>
  <si>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</si>
  <si>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</si>
  <si>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</si>
  <si>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</si>
  <si>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</si>
  <si>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</si>
  <si>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</si>
  <si>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</si>
  <si>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</si>
  <si>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</si>
  <si>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</si>
  <si>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</si>
  <si>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</si>
  <si>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</si>
  <si>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</si>
  <si>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</si>
  <si>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</si>
  <si>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</si>
  <si>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</si>
  <si>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</si>
  <si>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</si>
  <si>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</si>
  <si>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</si>
  <si>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</si>
  <si>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</si>
  <si>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</si>
  <si>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</si>
  <si>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</si>
  <si>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</si>
  <si>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</si>
  <si>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</si>
  <si>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</si>
  <si>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</si>
  <si>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</si>
  <si>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</si>
  <si>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</si>
  <si>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</si>
  <si>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</si>
  <si>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</si>
  <si>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</si>
  <si>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</si>
  <si>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</si>
  <si>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</si>
  <si>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</si>
  <si>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</si>
  <si>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</si>
  <si>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</si>
  <si>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</si>
  <si>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</si>
  <si>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</si>
  <si>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</si>
  <si>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</si>
  <si>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</si>
  <si>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</si>
  <si>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</si>
  <si>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</si>
  <si>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</si>
  <si>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</si>
  <si>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</si>
  <si>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</si>
  <si>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</si>
  <si>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</si>
  <si>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</si>
  <si>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</si>
  <si>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</si>
  <si>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</si>
  <si>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</si>
  <si>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</si>
  <si>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</si>
  <si>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</si>
  <si>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</si>
  <si>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</si>
  <si>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</si>
  <si>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</si>
  <si>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</si>
  <si>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</si>
  <si>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</si>
  <si>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</si>
  <si>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</si>
  <si>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</si>
  <si>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</si>
  <si>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</si>
  <si>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</si>
  <si>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</si>
  <si>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</si>
  <si>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</si>
  <si>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</si>
  <si>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</si>
  <si>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</si>
  <si>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</si>
  <si>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</si>
  <si>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</si>
  <si>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</si>
  <si>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</si>
  <si>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</si>
  <si>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</si>
  <si>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</si>
  <si>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</si>
  <si>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</si>
  <si>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</si>
  <si>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</si>
  <si>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</si>
  <si>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</si>
  <si>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</si>
  <si>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</si>
  <si>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</si>
  <si>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</si>
  <si>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</si>
  <si>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</si>
  <si>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</si>
  <si>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</si>
  <si>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</si>
  <si>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</si>
  <si>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</si>
  <si>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</si>
  <si>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</si>
  <si>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</si>
  <si>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</si>
  <si>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</si>
  <si>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</si>
  <si>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</si>
  <si>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</si>
  <si>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</si>
  <si>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</si>
  <si>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</si>
  <si>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</si>
  <si>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</si>
  <si>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</si>
  <si>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</si>
  <si>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</si>
  <si>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</si>
  <si>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</si>
  <si>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</si>
  <si>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</si>
  <si>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</si>
  <si>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</si>
  <si>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</si>
  <si>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</si>
  <si>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</si>
  <si>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</si>
  <si>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</si>
  <si>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</si>
  <si>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</si>
  <si>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</si>
  <si>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</si>
  <si>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</si>
  <si>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</si>
  <si>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</si>
  <si>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</si>
  <si>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</si>
  <si>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</si>
  <si>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</si>
  <si>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</si>
  <si>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</si>
  <si>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</si>
  <si>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</si>
  <si>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</si>
  <si>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</si>
  <si>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</si>
  <si>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</si>
  <si>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</si>
  <si>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</si>
  <si>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</si>
  <si>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</si>
  <si>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</si>
  <si>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</si>
  <si>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</si>
  <si>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</si>
  <si>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</si>
  <si>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</si>
  <si>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</si>
  <si>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</si>
  <si>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</si>
  <si>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</si>
  <si>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</si>
  <si>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</si>
  <si>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</si>
  <si>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</si>
  <si>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</si>
  <si>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</si>
  <si>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</si>
  <si>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</si>
  <si>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</si>
  <si>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</si>
  <si>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</si>
  <si>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</si>
  <si>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</si>
  <si>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</si>
  <si>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</si>
  <si>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</si>
  <si>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</si>
  <si>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</si>
  <si>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</si>
  <si>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</si>
  <si>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</si>
  <si>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</si>
  <si>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</si>
  <si>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</si>
  <si>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</si>
  <si>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</si>
  <si>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</si>
  <si>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</si>
  <si>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</si>
  <si>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</si>
  <si>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</si>
  <si>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</si>
  <si>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</si>
  <si>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</si>
  <si>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</si>
  <si>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</si>
  <si>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</si>
  <si>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</si>
  <si>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</si>
  <si>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</si>
  <si>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</si>
  <si>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</si>
  <si>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</si>
  <si>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</si>
  <si>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</si>
  <si>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</si>
  <si>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</si>
  <si>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</si>
  <si>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</si>
  <si>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</si>
  <si>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</si>
  <si>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</si>
  <si>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</si>
  <si>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</si>
  <si>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</si>
  <si>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</si>
  <si>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</si>
  <si>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</si>
  <si>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</si>
  <si>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</si>
  <si>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</si>
  <si>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</si>
  <si>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</si>
  <si>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</si>
  <si>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</si>
  <si>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</si>
  <si>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</si>
  <si>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</si>
  <si>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</si>
  <si>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</si>
  <si>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</si>
  <si>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</si>
  <si>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</si>
  <si>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</si>
  <si>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</si>
  <si>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</si>
  <si>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</si>
  <si>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</si>
  <si>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</si>
  <si>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</si>
  <si>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</si>
  <si>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</si>
  <si>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</si>
  <si>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</si>
  <si>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</si>
  <si>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</si>
  <si>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</si>
  <si>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</si>
  <si>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</si>
  <si>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</si>
  <si>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</si>
  <si>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</si>
  <si>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</si>
  <si>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</si>
  <si>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</si>
  <si>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</si>
  <si>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</si>
  <si>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</si>
  <si>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</si>
  <si>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</si>
  <si>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</si>
  <si>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</si>
  <si>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</si>
  <si>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</si>
  <si>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</si>
  <si>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</si>
  <si>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</si>
  <si>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</si>
  <si>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</si>
  <si>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</si>
  <si>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</si>
  <si>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</si>
  <si>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</si>
  <si>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</si>
  <si>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</si>
  <si>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</si>
  <si>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</si>
  <si>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</si>
  <si>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</si>
  <si>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</si>
  <si>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</si>
  <si>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</si>
  <si>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</si>
  <si>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</si>
  <si>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</si>
  <si>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</si>
  <si>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</si>
  <si>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</si>
  <si>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</si>
  <si>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</si>
  <si>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</si>
  <si>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</si>
  <si>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</si>
  <si>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</si>
  <si>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</si>
  <si>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</si>
  <si>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</si>
  <si>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</si>
  <si>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</si>
  <si>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</si>
  <si>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</si>
  <si>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</si>
  <si>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</si>
  <si>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</si>
  <si>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</si>
  <si>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</si>
  <si>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</si>
  <si>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</si>
  <si>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</si>
  <si>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</si>
  <si>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</si>
  <si>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</si>
  <si>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</si>
  <si>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</si>
  <si>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</si>
  <si>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</si>
  <si>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</si>
  <si>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</si>
  <si>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</si>
  <si>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</si>
  <si>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</si>
  <si>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</si>
  <si>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</si>
  <si>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</si>
  <si>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</si>
  <si>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</si>
  <si>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</si>
  <si>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</si>
  <si>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</si>
  <si>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</si>
  <si>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</si>
  <si>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</si>
  <si>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</si>
  <si>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</si>
  <si>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</si>
  <si>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</si>
  <si>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</si>
  <si>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</si>
  <si>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</si>
  <si>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</si>
  <si>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</si>
  <si>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</si>
  <si>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</si>
  <si>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</si>
  <si>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</si>
  <si>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</si>
  <si>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</si>
  <si>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</si>
  <si>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</si>
  <si>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</si>
  <si>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</si>
  <si>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</si>
  <si>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</si>
  <si>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</si>
  <si>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</si>
  <si>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</si>
  <si>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</si>
  <si>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</si>
  <si>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</si>
  <si>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</si>
  <si>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</si>
  <si>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</si>
  <si>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</si>
  <si>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</si>
  <si>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</si>
  <si>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</si>
  <si>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</si>
  <si>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</si>
  <si>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</si>
  <si>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</si>
  <si>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</si>
  <si>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</si>
  <si>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</si>
  <si>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</si>
  <si>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</si>
  <si>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</si>
  <si>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</si>
  <si>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</si>
  <si>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</si>
  <si>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</si>
  <si>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</si>
  <si>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</si>
  <si>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</si>
  <si>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</si>
  <si>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</si>
  <si>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</si>
  <si>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</si>
  <si>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</si>
  <si>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</si>
  <si>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</si>
  <si>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</si>
  <si>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</si>
  <si>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</si>
  <si>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</si>
  <si>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</si>
  <si>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</si>
  <si>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</si>
  <si>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</si>
  <si>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</si>
  <si>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</si>
  <si>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</si>
  <si>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</si>
  <si>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</si>
  <si>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</si>
  <si>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</si>
  <si>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</si>
  <si>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</si>
  <si>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</si>
  <si>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</si>
  <si>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</si>
  <si>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</si>
  <si>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</si>
  <si>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</si>
  <si>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</si>
  <si>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</si>
  <si>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</si>
  <si>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</si>
  <si>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</si>
  <si>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</si>
  <si>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</si>
  <si>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</si>
  <si>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</si>
  <si>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</si>
  <si>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</si>
  <si>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</si>
  <si>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</si>
  <si>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</si>
  <si>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</si>
  <si>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</si>
  <si>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</si>
  <si>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</si>
  <si>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</si>
  <si>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</si>
  <si>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</si>
  <si>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</si>
  <si>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</si>
  <si>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</si>
  <si>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</si>
  <si>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</si>
  <si>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</si>
  <si>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</si>
  <si>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</si>
  <si>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</si>
  <si>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</si>
  <si>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</si>
  <si>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</si>
  <si>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</si>
  <si>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</si>
  <si>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</si>
  <si>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</si>
  <si>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</si>
  <si>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</si>
  <si>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</si>
  <si>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</si>
  <si>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</si>
  <si>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</si>
  <si>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</si>
  <si>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</si>
  <si>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</si>
  <si>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</si>
  <si>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</si>
  <si>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</si>
  <si>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</si>
  <si>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</si>
  <si>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</si>
  <si>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</si>
  <si>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</si>
  <si>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</si>
  <si>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</si>
  <si>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</si>
  <si>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</si>
  <si>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</si>
  <si>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</si>
  <si>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</si>
  <si>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</si>
  <si>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</si>
  <si>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</si>
  <si>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</si>
  <si>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</si>
  <si>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</si>
  <si>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</si>
  <si>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</si>
  <si>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</si>
  <si>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</si>
  <si>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</si>
  <si>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</si>
  <si>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</si>
  <si>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</si>
  <si>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</si>
  <si>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</si>
  <si>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</si>
  <si>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</si>
  <si>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</si>
  <si>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</si>
  <si>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</si>
  <si>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</si>
  <si>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</si>
  <si>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</si>
  <si>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</si>
  <si>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</si>
  <si>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</si>
  <si>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</si>
  <si>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</si>
  <si>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</si>
  <si>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</si>
  <si>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</si>
  <si>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</si>
  <si>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</si>
  <si>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</si>
  <si>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</si>
  <si>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</si>
  <si>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</si>
  <si>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</si>
  <si>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</si>
  <si>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</si>
  <si>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</si>
  <si>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</si>
  <si>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</si>
  <si>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</si>
  <si>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</si>
  <si>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</si>
  <si>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</si>
  <si>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</si>
  <si>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</si>
  <si>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</si>
  <si>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</si>
  <si>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</si>
  <si>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</si>
  <si>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</si>
  <si>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</si>
  <si>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</si>
  <si>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</si>
  <si>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</si>
  <si>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</si>
  <si>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</si>
  <si>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</si>
  <si>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</si>
  <si>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</si>
  <si>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</si>
  <si>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</si>
  <si>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</si>
  <si>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</si>
  <si>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</si>
  <si>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</si>
  <si>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</si>
  <si>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</si>
  <si>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</si>
  <si>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</si>
  <si>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</si>
  <si>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</si>
  <si>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</si>
  <si>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</si>
  <si>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</si>
  <si>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</si>
  <si>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</si>
  <si>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</si>
  <si>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</si>
  <si>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</si>
  <si>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</si>
  <si>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</si>
  <si>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</si>
  <si>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</si>
  <si>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</si>
  <si>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</si>
  <si>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</si>
  <si>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</si>
  <si>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</si>
  <si>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</si>
  <si>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</si>
  <si>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</si>
  <si>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</si>
  <si>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</si>
  <si>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</si>
  <si>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</si>
  <si>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</si>
  <si>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</si>
  <si>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</si>
  <si>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</si>
  <si>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</si>
  <si>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</si>
  <si>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</si>
  <si>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</si>
  <si>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</si>
  <si>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</si>
  <si>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</si>
  <si>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</si>
  <si>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</si>
  <si>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</si>
  <si>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</si>
  <si>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</si>
  <si>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</si>
  <si>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</si>
  <si>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</si>
  <si>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</si>
  <si>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</si>
  <si>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</si>
  <si>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</si>
  <si>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</si>
  <si>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</si>
  <si>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</si>
  <si>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</si>
  <si>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</si>
  <si>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</si>
  <si>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</si>
  <si>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</si>
  <si>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</si>
  <si>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</si>
  <si>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</si>
  <si>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</si>
  <si>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</si>
  <si>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</si>
  <si>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</si>
  <si>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</si>
  <si>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</si>
  <si>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</si>
  <si>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</si>
  <si>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</si>
  <si>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</si>
  <si>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</si>
  <si>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</si>
  <si>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</si>
  <si>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</si>
  <si>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</si>
  <si>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</si>
  <si>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</si>
  <si>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</si>
  <si>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</si>
  <si>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</si>
  <si>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</si>
  <si>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</si>
  <si>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</si>
  <si>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</si>
  <si>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</si>
  <si>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</si>
  <si>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</si>
  <si>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</si>
  <si>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</si>
  <si>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</si>
  <si>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</si>
  <si>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</si>
  <si>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</si>
  <si>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</si>
  <si>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</si>
  <si>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</si>
  <si>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</si>
  <si>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</si>
  <si>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</si>
  <si>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</si>
  <si>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</si>
  <si>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</si>
  <si>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</si>
  <si>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</si>
  <si>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</si>
  <si>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</si>
  <si>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</si>
  <si>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</si>
  <si>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</si>
  <si>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</si>
  <si>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</si>
  <si>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</si>
  <si>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</si>
  <si>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</si>
  <si>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</si>
  <si>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</si>
  <si>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</si>
  <si>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</si>
  <si>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</si>
  <si>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</si>
  <si>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</si>
  <si>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</si>
  <si>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</si>
  <si>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</si>
  <si>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</si>
  <si>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</si>
  <si>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</si>
  <si>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</si>
  <si>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</si>
  <si>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</si>
  <si>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</si>
  <si>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</si>
  <si>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</si>
  <si>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</si>
  <si>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</si>
  <si>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</si>
  <si>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</si>
  <si>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</si>
  <si>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</si>
  <si>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</si>
  <si>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</si>
  <si>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</si>
  <si>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</si>
  <si>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</si>
  <si>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</si>
  <si>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</si>
  <si>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</si>
  <si>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</si>
  <si>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</si>
  <si>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</si>
  <si>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</si>
  <si>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</si>
  <si>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</si>
  <si>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</si>
  <si>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</si>
  <si>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</si>
  <si>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</si>
  <si>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</si>
  <si>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</si>
  <si>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</si>
  <si>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</si>
  <si>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</si>
  <si>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</si>
  <si>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</si>
  <si>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</si>
  <si>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</si>
  <si>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</si>
  <si>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</si>
  <si>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</si>
  <si>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</si>
  <si>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</si>
  <si>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</si>
  <si>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</si>
  <si>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</si>
  <si>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</si>
  <si>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</si>
  <si>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</si>
  <si>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</si>
  <si>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</si>
  <si>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</si>
  <si>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</si>
  <si>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</si>
  <si>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</si>
  <si>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</si>
  <si>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</si>
  <si>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</si>
  <si>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</si>
  <si>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</si>
  <si>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</si>
  <si>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</si>
  <si>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</si>
  <si>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</si>
  <si>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</si>
  <si>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</si>
  <si>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</si>
  <si>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</si>
  <si>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</si>
  <si>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</si>
  <si>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</si>
  <si>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</si>
  <si>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</si>
  <si>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</si>
  <si>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</si>
  <si>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</si>
  <si>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</si>
  <si>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</si>
  <si>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</si>
  <si>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</si>
  <si>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</si>
  <si>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</si>
  <si>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</si>
  <si>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</si>
  <si>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</si>
  <si>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</si>
  <si>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</si>
  <si>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</si>
  <si>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</si>
  <si>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</si>
  <si>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</si>
  <si>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</si>
  <si>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</si>
  <si>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</si>
  <si>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</si>
  <si>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</si>
  <si>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</si>
  <si>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</si>
  <si>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</si>
  <si>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</si>
  <si>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</si>
  <si>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</si>
  <si>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</si>
  <si>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</si>
  <si>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</si>
  <si>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</si>
  <si>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</si>
  <si>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</si>
  <si>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</si>
  <si>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</si>
  <si>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</si>
  <si>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</si>
  <si>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</si>
  <si>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</si>
  <si>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</si>
  <si>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</si>
  <si>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</si>
  <si>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</si>
  <si>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</si>
  <si>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</si>
  <si>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</si>
  <si>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</si>
  <si>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</si>
  <si>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</si>
  <si>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</si>
  <si>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</si>
  <si>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</si>
  <si>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</si>
  <si>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</si>
  <si>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</si>
  <si>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</si>
  <si>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</si>
  <si>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</si>
  <si>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</si>
  <si>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</si>
  <si>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</si>
  <si>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</si>
  <si>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</si>
  <si>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</si>
  <si>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</si>
  <si>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</si>
  <si>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</si>
  <si>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</si>
  <si>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</si>
  <si>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</si>
  <si>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</si>
  <si>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</si>
  <si>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</si>
  <si>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</si>
  <si>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</si>
  <si>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</si>
  <si>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</si>
  <si>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</si>
  <si>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</si>
  <si>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</si>
  <si>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</si>
  <si>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</si>
  <si>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</si>
  <si>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</si>
  <si>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</si>
  <si>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</si>
  <si>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</si>
  <si>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</si>
  <si>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</si>
  <si>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</si>
  <si>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</si>
  <si>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</si>
  <si>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</si>
  <si>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</si>
  <si>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</si>
  <si>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</si>
  <si>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</si>
  <si>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</si>
  <si>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</si>
  <si>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</si>
  <si>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</si>
  <si>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</si>
  <si>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</si>
  <si>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</si>
  <si>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</si>
  <si>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</si>
  <si>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</si>
  <si>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</si>
  <si>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</si>
  <si>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</si>
  <si>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</si>
  <si>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</si>
  <si>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</si>
  <si>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</si>
  <si>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</si>
  <si>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</si>
  <si>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</si>
  <si>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</si>
  <si>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</si>
  <si>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</si>
  <si>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</si>
  <si>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</si>
  <si>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</si>
  <si>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</si>
  <si>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</si>
  <si>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</si>
  <si>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</si>
  <si>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</si>
  <si>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</si>
  <si>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</si>
  <si>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</si>
  <si>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</si>
  <si>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</si>
  <si>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</si>
  <si>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</si>
  <si>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</si>
  <si>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</si>
  <si>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</si>
  <si>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</si>
  <si>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</si>
  <si>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</si>
  <si>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</si>
  <si>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</si>
  <si>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</si>
  <si>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</si>
  <si>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</si>
  <si>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</si>
  <si>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</si>
  <si>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</si>
  <si>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</si>
  <si>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</si>
  <si>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</si>
  <si>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</si>
  <si>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</si>
  <si>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</si>
  <si>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</si>
  <si>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</si>
  <si>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</si>
  <si>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</si>
  <si>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</si>
  <si>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</si>
  <si>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</si>
  <si>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</si>
  <si>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</si>
  <si>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</si>
  <si>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</si>
  <si>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</si>
  <si>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</si>
  <si>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</si>
  <si>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</si>
  <si>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</si>
  <si>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</si>
  <si>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</si>
  <si>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</si>
  <si>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</si>
  <si>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</si>
  <si>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</si>
  <si>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</si>
  <si>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</si>
  <si>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</si>
  <si>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</si>
  <si>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</si>
  <si>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</si>
  <si>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</si>
  <si>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</si>
  <si>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</si>
  <si>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</si>
  <si>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</si>
  <si>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</si>
  <si>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</si>
  <si>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</si>
  <si>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</si>
  <si>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</si>
  <si>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</si>
  <si>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</si>
  <si>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</si>
  <si>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</si>
  <si>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</si>
  <si>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</si>
  <si>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</si>
  <si>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</si>
  <si>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</si>
  <si>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</si>
  <si>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</si>
  <si>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</si>
  <si>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</si>
  <si>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</si>
  <si>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</si>
  <si>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</si>
  <si>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</si>
  <si>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</si>
  <si>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</si>
  <si>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</si>
  <si>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</si>
  <si>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</si>
  <si>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</si>
  <si>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</si>
  <si>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</si>
  <si>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</si>
  <si>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</si>
  <si>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</si>
  <si>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</si>
  <si>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</si>
  <si>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</si>
  <si>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</si>
  <si>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</si>
  <si>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</si>
  <si>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</si>
  <si>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</si>
  <si>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</si>
  <si>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</si>
  <si>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</si>
  <si>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</si>
  <si>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</si>
  <si>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</si>
  <si>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</si>
  <si>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</si>
  <si>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</si>
  <si>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</si>
  <si>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</si>
  <si>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</si>
  <si>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</si>
  <si>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</si>
  <si>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</si>
  <si>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</si>
  <si>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</si>
  <si>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</si>
  <si>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</si>
  <si>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</si>
  <si>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</si>
  <si>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</si>
  <si>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</si>
  <si>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</si>
  <si>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</si>
  <si>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</si>
  <si>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</si>
  <si>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</si>
  <si>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</si>
  <si>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</si>
  <si>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</si>
  <si>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</si>
  <si>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</si>
  <si>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</si>
  <si>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</si>
  <si>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</si>
  <si>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</si>
  <si>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</si>
  <si>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</si>
  <si>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</si>
  <si>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</si>
  <si>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</si>
  <si>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</si>
  <si>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</si>
  <si>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</si>
  <si>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</si>
  <si>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</si>
  <si>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</si>
  <si>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</si>
  <si>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</si>
  <si>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</si>
  <si>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</si>
  <si>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</si>
  <si>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</si>
  <si>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</si>
  <si>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</si>
  <si>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</si>
  <si>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</si>
  <si>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</si>
  <si>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</si>
  <si>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</si>
  <si>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</si>
  <si>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</si>
  <si>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</si>
  <si>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</si>
  <si>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</si>
  <si>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</si>
  <si>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</si>
  <si>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</si>
  <si>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</si>
  <si>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</si>
  <si>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</si>
  <si>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</si>
  <si>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</si>
  <si>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</si>
  <si>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</si>
  <si>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</si>
  <si>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</si>
  <si>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</si>
  <si>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</si>
  <si>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</si>
  <si>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</si>
  <si>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</si>
  <si>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</si>
  <si>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</si>
  <si>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</si>
  <si>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</si>
  <si>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</si>
  <si>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</si>
  <si>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</si>
  <si>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</si>
  <si>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</si>
  <si>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</si>
  <si>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</si>
  <si>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</si>
  <si>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</si>
  <si>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</si>
  <si>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</si>
  <si>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</si>
  <si>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</si>
  <si>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</si>
  <si>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</si>
  <si>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</si>
  <si>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</si>
  <si>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</si>
  <si>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</si>
  <si>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</si>
  <si>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</si>
  <si>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</si>
  <si>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</si>
  <si>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</si>
  <si>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</si>
  <si>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</si>
  <si>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</si>
  <si>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</si>
  <si>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</si>
  <si>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</si>
  <si>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</si>
  <si>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</si>
  <si>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</si>
  <si>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</si>
  <si>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</si>
  <si>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</si>
  <si>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</si>
  <si>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</si>
  <si>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</si>
  <si>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</si>
  <si>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</si>
  <si>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</si>
  <si>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</si>
  <si>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</si>
  <si>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</si>
  <si>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</si>
  <si>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</si>
  <si>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</si>
  <si>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</si>
  <si>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</si>
  <si>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</si>
  <si>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</si>
  <si>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</si>
  <si>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</si>
  <si>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</si>
  <si>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</si>
  <si>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</si>
  <si>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</si>
  <si>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</si>
  <si>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</si>
  <si>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</si>
  <si>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</si>
  <si>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</si>
  <si>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</si>
  <si>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</si>
  <si>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</si>
  <si>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</si>
  <si>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</si>
  <si>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</si>
  <si>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</si>
  <si>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</si>
  <si>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</si>
  <si>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</si>
  <si>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</si>
  <si>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</si>
  <si>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</si>
  <si>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</si>
  <si>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</si>
  <si>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</si>
  <si>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</si>
  <si>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</si>
  <si>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</si>
  <si>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</si>
  <si>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</si>
  <si>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</si>
  <si>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</si>
  <si>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</si>
  <si>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</si>
  <si>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</si>
  <si>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</si>
  <si>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</si>
  <si>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</si>
  <si>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</si>
  <si>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</si>
  <si>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</si>
  <si>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</si>
  <si>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</si>
  <si>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</si>
  <si>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</si>
  <si>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</si>
  <si>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</si>
  <si>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</si>
  <si>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</si>
  <si>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</si>
  <si>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</si>
  <si>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</si>
  <si>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</si>
  <si>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</si>
  <si>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</si>
  <si>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</si>
  <si>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</si>
  <si>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</si>
  <si>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</si>
  <si>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</si>
  <si>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</si>
  <si>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</si>
  <si>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</si>
  <si>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</si>
  <si>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</si>
  <si>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</si>
  <si>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</si>
  <si>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</si>
  <si>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</si>
  <si>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</si>
  <si>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</si>
  <si>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</si>
  <si>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</si>
  <si>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</si>
  <si>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</si>
  <si>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</si>
  <si>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</si>
  <si>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</si>
  <si>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</si>
  <si>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</si>
  <si>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</si>
  <si>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</si>
  <si>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</si>
  <si>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</si>
  <si>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</si>
  <si>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</si>
  <si>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</si>
  <si>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</si>
  <si>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</si>
  <si>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</si>
  <si>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</si>
  <si>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</si>
  <si>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</si>
  <si>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</si>
  <si>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</si>
  <si>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</si>
  <si>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</si>
  <si>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</si>
  <si>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</si>
  <si>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</si>
  <si>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</si>
  <si>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</si>
  <si>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</si>
  <si>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</si>
  <si>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</si>
  <si>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</si>
  <si>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</si>
  <si>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</si>
  <si>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</si>
  <si>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</si>
  <si>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</si>
  <si>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</si>
  <si>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</si>
  <si>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</si>
  <si>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</si>
  <si>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</si>
  <si>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</si>
  <si>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</si>
  <si>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</si>
  <si>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</si>
  <si>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</si>
  <si>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</si>
  <si>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</si>
  <si>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</si>
  <si>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</si>
  <si>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</si>
  <si>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</si>
  <si>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</si>
  <si>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</si>
  <si>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</si>
  <si>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</si>
  <si>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</si>
  <si>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</si>
  <si>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</si>
  <si>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</si>
  <si>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</si>
  <si>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</si>
  <si>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</si>
  <si>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</si>
  <si>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</si>
  <si>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</si>
  <si>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</si>
  <si>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</si>
  <si>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</si>
  <si>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</si>
  <si>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</si>
  <si>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</si>
  <si>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</si>
  <si>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</si>
  <si>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</si>
  <si>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</si>
  <si>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</si>
  <si>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</si>
  <si>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</si>
  <si>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</si>
  <si>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</si>
  <si>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</si>
  <si>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</si>
  <si>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</si>
  <si>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</si>
  <si>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</si>
  <si>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</si>
  <si>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</si>
  <si>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</si>
  <si>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</si>
  <si>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</si>
  <si>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</si>
  <si>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</si>
  <si>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</si>
  <si>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</si>
  <si>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</si>
  <si>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</si>
  <si>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</si>
  <si>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</si>
  <si>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</si>
  <si>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</si>
  <si>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</si>
  <si>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</si>
  <si>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</si>
  <si>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</si>
  <si>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</si>
  <si>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</si>
  <si>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</si>
  <si>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</si>
  <si>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</si>
  <si>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</si>
  <si>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</si>
  <si>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</si>
  <si>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</si>
  <si>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</si>
  <si>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</si>
  <si>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</si>
  <si>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</si>
  <si>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</si>
  <si>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</si>
  <si>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</si>
  <si>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</si>
  <si>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</si>
  <si>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</si>
  <si>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</si>
  <si>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</si>
  <si>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</si>
  <si>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</si>
  <si>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</si>
  <si>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</si>
  <si>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</si>
  <si>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</si>
  <si>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</si>
  <si>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</si>
  <si>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</si>
  <si>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</si>
  <si>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</si>
  <si>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</si>
  <si>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</si>
  <si>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</si>
  <si>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</si>
  <si>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</si>
  <si>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</si>
  <si>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</si>
  <si>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</si>
  <si>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</si>
  <si>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</si>
  <si>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</si>
  <si>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</si>
  <si>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</si>
  <si>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</si>
  <si>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</si>
  <si>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</si>
  <si>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</si>
  <si>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</si>
  <si>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</si>
  <si>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</si>
  <si>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</si>
  <si>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</si>
  <si>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</si>
  <si>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</si>
  <si>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</si>
  <si>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</si>
  <si>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</si>
  <si>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</si>
  <si>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</si>
  <si>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</si>
  <si>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</si>
  <si>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</si>
  <si>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</si>
  <si>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</si>
  <si>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</si>
  <si>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</si>
  <si>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</si>
  <si>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</si>
  <si>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</si>
  <si>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</si>
  <si>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</si>
  <si>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</si>
  <si>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</si>
  <si>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</si>
  <si>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</si>
  <si>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</si>
  <si>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</si>
  <si>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</si>
  <si>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</si>
  <si>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</si>
  <si>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</si>
  <si>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</si>
  <si>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</si>
  <si>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</si>
  <si>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</si>
  <si>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</si>
  <si>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</si>
  <si>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</si>
  <si>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</si>
  <si>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</si>
  <si>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</si>
  <si>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</si>
  <si>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</si>
  <si>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</si>
  <si>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</si>
  <si>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</si>
  <si>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</si>
  <si>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</si>
  <si>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</si>
  <si>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</si>
  <si>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</si>
  <si>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</si>
  <si>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</si>
  <si>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</si>
  <si>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</si>
  <si>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</si>
  <si>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</si>
  <si>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</si>
  <si>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</si>
  <si>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</si>
  <si>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</si>
  <si>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</si>
  <si>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</si>
  <si>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</si>
  <si>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</si>
  <si>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</si>
  <si>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</si>
  <si>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</si>
  <si>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</si>
  <si>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</si>
  <si>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</si>
  <si>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</si>
  <si>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</si>
  <si>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</si>
  <si>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</si>
  <si>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</si>
  <si>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</si>
  <si>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</si>
  <si>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</si>
  <si>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</si>
  <si>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</si>
  <si>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</si>
  <si>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</si>
  <si>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</si>
  <si>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</si>
  <si>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</si>
  <si>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</si>
  <si>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</si>
  <si>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</si>
  <si>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</si>
  <si>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</si>
  <si>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</si>
  <si>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</si>
  <si>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</si>
  <si>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</si>
  <si>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</si>
  <si>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</si>
  <si>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</si>
  <si>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</si>
  <si>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</si>
  <si>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</si>
  <si>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</si>
  <si>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</si>
  <si>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</si>
  <si>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</si>
  <si>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</si>
  <si>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</si>
  <si>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</si>
  <si>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</si>
  <si>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</si>
  <si>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</si>
  <si>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</si>
  <si>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</si>
  <si>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</si>
  <si>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</si>
  <si>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</si>
  <si>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</si>
  <si>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</si>
  <si>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</si>
  <si>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</si>
  <si>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</si>
  <si>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</si>
  <si>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</si>
  <si>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</si>
  <si>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</si>
  <si>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</si>
  <si>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</si>
  <si>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</si>
  <si>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</si>
  <si>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</si>
  <si>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</si>
  <si>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</si>
  <si>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</si>
  <si>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</si>
  <si>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</si>
  <si>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</si>
  <si>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</si>
  <si>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</si>
  <si>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</si>
  <si>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</si>
  <si>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</si>
  <si>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</si>
  <si>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</si>
  <si>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</si>
  <si>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</si>
  <si>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</si>
  <si>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</si>
  <si>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</si>
  <si>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</si>
  <si>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</si>
  <si>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</si>
  <si>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</si>
  <si>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</si>
  <si>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</si>
  <si>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</si>
  <si>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</si>
  <si>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</si>
  <si>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</si>
  <si>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</si>
  <si>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</si>
  <si>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</si>
  <si>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</si>
  <si>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</si>
  <si>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</si>
  <si>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</si>
  <si>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</si>
  <si>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</si>
  <si>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</si>
  <si>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</si>
  <si>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</si>
  <si>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</si>
  <si>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</si>
  <si>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</si>
  <si>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</si>
  <si>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</si>
  <si>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</si>
  <si>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</si>
  <si>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</si>
  <si>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</si>
  <si>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</si>
  <si>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</si>
  <si>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</si>
  <si>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</si>
  <si>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</si>
  <si>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</si>
  <si>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</si>
  <si>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</si>
  <si>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</si>
  <si>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</si>
  <si>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</si>
  <si>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</si>
  <si>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</si>
  <si>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</si>
  <si>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</si>
  <si>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</si>
  <si>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</si>
  <si>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</si>
  <si>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</si>
  <si>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</si>
  <si>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</si>
  <si>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</si>
  <si>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</si>
  <si>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</si>
  <si>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</si>
  <si>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</si>
  <si>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</si>
  <si>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</si>
  <si>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</si>
  <si>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</si>
  <si>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</si>
  <si>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</si>
  <si>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</si>
  <si>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</si>
  <si>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</si>
  <si>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</si>
  <si>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</si>
  <si>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</si>
  <si>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</si>
  <si>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</si>
  <si>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</si>
  <si>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</si>
  <si>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</si>
  <si>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</si>
  <si>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</si>
  <si>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</si>
  <si>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</si>
  <si>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</si>
  <si>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</si>
  <si>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</si>
  <si>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</si>
  <si>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</si>
  <si>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</si>
  <si>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</si>
  <si>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</si>
  <si>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</si>
  <si>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</si>
  <si>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</si>
  <si>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</si>
  <si>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</si>
  <si>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</si>
  <si>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</si>
  <si>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</si>
  <si>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</si>
  <si>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</si>
  <si>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</si>
  <si>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</si>
  <si>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</si>
  <si>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</si>
  <si>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</si>
  <si>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</si>
  <si>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</si>
  <si>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</si>
  <si>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</si>
  <si>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</si>
  <si>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</si>
  <si>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</si>
  <si>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</si>
  <si>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</si>
  <si>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</si>
  <si>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</si>
  <si>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</si>
  <si>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</si>
  <si>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</si>
  <si>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</si>
  <si>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</si>
  <si>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</si>
  <si>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</si>
  <si>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</si>
  <si>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</si>
  <si>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</si>
  <si>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</si>
  <si>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</si>
  <si>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</si>
  <si>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</si>
  <si>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</si>
  <si>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</si>
  <si>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</si>
  <si>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</si>
  <si>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</si>
  <si>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</si>
  <si>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</si>
  <si>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</si>
  <si>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</si>
  <si>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</si>
  <si>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</si>
  <si>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</si>
  <si>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</si>
  <si>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</si>
  <si>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</si>
  <si>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</si>
  <si>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</si>
  <si>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</si>
  <si>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</si>
  <si>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</si>
  <si>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</si>
  <si>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</si>
  <si>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</si>
  <si>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</si>
  <si>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</si>
  <si>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</si>
  <si>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</si>
  <si>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</si>
  <si>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</si>
  <si>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</si>
  <si>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</si>
  <si>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</si>
  <si>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</si>
  <si>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</si>
  <si>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</si>
  <si>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</si>
  <si>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</si>
  <si>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</si>
  <si>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</si>
  <si>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</si>
  <si>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</si>
  <si>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</si>
  <si>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</si>
  <si>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</si>
  <si>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</si>
  <si>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</si>
  <si>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</si>
  <si>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</si>
  <si>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</si>
  <si>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</si>
  <si>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</si>
  <si>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</si>
  <si>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</si>
  <si>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</si>
  <si>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</si>
  <si>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</si>
  <si>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</si>
  <si>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</si>
  <si>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</si>
  <si>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</si>
  <si>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</si>
  <si>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</si>
  <si>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</si>
  <si>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</si>
  <si>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</si>
  <si>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</si>
  <si>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</si>
  <si>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</si>
  <si>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</si>
  <si>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</si>
  <si>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</si>
  <si>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</si>
  <si>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</si>
  <si>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</si>
  <si>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</si>
  <si>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</si>
  <si>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</si>
  <si>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</si>
  <si>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</si>
  <si>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</si>
  <si>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</si>
  <si>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</si>
  <si>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</si>
  <si>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</si>
  <si>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</si>
  <si>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</si>
  <si>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</si>
  <si>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</si>
  <si>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</si>
  <si>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</si>
  <si>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</si>
  <si>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</si>
  <si>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</si>
  <si>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</si>
  <si>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</si>
  <si>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</si>
  <si>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</si>
  <si>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</si>
  <si>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</si>
  <si>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</si>
  <si>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</si>
  <si>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</si>
  <si>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</si>
  <si>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</si>
  <si>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</si>
  <si>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</si>
  <si>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</si>
  <si>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</si>
  <si>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</si>
  <si>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</si>
  <si>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</si>
  <si>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</si>
  <si>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</si>
  <si>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</si>
  <si>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</si>
  <si>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</si>
  <si>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</si>
  <si>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</si>
  <si>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</si>
  <si>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</si>
  <si>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</si>
  <si>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</si>
  <si>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</si>
  <si>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</si>
  <si>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</si>
  <si>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</si>
  <si>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</si>
  <si>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</si>
  <si>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</si>
  <si>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</si>
  <si>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</si>
  <si>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</si>
  <si>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</si>
  <si>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</si>
  <si>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</si>
  <si>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</si>
  <si>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</si>
  <si>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</si>
  <si>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</si>
  <si>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</si>
  <si>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</si>
  <si>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</si>
  <si>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</si>
  <si>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</si>
  <si>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</si>
  <si>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</si>
  <si>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</si>
  <si>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</si>
  <si>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</si>
  <si>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</si>
  <si>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</si>
  <si>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</si>
  <si>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</si>
  <si>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</si>
  <si>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</si>
  <si>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</si>
  <si>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</si>
  <si>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</si>
  <si>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</si>
  <si>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</si>
  <si>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</si>
  <si>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</si>
  <si>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</si>
  <si>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</si>
  <si>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</si>
  <si>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</si>
  <si>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</si>
  <si>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</si>
  <si>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</si>
  <si>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</si>
  <si>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</si>
  <si>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</si>
  <si>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</si>
  <si>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</si>
  <si>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</si>
  <si>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</si>
  <si>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</si>
  <si>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</si>
  <si>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</si>
  <si>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</si>
  <si>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</si>
  <si>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</si>
  <si>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</si>
  <si>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</si>
  <si>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</si>
  <si>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</si>
  <si>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</si>
  <si>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</si>
  <si>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</si>
  <si>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</si>
  <si>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</si>
  <si>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</si>
  <si>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</si>
  <si>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</si>
  <si>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</si>
  <si>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</si>
  <si>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</si>
  <si>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</si>
  <si>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</si>
  <si>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</si>
  <si>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</si>
  <si>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</si>
  <si>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</si>
  <si>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</si>
  <si>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</si>
  <si>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</si>
  <si>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</si>
  <si>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</si>
  <si>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</si>
  <si>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</si>
  <si>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</si>
  <si>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</si>
  <si>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</si>
  <si>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</si>
  <si>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</si>
  <si>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</si>
  <si>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</si>
  <si>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</si>
  <si>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</si>
  <si>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</si>
  <si>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</si>
  <si>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</si>
  <si>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</si>
  <si>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</si>
  <si>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</si>
  <si>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</si>
  <si>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</si>
  <si>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</si>
  <si>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</si>
  <si>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</si>
  <si>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</si>
  <si>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</si>
  <si>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</si>
  <si>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</si>
  <si>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</si>
  <si>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Christian/Montgomery</t>
  </si>
  <si>
    <t>301 School Street</t>
  </si>
  <si>
    <t>Morrisonville</t>
  </si>
  <si>
    <t>dmeister@ga.mohawks.net</t>
  </si>
  <si>
    <t>Dave Meister</t>
  </si>
  <si>
    <t>217-526-4431</t>
  </si>
  <si>
    <t>217-526-4433</t>
  </si>
  <si>
    <t>Series 2016 Bonds</t>
  </si>
  <si>
    <t>Bus Installment Loan</t>
  </si>
  <si>
    <t>Series 2019 Bonds</t>
  </si>
  <si>
    <t>Installment Loan</t>
  </si>
  <si>
    <t>ED - Food Services - Purchased Services</t>
  </si>
  <si>
    <t>Mid-State Special Education</t>
  </si>
  <si>
    <t>Sports with Pnhandle CUSD 2 and South Fork CUSD 14</t>
  </si>
  <si>
    <t>Opaa! Food Management of IL, LLC</t>
  </si>
  <si>
    <t>MORRISONVILLE COMMUNITY UNIT SCHOOL DISTRICT NO. 1</t>
  </si>
  <si>
    <t>Pages</t>
  </si>
  <si>
    <t>Independent Auditor's Report</t>
  </si>
  <si>
    <t>1-3</t>
  </si>
  <si>
    <t>Independent Auditor's Report on Internal Control Over Financial Reporting and</t>
  </si>
  <si>
    <t xml:space="preserve">   on Compliance and Other Matters Based on an Audit of Financial Statements</t>
  </si>
  <si>
    <r>
      <t xml:space="preserve">   Performed in Accordance with </t>
    </r>
    <r>
      <rPr>
        <u/>
        <sz val="13"/>
        <rFont val="Times New Roman"/>
        <family val="1"/>
      </rPr>
      <t>Government Auditing Standards</t>
    </r>
  </si>
  <si>
    <t>4-6</t>
  </si>
  <si>
    <t>Basic Financial Statements:</t>
  </si>
  <si>
    <t>Statement of Assets and Liabilities Arising from Cash Transactions / Statement</t>
  </si>
  <si>
    <t xml:space="preserve">   of Position (All Funds)</t>
  </si>
  <si>
    <t>7-8</t>
  </si>
  <si>
    <t>Statement of Revenues Received / Revenues, Expenditures Disbursed / Expenditures,</t>
  </si>
  <si>
    <t xml:space="preserve">  Other Sources (Uses) and Changes in Fund Balance (All Funds)</t>
  </si>
  <si>
    <t>9-10</t>
  </si>
  <si>
    <t>Statement of Revenues Received / Revenues (All Funds)</t>
  </si>
  <si>
    <t>11-16</t>
  </si>
  <si>
    <t>Statement of Expenditures Disbursed / Expenditures, Budget to Actual (All Funds)</t>
  </si>
  <si>
    <t>17-24</t>
  </si>
  <si>
    <t>Notes to Financial Statements</t>
  </si>
  <si>
    <t>25-43</t>
  </si>
  <si>
    <t>Supplementary Schedules:</t>
  </si>
  <si>
    <t>Schedule of Ad Valorem Tax Receipts</t>
  </si>
  <si>
    <t>44</t>
  </si>
  <si>
    <t>Schedule of Short Term Debt and Long Term Debt</t>
  </si>
  <si>
    <t>45</t>
  </si>
  <si>
    <t>Schedule of Restricted Local Tax Levies and Tort Immunity Expenditures</t>
  </si>
  <si>
    <t>46</t>
  </si>
  <si>
    <t>Estimated Indirect Cost Data</t>
  </si>
  <si>
    <t>47</t>
  </si>
  <si>
    <t>Statistical Section:</t>
  </si>
  <si>
    <t>Schedule of Capital Outlay and Depreciation</t>
  </si>
  <si>
    <t>48</t>
  </si>
  <si>
    <t>Estimated Operating Expenditures Per Pupil and Per Capita Tuition Charge</t>
  </si>
  <si>
    <t>49-50</t>
  </si>
  <si>
    <t>TABLE OF CONTENTS (CONTINUED)</t>
  </si>
  <si>
    <t>Other Schedules and Itemizations:</t>
  </si>
  <si>
    <t>Itemization Schedule</t>
  </si>
  <si>
    <t>51</t>
  </si>
  <si>
    <t>Reference Page</t>
  </si>
  <si>
    <t>52</t>
  </si>
  <si>
    <t>Auditor's Questionnaire</t>
  </si>
  <si>
    <t>53-54</t>
  </si>
  <si>
    <t>Financial Profile Information</t>
  </si>
  <si>
    <t>55-56</t>
  </si>
  <si>
    <t>Schedule of Cash Receipts and Disbursements - Activity Funds</t>
  </si>
  <si>
    <t>57</t>
  </si>
  <si>
    <t>Limitation of Administrative Cost Worksheet</t>
  </si>
  <si>
    <t>Current Year Payment on Contracts for Indirect Cost Rate Computation</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</si>
  <si>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</si>
  <si>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</si>
  <si>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</si>
  <si>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</si>
  <si>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</si>
  <si>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</si>
  <si>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2020</t>
  </si>
  <si>
    <t xml:space="preserve">   Computation 2019-2020</t>
  </si>
  <si>
    <t>58-59</t>
  </si>
  <si>
    <t>Page 10, Account 1614, Educational Fund - $75 represents revenues received from the sale of milk and juice.</t>
  </si>
  <si>
    <t>Page 10, Account 1790, Educational Fund - $6,365 represents miscellaneous revenues.</t>
  </si>
  <si>
    <t>Page 11, Account 1999, Educational Fund - $13,800 represents miscellaneous revenues.</t>
  </si>
  <si>
    <t>Page 11, Account 1999, Transportation Fund - $250 represents miscellaneous revenues.</t>
  </si>
  <si>
    <t>Page 12, Account 3999, Educational Fund - $10,435 represents state library grant and miscellaneous state grant proceeds.</t>
  </si>
  <si>
    <t>Page 16, Account 4190, Column 6 - $73,350 represents special education professional development and miscellaneous assessments.</t>
  </si>
  <si>
    <t>Audit check error message - long term debt retired of $216,958 (page 24) does not equal amount reported on page 18 in the Debt Services Fund</t>
  </si>
  <si>
    <t xml:space="preserve">   to $0.  The difference of $45,000 represents a Transportation Fund installment loan and  is reported on page 8 (code 7990).</t>
  </si>
  <si>
    <t xml:space="preserve">   loan and is reported in the Transportation Fund (code 5300).</t>
  </si>
  <si>
    <t xml:space="preserve">   (code 5300), which amounted to $190,000.  The difference of $26,958 represents principal payments made on a Transportation Fund installment</t>
  </si>
  <si>
    <t>Page 13, Account 4399, Educational Fund - $215,136 represents Title I School Improvement federal grant proceeds.</t>
  </si>
  <si>
    <t>SCHEDULE OF CASH RECEIPTS AND DISBURSEMENTS</t>
  </si>
  <si>
    <t>ACTIVITY FUNDS</t>
  </si>
  <si>
    <t>FOR THE FISCAL YEAR ENDED JUNE 30, 2020</t>
  </si>
  <si>
    <t>Balance</t>
  </si>
  <si>
    <t>Receipts</t>
  </si>
  <si>
    <t>Disbursements</t>
  </si>
  <si>
    <t>ASSETS</t>
  </si>
  <si>
    <t>Cash</t>
  </si>
  <si>
    <t>LIABILITIES</t>
  </si>
  <si>
    <t>Amounts Due to Organizations:</t>
  </si>
  <si>
    <t xml:space="preserve">   Senior Class</t>
  </si>
  <si>
    <t xml:space="preserve">   Junior Class</t>
  </si>
  <si>
    <t xml:space="preserve">   Sophomore Class</t>
  </si>
  <si>
    <t xml:space="preserve">   Freshman Class</t>
  </si>
  <si>
    <t xml:space="preserve">   Band/Chorus</t>
  </si>
  <si>
    <t xml:space="preserve">   F.F.A.</t>
  </si>
  <si>
    <t xml:space="preserve">   General</t>
  </si>
  <si>
    <t xml:space="preserve">   High School Student Council</t>
  </si>
  <si>
    <t xml:space="preserve">   Junior High School Student Council</t>
  </si>
  <si>
    <t xml:space="preserve">   Learning Disability</t>
  </si>
  <si>
    <t xml:space="preserve">   Physical Education</t>
  </si>
  <si>
    <t xml:space="preserve">   Staff Appreciation</t>
  </si>
  <si>
    <t xml:space="preserve">   Technology</t>
  </si>
  <si>
    <t xml:space="preserve">   Yearbook</t>
  </si>
  <si>
    <t xml:space="preserve">   Play</t>
  </si>
  <si>
    <t xml:space="preserve">   Teaching Scholarship</t>
  </si>
  <si>
    <t xml:space="preserve">   Emergency Fund</t>
  </si>
  <si>
    <t xml:space="preserve">   National Honor Society</t>
  </si>
  <si>
    <t xml:space="preserve">   Renaissance</t>
  </si>
  <si>
    <t xml:space="preserve">   Community Crashers</t>
  </si>
  <si>
    <t xml:space="preserve">   Athletic Donations</t>
  </si>
  <si>
    <t xml:space="preserve">   Baseball</t>
  </si>
  <si>
    <t xml:space="preserve">   High School Volleyball</t>
  </si>
  <si>
    <t xml:space="preserve">   Junior High School Basketball</t>
  </si>
  <si>
    <t xml:space="preserve">   Junior High School Cheerleaders</t>
  </si>
  <si>
    <t xml:space="preserve">   Junior High School Volleyball</t>
  </si>
  <si>
    <t xml:space="preserve">   Softball</t>
  </si>
  <si>
    <t xml:space="preserve">   Peterson Scholarship</t>
  </si>
  <si>
    <t xml:space="preserve">   Grade School</t>
  </si>
  <si>
    <t>TOTAL LIABILITIES</t>
  </si>
  <si>
    <t>Audit check error message - long term debt issued of $45,000 (page 24) does not equal amount reported on page 7 (code 7210), which amounted</t>
  </si>
  <si>
    <t xml:space="preserve">   Snyder Scholarship</t>
  </si>
  <si>
    <t xml:space="preserve"> Morrisonville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</si>
</sst>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mmmm\ d\,\ yyyy"/>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
      <b/>
      <sz val="10"/>
      <name val="Times New Roman"/>
      <family val="1"/>
    </font>
    <font>
      <b/>
      <u/>
      <sz val="10"/>
      <name val="Times New Roman"/>
      <family val="1"/>
    </font>
    <font>
      <u/>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2" fillId="0" borderId="0"/>
    <xf numFmtId="0" fontId="2" fillId="0" borderId="0"/>
    <xf numFmtId="44"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cellStyleXfs>
  <cellXfs count="266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47" fillId="0" borderId="0" xfId="0" applyFont="1"/>
    <xf numFmtId="0" fontId="146" fillId="0" borderId="0" xfId="0" applyFont="1" applyAlignment="1">
      <alignment horizontal="center"/>
    </xf>
    <xf numFmtId="0" fontId="145" fillId="0" borderId="0" xfId="0" applyFont="1" applyAlignment="1">
      <alignment horizontal="center"/>
    </xf>
    <xf numFmtId="0" fontId="147" fillId="0" borderId="0" xfId="0" applyFont="1" applyAlignment="1">
      <alignment horizontal="center"/>
    </xf>
    <xf numFmtId="16" fontId="148" fillId="0" borderId="0" xfId="0" applyNumberFormat="1" applyFont="1" applyAlignment="1">
      <alignment horizontal="center"/>
    </xf>
    <xf numFmtId="0" fontId="149" fillId="0" borderId="0" xfId="0" applyFont="1" applyAlignment="1">
      <alignment horizontal="left"/>
    </xf>
    <xf numFmtId="16" fontId="149" fillId="0" borderId="0" xfId="0" quotePrefix="1" applyNumberFormat="1" applyFont="1" applyAlignment="1">
      <alignment horizontal="center"/>
    </xf>
    <xf numFmtId="0" fontId="149" fillId="0" borderId="0" xfId="0" applyFont="1"/>
    <xf numFmtId="0" fontId="148" fillId="0" borderId="0" xfId="0" applyFont="1" applyAlignment="1">
      <alignment horizontal="left"/>
    </xf>
    <xf numFmtId="0" fontId="149" fillId="0" borderId="0" xfId="0" quotePrefix="1" applyFont="1"/>
    <xf numFmtId="0" fontId="149" fillId="0" borderId="0" xfId="0" applyFont="1" applyAlignment="1">
      <alignment horizontal="center"/>
    </xf>
    <xf numFmtId="0" fontId="149" fillId="0" borderId="0" xfId="0" quotePrefix="1" applyFont="1" applyAlignment="1">
      <alignment horizontal="center"/>
    </xf>
    <xf numFmtId="0" fontId="150" fillId="0" borderId="0" xfId="0" applyFont="1"/>
    <xf numFmtId="0" fontId="150" fillId="0" borderId="0" xfId="0" applyFont="1" applyAlignment="1">
      <alignment horizontal="center"/>
    </xf>
    <xf numFmtId="0" fontId="151" fillId="0" borderId="0" xfId="0" applyFont="1"/>
    <xf numFmtId="0" fontId="151" fillId="0" borderId="0" xfId="0" applyFont="1" applyAlignment="1">
      <alignment horizontal="center"/>
    </xf>
    <xf numFmtId="0" fontId="152" fillId="0" borderId="0" xfId="0" applyFont="1"/>
    <xf numFmtId="0" fontId="47" fillId="0" borderId="0" xfId="0" applyFont="1" applyAlignment="1">
      <alignment horizontal="center"/>
    </xf>
    <xf numFmtId="0" fontId="2" fillId="0" borderId="0" xfId="21"/>
    <xf numFmtId="0" fontId="47" fillId="0" borderId="0" xfId="21" applyFont="1"/>
    <xf numFmtId="0" fontId="47" fillId="0" borderId="0" xfId="21" applyFont="1" applyAlignment="1">
      <alignment horizontal="center"/>
    </xf>
    <xf numFmtId="185" fontId="47" fillId="0" borderId="78" xfId="21" applyNumberFormat="1" applyFont="1" applyBorder="1" applyAlignment="1">
      <alignment horizontal="center"/>
    </xf>
    <xf numFmtId="0" fontId="47" fillId="0" borderId="78" xfId="21" applyFont="1" applyBorder="1" applyAlignment="1">
      <alignment horizontal="center"/>
    </xf>
    <xf numFmtId="0" fontId="155" fillId="0" borderId="0" xfId="22" applyFont="1"/>
    <xf numFmtId="0" fontId="12" fillId="0" borderId="0" xfId="22" applyFont="1"/>
    <xf numFmtId="41" fontId="47" fillId="0" borderId="0" xfId="22" applyNumberFormat="1" applyFont="1"/>
    <xf numFmtId="0" fontId="47" fillId="0" borderId="0" xfId="22" applyFont="1"/>
    <xf numFmtId="44" fontId="47" fillId="0" borderId="196" xfId="22" applyNumberFormat="1" applyFont="1" applyBorder="1"/>
    <xf numFmtId="44" fontId="47" fillId="0" borderId="0" xfId="22" applyNumberFormat="1" applyFont="1"/>
    <xf numFmtId="44" fontId="47" fillId="0" borderId="0" xfId="23" applyFont="1"/>
    <xf numFmtId="44" fontId="12" fillId="0" borderId="0" xfId="22" applyNumberFormat="1" applyFont="1"/>
    <xf numFmtId="43" fontId="47" fillId="0" borderId="0" xfId="24" applyFont="1"/>
    <xf numFmtId="43" fontId="12" fillId="0" borderId="0" xfId="24" applyFont="1"/>
    <xf numFmtId="43" fontId="47" fillId="0" borderId="0" xfId="24" applyFont="1" applyFill="1"/>
    <xf numFmtId="43" fontId="47" fillId="0" borderId="78" xfId="24" applyFont="1" applyBorder="1"/>
    <xf numFmtId="44" fontId="47" fillId="0" borderId="0" xfId="25" applyNumberFormat="1" applyFont="1"/>
    <xf numFmtId="44" fontId="47" fillId="0" borderId="196" xfId="23" applyFont="1" applyBorder="1"/>
    <xf numFmtId="44" fontId="47" fillId="0" borderId="0" xfId="23" applyFont="1" applyBorder="1"/>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quotePrefix="1"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146" fillId="0" borderId="0" xfId="0" applyFont="1" applyAlignment="1">
      <alignment horizontal="center"/>
    </xf>
    <xf numFmtId="0" fontId="145" fillId="0" borderId="0" xfId="0" applyFont="1" applyAlignment="1">
      <alignment horizontal="center"/>
    </xf>
    <xf numFmtId="0" fontId="85" fillId="0" borderId="0" xfId="0" applyFont="1" applyAlignment="1">
      <alignment vertical="top" wrapText="1"/>
    </xf>
    <xf numFmtId="0" fontId="153" fillId="0" borderId="0" xfId="21" applyFont="1" applyAlignment="1">
      <alignment horizontal="center"/>
    </xf>
    <xf numFmtId="0" fontId="154" fillId="0" borderId="0" xfId="21" applyFont="1" applyAlignment="1">
      <alignment horizontal="center"/>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6">
    <cellStyle name="Comma" xfId="1" builtinId="3"/>
    <cellStyle name="Comma 2" xfId="24" xr:uid="{9FCE7FBC-18CF-4B5D-863A-DAC36230A41C}"/>
    <cellStyle name="Comma 2 2" xfId="25" xr:uid="{1104E054-08B7-4179-B7C9-4310BF439579}"/>
    <cellStyle name="Currency 2" xfId="23" xr:uid="{30811A0E-6871-44B9-B3B7-42A93EF3F10D}"/>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xfId="22" xr:uid="{0097764C-BA9A-4C72-B439-31FFEF288875}"/>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852E69E2-EC4A-4B6D-83AF-983035EADAFB}"/>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E50" sqref="AE5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4">
        <f>+'AFR20'!E4</f>
        <v>44119</v>
      </c>
      <c r="C1" s="2074"/>
      <c r="D1" s="2075"/>
      <c r="I1" s="2153" t="s">
        <v>402</v>
      </c>
      <c r="J1" s="2154"/>
      <c r="K1" s="2154"/>
      <c r="L1" s="2154"/>
      <c r="M1" s="2154"/>
      <c r="N1" s="2154"/>
      <c r="O1" s="2154"/>
      <c r="P1" s="2154"/>
      <c r="Q1" s="2154"/>
      <c r="R1" s="2154"/>
      <c r="S1" s="2154"/>
    </row>
    <row r="2" spans="1:32" ht="12" customHeight="1" x14ac:dyDescent="0.2">
      <c r="A2" s="1831" t="str">
        <f>"Due to ISBE on "</f>
        <v xml:space="preserve">Due to ISBE on </v>
      </c>
      <c r="B2" s="2076">
        <f>+'AFR20'!F4</f>
        <v>44151</v>
      </c>
      <c r="C2" s="2076"/>
      <c r="D2" s="2077"/>
      <c r="I2" s="2155" t="s">
        <v>2003</v>
      </c>
      <c r="J2" s="2154"/>
      <c r="K2" s="2154"/>
      <c r="L2" s="2154"/>
      <c r="M2" s="2154"/>
      <c r="N2" s="2154"/>
      <c r="O2" s="2154"/>
      <c r="P2" s="2154"/>
      <c r="Q2" s="2154"/>
      <c r="R2" s="2154"/>
      <c r="S2" s="2154"/>
    </row>
    <row r="3" spans="1:32" ht="12" customHeight="1" x14ac:dyDescent="0.2">
      <c r="A3" s="1834" t="str">
        <f>"SD/JA"&amp;MID('AFR20'!E2,3,2)</f>
        <v>SD/JA20</v>
      </c>
      <c r="B3" s="151"/>
      <c r="C3" s="151"/>
      <c r="D3" s="152"/>
      <c r="I3" s="2155" t="s">
        <v>52</v>
      </c>
      <c r="J3" s="2154"/>
      <c r="K3" s="2154"/>
      <c r="L3" s="2154"/>
      <c r="M3" s="2154"/>
      <c r="N3" s="2154"/>
      <c r="O3" s="2154"/>
      <c r="P3" s="2154"/>
      <c r="Q3" s="2154"/>
      <c r="R3" s="2154"/>
      <c r="S3" s="2154"/>
    </row>
    <row r="4" spans="1:32" ht="12" customHeight="1" x14ac:dyDescent="0.2">
      <c r="A4" s="37"/>
      <c r="I4" s="2155" t="s">
        <v>521</v>
      </c>
      <c r="J4" s="2154"/>
      <c r="K4" s="2154"/>
      <c r="L4" s="2154"/>
      <c r="M4" s="2154"/>
      <c r="N4" s="2154"/>
      <c r="O4" s="2154"/>
      <c r="P4" s="2154"/>
      <c r="Q4" s="2154"/>
      <c r="R4" s="2154"/>
      <c r="S4" s="2154"/>
    </row>
    <row r="5" spans="1:32" ht="14.1" customHeight="1" x14ac:dyDescent="0.2">
      <c r="B5" s="101" t="s">
        <v>2061</v>
      </c>
      <c r="C5" s="26" t="s">
        <v>904</v>
      </c>
      <c r="D5" s="81"/>
      <c r="E5" s="81"/>
      <c r="H5" s="38"/>
      <c r="I5" s="2162" t="s">
        <v>675</v>
      </c>
      <c r="J5" s="2107"/>
      <c r="K5" s="2107"/>
      <c r="L5" s="2107"/>
      <c r="M5" s="2107"/>
      <c r="N5" s="2107"/>
      <c r="O5" s="2107"/>
      <c r="P5" s="2107"/>
      <c r="Q5" s="2107"/>
      <c r="R5" s="2107"/>
      <c r="S5" s="2107"/>
      <c r="AF5" s="1827"/>
    </row>
    <row r="6" spans="1:32" ht="14.1" customHeight="1" x14ac:dyDescent="0.2">
      <c r="B6" s="101"/>
      <c r="C6" s="26" t="s">
        <v>905</v>
      </c>
      <c r="D6" s="81"/>
      <c r="E6" s="81"/>
      <c r="I6" s="2161" t="s">
        <v>877</v>
      </c>
      <c r="J6" s="2107"/>
      <c r="K6" s="2107"/>
      <c r="L6" s="2107"/>
      <c r="M6" s="2107"/>
      <c r="N6" s="2107"/>
      <c r="O6" s="2107"/>
      <c r="P6" s="2107"/>
      <c r="Q6" s="2107"/>
      <c r="R6" s="2107"/>
      <c r="S6" s="2107"/>
    </row>
    <row r="7" spans="1:32" ht="12.2" customHeight="1" x14ac:dyDescent="0.2">
      <c r="I7" s="2156" t="str">
        <f>"June 30, "&amp;'AFR20'!E2</f>
        <v>June 30, 2020</v>
      </c>
      <c r="J7" s="2157"/>
      <c r="K7" s="2157"/>
      <c r="L7" s="2157"/>
      <c r="M7" s="2157"/>
      <c r="N7" s="2157"/>
      <c r="O7" s="2157"/>
      <c r="P7" s="2157"/>
      <c r="Q7" s="2157"/>
      <c r="R7" s="2157"/>
      <c r="S7" s="21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8" t="s">
        <v>669</v>
      </c>
      <c r="J9" s="2159"/>
      <c r="K9" s="2159"/>
      <c r="L9" s="2159"/>
      <c r="M9" s="2159"/>
      <c r="N9" s="2159"/>
      <c r="O9" s="2159"/>
      <c r="P9" s="2159"/>
      <c r="Q9" s="2159"/>
      <c r="R9" s="2159"/>
      <c r="S9" s="2160"/>
      <c r="T9" s="2103" t="s">
        <v>530</v>
      </c>
      <c r="U9" s="2104"/>
      <c r="V9" s="2104"/>
      <c r="W9" s="2104"/>
      <c r="X9" s="2104"/>
      <c r="Y9" s="2104"/>
      <c r="Z9" s="2104"/>
      <c r="AA9" s="2105"/>
    </row>
    <row r="10" spans="1:32" ht="13.5" customHeight="1" x14ac:dyDescent="0.2">
      <c r="A10" s="2112" t="s">
        <v>670</v>
      </c>
      <c r="B10" s="2113"/>
      <c r="C10" s="2113"/>
      <c r="D10" s="2113"/>
      <c r="E10" s="2113"/>
      <c r="F10" s="2113"/>
      <c r="G10" s="2113"/>
      <c r="H10" s="2114"/>
      <c r="I10" s="29"/>
      <c r="J10" s="30"/>
      <c r="K10" s="28"/>
      <c r="R10" s="30"/>
      <c r="S10" s="30"/>
      <c r="T10" s="2106"/>
      <c r="U10" s="2107"/>
      <c r="V10" s="2107"/>
      <c r="W10" s="2107"/>
      <c r="X10" s="2107"/>
      <c r="Y10" s="2107"/>
      <c r="Z10" s="2107"/>
      <c r="AA10" s="2108"/>
    </row>
    <row r="11" spans="1:32" ht="14.25" customHeight="1" x14ac:dyDescent="0.2">
      <c r="A11" s="2115" t="s">
        <v>949</v>
      </c>
      <c r="B11" s="2116"/>
      <c r="C11" s="2116"/>
      <c r="D11" s="2116"/>
      <c r="E11" s="2116"/>
      <c r="F11" s="2116"/>
      <c r="G11" s="2116"/>
      <c r="H11" s="2117"/>
      <c r="I11" s="27"/>
      <c r="J11" s="71"/>
      <c r="K11" s="27"/>
      <c r="O11" s="144" t="s">
        <v>2061</v>
      </c>
      <c r="P11" s="97" t="s">
        <v>199</v>
      </c>
      <c r="Q11" s="30"/>
      <c r="R11" s="28"/>
      <c r="S11" s="27"/>
      <c r="T11" s="2109"/>
      <c r="U11" s="2110"/>
      <c r="V11" s="2110"/>
      <c r="W11" s="2110"/>
      <c r="X11" s="2110"/>
      <c r="Y11" s="2110"/>
      <c r="Z11" s="2110"/>
      <c r="AA11" s="211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3">
        <v>3011001026</v>
      </c>
      <c r="B13" s="2124"/>
      <c r="C13" s="2124"/>
      <c r="D13" s="2124"/>
      <c r="E13" s="2124"/>
      <c r="F13" s="2124"/>
      <c r="G13" s="2124"/>
      <c r="H13" s="2125"/>
      <c r="I13" s="31"/>
      <c r="J13" s="30"/>
      <c r="K13" s="28"/>
      <c r="L13" s="30"/>
      <c r="M13" s="30"/>
      <c r="N13" s="30"/>
      <c r="O13" s="30"/>
      <c r="P13" s="30"/>
      <c r="Q13" s="30"/>
      <c r="R13" s="30"/>
      <c r="S13" s="30"/>
      <c r="T13" s="2128" t="s">
        <v>2051</v>
      </c>
      <c r="U13" s="2129"/>
      <c r="V13" s="2129"/>
      <c r="W13" s="2129"/>
      <c r="X13" s="2129"/>
      <c r="Y13" s="2130"/>
      <c r="Z13" s="2130"/>
      <c r="AA13" s="213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1" t="s">
        <v>2064</v>
      </c>
      <c r="B15" s="2126"/>
      <c r="C15" s="2126"/>
      <c r="D15" s="2126"/>
      <c r="E15" s="2126"/>
      <c r="F15" s="2126"/>
      <c r="G15" s="2126"/>
      <c r="H15" s="2127"/>
      <c r="T15" s="2089" t="s">
        <v>2052</v>
      </c>
      <c r="U15" s="2090"/>
      <c r="V15" s="2090"/>
      <c r="W15" s="2090"/>
      <c r="X15" s="2090"/>
      <c r="Y15" s="2132"/>
      <c r="Z15" s="2132"/>
      <c r="AA15" s="213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2190</v>
      </c>
      <c r="B17" s="2151"/>
      <c r="C17" s="2151"/>
      <c r="D17" s="2151"/>
      <c r="E17" s="2151"/>
      <c r="F17" s="2151"/>
      <c r="G17" s="2151"/>
      <c r="H17" s="2152"/>
      <c r="T17" s="2138" t="s">
        <v>2053</v>
      </c>
      <c r="U17" s="2139"/>
      <c r="V17" s="2139"/>
      <c r="W17" s="2139"/>
      <c r="X17" s="2139"/>
      <c r="Y17" s="2139"/>
      <c r="Z17" s="2139"/>
      <c r="AA17" s="2140"/>
    </row>
    <row r="18" spans="1:27" ht="13.5" customHeight="1" x14ac:dyDescent="0.2">
      <c r="A18" s="82" t="s">
        <v>527</v>
      </c>
      <c r="B18" s="73"/>
      <c r="C18" s="69"/>
      <c r="D18" s="73"/>
      <c r="E18" s="73"/>
      <c r="F18" s="73"/>
      <c r="G18" s="73"/>
      <c r="H18" s="53"/>
      <c r="I18" s="2148" t="s">
        <v>671</v>
      </c>
      <c r="J18" s="2149"/>
      <c r="K18" s="2149"/>
      <c r="L18" s="2149"/>
      <c r="M18" s="2149"/>
      <c r="N18" s="2149"/>
      <c r="O18" s="2149"/>
      <c r="P18" s="2149"/>
      <c r="Q18" s="2149"/>
      <c r="R18" s="2149"/>
      <c r="S18" s="2150"/>
      <c r="T18" s="82" t="s">
        <v>706</v>
      </c>
      <c r="U18" s="48"/>
      <c r="V18" s="69"/>
      <c r="W18" s="47"/>
      <c r="X18" s="82" t="s">
        <v>264</v>
      </c>
      <c r="Y18" s="78"/>
      <c r="Z18" s="154" t="s">
        <v>672</v>
      </c>
      <c r="AA18" s="44"/>
    </row>
    <row r="19" spans="1:27" ht="13.5" customHeight="1" x14ac:dyDescent="0.2">
      <c r="A19" s="2121" t="s">
        <v>2065</v>
      </c>
      <c r="B19" s="2122"/>
      <c r="C19" s="2122"/>
      <c r="D19" s="2122"/>
      <c r="E19" s="2122"/>
      <c r="F19" s="2122"/>
      <c r="G19" s="2122"/>
      <c r="H19" s="2120"/>
      <c r="I19" s="30"/>
      <c r="J19" s="96"/>
      <c r="K19" s="40"/>
      <c r="L19" s="38"/>
      <c r="M19" s="109" t="s">
        <v>312</v>
      </c>
      <c r="P19" s="27"/>
      <c r="Q19" s="27"/>
      <c r="R19" s="27"/>
      <c r="S19" s="31"/>
      <c r="T19" s="2121" t="s">
        <v>2054</v>
      </c>
      <c r="U19" s="2119"/>
      <c r="V19" s="2119"/>
      <c r="W19" s="2120"/>
      <c r="X19" s="2136" t="s">
        <v>2055</v>
      </c>
      <c r="Y19" s="2137"/>
      <c r="Z19" s="2134">
        <v>62568</v>
      </c>
      <c r="AA19" s="213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8" t="s">
        <v>2066</v>
      </c>
      <c r="B21" s="2119"/>
      <c r="C21" s="2119"/>
      <c r="D21" s="2119"/>
      <c r="E21" s="2119"/>
      <c r="F21" s="2119"/>
      <c r="G21" s="2119"/>
      <c r="H21" s="2120"/>
      <c r="I21" s="2144" t="s">
        <v>673</v>
      </c>
      <c r="J21" s="2107"/>
      <c r="K21" s="2107"/>
      <c r="L21" s="2107"/>
      <c r="M21" s="2107"/>
      <c r="N21" s="2107"/>
      <c r="O21" s="2107"/>
      <c r="P21" s="2107"/>
      <c r="Q21" s="2107"/>
      <c r="R21" s="2107"/>
      <c r="S21" s="2108"/>
      <c r="T21" s="2086" t="s">
        <v>2056</v>
      </c>
      <c r="U21" s="2087"/>
      <c r="V21" s="2087"/>
      <c r="W21" s="2087"/>
      <c r="X21" s="2100" t="s">
        <v>2057</v>
      </c>
      <c r="Y21" s="2101"/>
      <c r="Z21" s="2101"/>
      <c r="AA21" s="2102"/>
    </row>
    <row r="22" spans="1:27" ht="13.5" customHeight="1" x14ac:dyDescent="0.2">
      <c r="A22" s="84" t="s">
        <v>528</v>
      </c>
      <c r="B22" s="56"/>
      <c r="C22" s="56"/>
      <c r="D22" s="56"/>
      <c r="E22" s="56"/>
      <c r="F22" s="56"/>
      <c r="G22" s="56"/>
      <c r="H22" s="57"/>
      <c r="I22" s="2145" t="s">
        <v>1412</v>
      </c>
      <c r="J22" s="2146"/>
      <c r="K22" s="2146"/>
      <c r="L22" s="2146"/>
      <c r="M22" s="2146"/>
      <c r="N22" s="2146"/>
      <c r="O22" s="2146"/>
      <c r="P22" s="2146"/>
      <c r="Q22" s="2146"/>
      <c r="R22" s="2146"/>
      <c r="S22" s="2147"/>
      <c r="T22" s="82" t="s">
        <v>1499</v>
      </c>
      <c r="U22" s="48"/>
      <c r="V22" s="69"/>
      <c r="W22" s="48"/>
      <c r="X22" s="155" t="s">
        <v>1307</v>
      </c>
      <c r="Z22" s="43"/>
      <c r="AA22" s="44"/>
    </row>
    <row r="23" spans="1:27" ht="13.5" customHeight="1" x14ac:dyDescent="0.2">
      <c r="A23" s="2141" t="s">
        <v>2067</v>
      </c>
      <c r="B23" s="2142"/>
      <c r="C23" s="2142"/>
      <c r="D23" s="2142"/>
      <c r="E23" s="2142"/>
      <c r="F23" s="2142"/>
      <c r="G23" s="2142"/>
      <c r="H23" s="2143"/>
      <c r="T23" s="2081" t="s">
        <v>2058</v>
      </c>
      <c r="U23" s="2082"/>
      <c r="V23" s="2082"/>
      <c r="W23" s="2082"/>
      <c r="X23" s="2097" t="s">
        <v>2059</v>
      </c>
      <c r="Y23" s="2098"/>
      <c r="Z23" s="2098"/>
      <c r="AA23" s="2099"/>
    </row>
    <row r="24" spans="1:27" ht="14.1" customHeight="1" x14ac:dyDescent="0.2">
      <c r="A24" s="85" t="s">
        <v>672</v>
      </c>
      <c r="B24" s="46"/>
      <c r="C24" s="46"/>
      <c r="D24" s="46"/>
      <c r="E24" s="46"/>
      <c r="F24" s="46"/>
      <c r="G24" s="46"/>
      <c r="H24" s="58"/>
      <c r="J24" s="2183">
        <f>IF(B5="x",IF(AUDITCHECK!D29="AFR form Incomplete.","",IF(AUDITCHECK!D29="Deficit reduction plan is required.","School District must complete a deficit reduction plan in the 2020-2021 Budget",)),"")</f>
        <v>0</v>
      </c>
      <c r="K24" s="2183"/>
      <c r="L24" s="2183"/>
      <c r="M24" s="2183"/>
      <c r="N24" s="2183"/>
      <c r="O24" s="2183"/>
      <c r="P24" s="2183"/>
      <c r="Q24" s="2183"/>
      <c r="R24" s="2183"/>
      <c r="S24" s="2184"/>
      <c r="T24" s="102" t="s">
        <v>528</v>
      </c>
      <c r="U24" s="103"/>
      <c r="V24" s="103"/>
      <c r="W24" s="103"/>
      <c r="X24" s="104"/>
      <c r="Y24" s="104"/>
      <c r="Z24" s="104"/>
      <c r="AA24" s="105"/>
    </row>
    <row r="25" spans="1:27" ht="14.1" customHeight="1" x14ac:dyDescent="0.2">
      <c r="A25" s="2118">
        <v>62546</v>
      </c>
      <c r="B25" s="2119"/>
      <c r="C25" s="2119"/>
      <c r="D25" s="2119"/>
      <c r="E25" s="2119"/>
      <c r="F25" s="2119"/>
      <c r="G25" s="2119"/>
      <c r="H25" s="2120"/>
      <c r="I25" s="110"/>
      <c r="J25" s="2185"/>
      <c r="K25" s="2185"/>
      <c r="L25" s="2185"/>
      <c r="M25" s="2185"/>
      <c r="N25" s="2185"/>
      <c r="O25" s="2185"/>
      <c r="P25" s="2185"/>
      <c r="Q25" s="2185"/>
      <c r="R25" s="2185"/>
      <c r="S25" s="2186"/>
      <c r="T25" s="2078" t="s">
        <v>2060</v>
      </c>
      <c r="U25" s="2079"/>
      <c r="V25" s="2079"/>
      <c r="W25" s="2079"/>
      <c r="X25" s="2079"/>
      <c r="Y25" s="2079"/>
      <c r="Z25" s="2079"/>
      <c r="AA25" s="208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76" t="s">
        <v>1494</v>
      </c>
      <c r="J27" s="2149"/>
      <c r="K27" s="2149"/>
      <c r="L27" s="2149"/>
      <c r="M27" s="2149"/>
      <c r="N27" s="2149"/>
      <c r="O27" s="2149"/>
      <c r="P27" s="2149"/>
      <c r="Q27" s="2149"/>
      <c r="R27" s="2149"/>
      <c r="S27" s="21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2"/>
      <c r="Q35" s="2119"/>
      <c r="R35" s="21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2068</v>
      </c>
      <c r="B38" s="2151"/>
      <c r="C38" s="2151"/>
      <c r="D38" s="2151"/>
      <c r="E38" s="2151"/>
      <c r="F38" s="2119"/>
      <c r="G38" s="2119"/>
      <c r="H38" s="2120"/>
      <c r="I38" s="2170"/>
      <c r="J38" s="2090"/>
      <c r="K38" s="2090"/>
      <c r="L38" s="2090"/>
      <c r="M38" s="2090"/>
      <c r="N38" s="2090"/>
      <c r="O38" s="2090"/>
      <c r="P38" s="2091"/>
      <c r="Q38" s="2091"/>
      <c r="R38" s="2091"/>
      <c r="S38" s="2092"/>
      <c r="T38" s="2089"/>
      <c r="U38" s="2090"/>
      <c r="V38" s="2090"/>
      <c r="W38" s="2090"/>
      <c r="X38" s="2091"/>
      <c r="Y38" s="2091"/>
      <c r="Z38" s="2091"/>
      <c r="AA38" s="2092"/>
    </row>
    <row r="39" spans="1:27" ht="12" customHeight="1" x14ac:dyDescent="0.2">
      <c r="A39" s="2174" t="s">
        <v>528</v>
      </c>
      <c r="B39" s="2175"/>
      <c r="C39" s="69"/>
      <c r="D39" s="66"/>
      <c r="E39" s="66"/>
      <c r="F39" s="76"/>
      <c r="G39" s="66"/>
      <c r="H39" s="53"/>
      <c r="I39" s="2174" t="s">
        <v>528</v>
      </c>
      <c r="J39" s="2175"/>
      <c r="K39" s="2175"/>
      <c r="L39" s="2175"/>
      <c r="M39" s="2175"/>
      <c r="N39" s="64"/>
      <c r="O39" s="69"/>
      <c r="P39" s="69"/>
      <c r="Q39" s="75"/>
      <c r="R39" s="69"/>
      <c r="S39" s="53"/>
      <c r="T39" s="69" t="s">
        <v>528</v>
      </c>
      <c r="U39" s="48"/>
      <c r="V39" s="69"/>
      <c r="W39" s="47"/>
      <c r="X39" s="75"/>
      <c r="Y39" s="43"/>
      <c r="Z39" s="43"/>
      <c r="AA39" s="44"/>
    </row>
    <row r="40" spans="1:27" ht="13.5" customHeight="1" x14ac:dyDescent="0.2">
      <c r="A40" s="2177" t="s">
        <v>2067</v>
      </c>
      <c r="B40" s="2178"/>
      <c r="C40" s="2179"/>
      <c r="D40" s="2179"/>
      <c r="E40" s="2179"/>
      <c r="F40" s="2180"/>
      <c r="G40" s="2180"/>
      <c r="H40" s="2181"/>
      <c r="I40" s="2093"/>
      <c r="J40" s="2095"/>
      <c r="K40" s="2095"/>
      <c r="L40" s="2095"/>
      <c r="M40" s="2095"/>
      <c r="N40" s="2095"/>
      <c r="O40" s="2095"/>
      <c r="P40" s="2095"/>
      <c r="Q40" s="2095"/>
      <c r="R40" s="2095"/>
      <c r="S40" s="2096"/>
      <c r="T40" s="2093"/>
      <c r="U40" s="2094"/>
      <c r="V40" s="2095"/>
      <c r="W40" s="2095"/>
      <c r="X40" s="2095"/>
      <c r="Y40" s="2095"/>
      <c r="Z40" s="2095"/>
      <c r="AA40" s="209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7" t="s">
        <v>2069</v>
      </c>
      <c r="B42" s="2168"/>
      <c r="C42" s="2169"/>
      <c r="D42" s="2182" t="s">
        <v>2070</v>
      </c>
      <c r="E42" s="2168"/>
      <c r="F42" s="2168"/>
      <c r="G42" s="2168"/>
      <c r="H42" s="2169"/>
      <c r="I42" s="2088"/>
      <c r="J42" s="2084"/>
      <c r="K42" s="2084"/>
      <c r="L42" s="2084"/>
      <c r="M42" s="2084"/>
      <c r="N42" s="2084"/>
      <c r="O42" s="2085"/>
      <c r="P42" s="2083"/>
      <c r="Q42" s="2084"/>
      <c r="R42" s="2084"/>
      <c r="S42" s="2085"/>
      <c r="T42" s="2088"/>
      <c r="U42" s="2084"/>
      <c r="V42" s="2084"/>
      <c r="W42" s="2085"/>
      <c r="X42" s="2083"/>
      <c r="Y42" s="2084"/>
      <c r="Z42" s="2084"/>
      <c r="AA42" s="208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1"/>
      <c r="B44" s="2172"/>
      <c r="C44" s="2172"/>
      <c r="D44" s="2172"/>
      <c r="E44" s="2172"/>
      <c r="F44" s="2172"/>
      <c r="G44" s="2172"/>
      <c r="H44" s="2173"/>
      <c r="I44" s="2163"/>
      <c r="J44" s="2165"/>
      <c r="K44" s="2165"/>
      <c r="L44" s="2165"/>
      <c r="M44" s="2165"/>
      <c r="N44" s="2165"/>
      <c r="O44" s="2165"/>
      <c r="P44" s="2165"/>
      <c r="Q44" s="2165"/>
      <c r="R44" s="2165"/>
      <c r="S44" s="2166"/>
      <c r="T44" s="2163"/>
      <c r="U44" s="2164"/>
      <c r="V44" s="2164"/>
      <c r="W44" s="2164"/>
      <c r="X44" s="2164"/>
      <c r="Y44" s="2164"/>
      <c r="Z44" s="2165"/>
      <c r="AA44" s="216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topLeftCell="A4" colorId="8" zoomScale="110" zoomScaleNormal="110" workbookViewId="0">
      <selection activeCell="E10" sqref="E1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2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26"/>
      <c r="B3" s="1294"/>
      <c r="C3" s="1295"/>
      <c r="D3" s="1296" t="s">
        <v>254</v>
      </c>
      <c r="E3" s="1295"/>
      <c r="F3" s="1296" t="s">
        <v>255</v>
      </c>
    </row>
    <row r="4" spans="1:8" ht="13.7" customHeight="1" x14ac:dyDescent="0.2">
      <c r="A4" s="579" t="s">
        <v>1145</v>
      </c>
      <c r="B4" s="1721">
        <f>'Revenues 9-14'!C5</f>
        <v>1417681</v>
      </c>
      <c r="C4" s="1722"/>
      <c r="D4" s="1723">
        <f>B4-C4</f>
        <v>1417681</v>
      </c>
      <c r="E4" s="1722">
        <v>1510002</v>
      </c>
      <c r="F4" s="1723">
        <f>E4-C4</f>
        <v>1510002</v>
      </c>
    </row>
    <row r="5" spans="1:8" ht="13.7" customHeight="1" x14ac:dyDescent="0.2">
      <c r="A5" s="579" t="s">
        <v>865</v>
      </c>
      <c r="B5" s="1724">
        <f>'Revenues 9-14'!D5</f>
        <v>236280</v>
      </c>
      <c r="C5" s="1664"/>
      <c r="D5" s="1725">
        <f t="shared" ref="D5:D18" si="0">B5-C5</f>
        <v>236280</v>
      </c>
      <c r="E5" s="1664">
        <v>252001</v>
      </c>
      <c r="F5" s="1725">
        <f>E5-C5</f>
        <v>252001</v>
      </c>
    </row>
    <row r="6" spans="1:8" ht="13.7" customHeight="1" x14ac:dyDescent="0.2">
      <c r="A6" s="579" t="s">
        <v>408</v>
      </c>
      <c r="B6" s="1724">
        <f>'Revenues 9-14'!E5</f>
        <v>210187</v>
      </c>
      <c r="C6" s="1664"/>
      <c r="D6" s="1725">
        <f t="shared" si="0"/>
        <v>210187</v>
      </c>
      <c r="E6" s="1664">
        <v>219606</v>
      </c>
      <c r="F6" s="1725">
        <f t="shared" ref="F6:F18" si="1">E6-C6</f>
        <v>219606</v>
      </c>
    </row>
    <row r="7" spans="1:8" ht="13.7" customHeight="1" x14ac:dyDescent="0.2">
      <c r="A7" s="579" t="s">
        <v>154</v>
      </c>
      <c r="B7" s="1724">
        <f>'Revenues 9-14'!F5</f>
        <v>94512</v>
      </c>
      <c r="C7" s="1664"/>
      <c r="D7" s="1725">
        <f t="shared" si="0"/>
        <v>94512</v>
      </c>
      <c r="E7" s="1664">
        <v>100855</v>
      </c>
      <c r="F7" s="1725">
        <f t="shared" si="1"/>
        <v>100855</v>
      </c>
    </row>
    <row r="8" spans="1:8" ht="13.7" customHeight="1" x14ac:dyDescent="0.2">
      <c r="A8" s="579" t="s">
        <v>1169</v>
      </c>
      <c r="B8" s="1724">
        <f>'Revenues 9-14'!G5</f>
        <v>29856</v>
      </c>
      <c r="C8" s="1664"/>
      <c r="D8" s="1725">
        <f t="shared" si="0"/>
        <v>29856</v>
      </c>
      <c r="E8" s="1664">
        <v>25002</v>
      </c>
      <c r="F8" s="1725">
        <f t="shared" si="1"/>
        <v>25002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23628</v>
      </c>
      <c r="C10" s="1664"/>
      <c r="D10" s="1725">
        <f t="shared" si="0"/>
        <v>23628</v>
      </c>
      <c r="E10" s="1664">
        <v>25204</v>
      </c>
      <c r="F10" s="1725">
        <f t="shared" si="1"/>
        <v>25204</v>
      </c>
    </row>
    <row r="11" spans="1:8" x14ac:dyDescent="0.2">
      <c r="A11" s="579" t="s">
        <v>406</v>
      </c>
      <c r="B11" s="1724">
        <f>'Revenues 9-14'!J5</f>
        <v>179122</v>
      </c>
      <c r="C11" s="1664"/>
      <c r="D11" s="1725">
        <f t="shared" si="0"/>
        <v>179122</v>
      </c>
      <c r="E11" s="1664">
        <v>180000</v>
      </c>
      <c r="F11" s="1725">
        <f t="shared" si="1"/>
        <v>180000</v>
      </c>
    </row>
    <row r="12" spans="1:8" ht="13.7" customHeight="1" x14ac:dyDescent="0.2">
      <c r="A12" s="579" t="s">
        <v>156</v>
      </c>
      <c r="B12" s="1724">
        <f>'Revenues 9-14'!K5</f>
        <v>23628</v>
      </c>
      <c r="C12" s="1664"/>
      <c r="D12" s="1725">
        <f t="shared" si="0"/>
        <v>23628</v>
      </c>
      <c r="E12" s="1664">
        <v>25214</v>
      </c>
      <c r="F12" s="1725">
        <f t="shared" si="1"/>
        <v>25214</v>
      </c>
    </row>
    <row r="13" spans="1:8" ht="13.7" customHeight="1" x14ac:dyDescent="0.2">
      <c r="A13" s="579" t="s">
        <v>930</v>
      </c>
      <c r="B13" s="1724">
        <f>SUM('Revenues 9-14'!C6:D6)</f>
        <v>23874</v>
      </c>
      <c r="C13" s="1664"/>
      <c r="D13" s="1725">
        <f t="shared" si="0"/>
        <v>23874</v>
      </c>
      <c r="E13" s="1664">
        <v>25214</v>
      </c>
      <c r="F13" s="1725">
        <f t="shared" si="1"/>
        <v>25214</v>
      </c>
    </row>
    <row r="14" spans="1:8" ht="13.7" customHeight="1" x14ac:dyDescent="0.2">
      <c r="A14" s="579" t="s">
        <v>407</v>
      </c>
      <c r="B14" s="1724">
        <f>SUM('Revenues 9-14'!C7:D7,'Revenues 9-14'!F7:H7)</f>
        <v>18902</v>
      </c>
      <c r="C14" s="1664"/>
      <c r="D14" s="1725">
        <f t="shared" si="0"/>
        <v>18902</v>
      </c>
      <c r="E14" s="1664">
        <v>20171</v>
      </c>
      <c r="F14" s="1725">
        <f t="shared" si="1"/>
        <v>20171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74635</v>
      </c>
      <c r="C16" s="1664"/>
      <c r="D16" s="1725">
        <f t="shared" si="0"/>
        <v>74635</v>
      </c>
      <c r="E16" s="1664">
        <v>70003</v>
      </c>
      <c r="F16" s="1725">
        <f t="shared" si="1"/>
        <v>70003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2332305</v>
      </c>
      <c r="C19" s="1726">
        <f>SUM(C4:C18)</f>
        <v>0</v>
      </c>
      <c r="D19" s="1726">
        <f>SUM(D4:D18)</f>
        <v>2332305</v>
      </c>
      <c r="E19" s="1726">
        <f>SUM(E4:E18)</f>
        <v>2453272</v>
      </c>
      <c r="F19" s="1726">
        <f>SUM(F4:F18)</f>
        <v>2453272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orizontalCentered="1" headings="1" gridLinesSet="0"/>
  <pageMargins left="0.5" right="0.5" top="1.25" bottom="0.75" header="1" footer="0.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46" sqref="F4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1" t="s">
        <v>625</v>
      </c>
      <c r="B1" s="2332"/>
      <c r="C1" s="585"/>
    </row>
    <row r="2" spans="1:7" ht="33.75" x14ac:dyDescent="0.2">
      <c r="A2" s="2340" t="s">
        <v>1779</v>
      </c>
      <c r="B2" s="234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4" t="s">
        <v>1104</v>
      </c>
      <c r="B3" s="2345"/>
      <c r="C3" s="2333"/>
      <c r="D3" s="2334"/>
      <c r="E3" s="2334"/>
      <c r="F3" s="2335"/>
    </row>
    <row r="4" spans="1:7" ht="12.75" customHeight="1" thickBot="1" x14ac:dyDescent="0.25">
      <c r="A4" s="2342" t="s">
        <v>626</v>
      </c>
      <c r="B4" s="2343"/>
      <c r="C4" s="1656"/>
      <c r="D4" s="1656"/>
      <c r="E4" s="1656"/>
      <c r="F4" s="1732">
        <f>SUM(C4+D4)-E4</f>
        <v>0</v>
      </c>
    </row>
    <row r="5" spans="1:7" ht="15.75" customHeight="1" thickTop="1" x14ac:dyDescent="0.2">
      <c r="A5" s="2327" t="s">
        <v>1101</v>
      </c>
      <c r="B5" s="2328"/>
      <c r="C5" s="2336"/>
      <c r="D5" s="2337"/>
      <c r="E5" s="2337"/>
      <c r="F5" s="233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9" t="s">
        <v>627</v>
      </c>
      <c r="B15" s="2330"/>
      <c r="C15" s="1732">
        <f>SUM(C6:C14)</f>
        <v>0</v>
      </c>
      <c r="D15" s="1732">
        <f>SUM(D6:D14)</f>
        <v>0</v>
      </c>
      <c r="E15" s="1732">
        <f>SUM(E6:E14)</f>
        <v>0</v>
      </c>
      <c r="F15" s="1732">
        <f>SUM(F6:F14)</f>
        <v>0</v>
      </c>
      <c r="G15" s="473"/>
    </row>
    <row r="16" spans="1:7" s="197" customFormat="1" ht="15.75" customHeight="1" thickTop="1" x14ac:dyDescent="0.2">
      <c r="A16" s="2339" t="s">
        <v>1102</v>
      </c>
      <c r="B16" s="2328"/>
      <c r="C16" s="2336"/>
      <c r="D16" s="2337"/>
      <c r="E16" s="2337"/>
      <c r="F16" s="2338"/>
    </row>
    <row r="17" spans="1:11" ht="12.75" customHeight="1" thickBot="1" x14ac:dyDescent="0.25">
      <c r="A17" s="2352" t="s">
        <v>64</v>
      </c>
      <c r="B17" s="2353"/>
      <c r="C17" s="1733"/>
      <c r="D17" s="1664"/>
      <c r="E17" s="1733"/>
      <c r="F17" s="1732">
        <f>SUM(C17+D17)-E17</f>
        <v>0</v>
      </c>
    </row>
    <row r="18" spans="1:11" ht="12.75" customHeight="1" thickTop="1" thickBot="1" x14ac:dyDescent="0.25">
      <c r="A18" s="2352" t="s">
        <v>6</v>
      </c>
      <c r="B18" s="2353"/>
      <c r="C18" s="1733"/>
      <c r="D18" s="1664"/>
      <c r="E18" s="1733"/>
      <c r="F18" s="1732">
        <f>SUM(C18+D18)-E18</f>
        <v>0</v>
      </c>
    </row>
    <row r="19" spans="1:11" ht="12.75" customHeight="1" thickTop="1" thickBot="1" x14ac:dyDescent="0.25">
      <c r="A19" s="2352" t="s">
        <v>385</v>
      </c>
      <c r="B19" s="2353"/>
      <c r="C19" s="1733"/>
      <c r="D19" s="1664"/>
      <c r="E19" s="1733"/>
      <c r="F19" s="1732">
        <f>SUM(C19+D19)-E19</f>
        <v>0</v>
      </c>
    </row>
    <row r="20" spans="1:11" ht="12.75" customHeight="1" thickTop="1" thickBot="1" x14ac:dyDescent="0.25">
      <c r="A20" s="2352" t="s">
        <v>445</v>
      </c>
      <c r="B20" s="2353"/>
      <c r="C20" s="1733"/>
      <c r="D20" s="1664"/>
      <c r="E20" s="1733"/>
      <c r="F20" s="1732">
        <f>SUM(C20+D20)-E20</f>
        <v>0</v>
      </c>
    </row>
    <row r="21" spans="1:11" ht="14.25" thickTop="1" thickBot="1" x14ac:dyDescent="0.25">
      <c r="A21" s="2329" t="s">
        <v>628</v>
      </c>
      <c r="B21" s="2330"/>
      <c r="C21" s="1732">
        <f>SUM(C17:C20)</f>
        <v>0</v>
      </c>
      <c r="D21" s="1732">
        <f>SUM(D17:D20)</f>
        <v>0</v>
      </c>
      <c r="E21" s="1732">
        <f>SUM(E17:E20)</f>
        <v>0</v>
      </c>
      <c r="F21" s="1732">
        <f>SUM(F17:F20)</f>
        <v>0</v>
      </c>
      <c r="G21" s="473"/>
    </row>
    <row r="22" spans="1:11" ht="15.75" customHeight="1" thickTop="1" x14ac:dyDescent="0.2">
      <c r="A22" s="2354" t="s">
        <v>1103</v>
      </c>
      <c r="B22" s="2328"/>
      <c r="C22" s="2336"/>
      <c r="D22" s="2337"/>
      <c r="E22" s="2337"/>
      <c r="F22" s="2338"/>
    </row>
    <row r="23" spans="1:11" ht="13.5" thickBot="1" x14ac:dyDescent="0.25">
      <c r="A23" s="2342" t="s">
        <v>629</v>
      </c>
      <c r="B23" s="2343"/>
      <c r="C23" s="1656"/>
      <c r="D23" s="1656"/>
      <c r="E23" s="1656"/>
      <c r="F23" s="1732">
        <f>SUM(C23+D23)-E23</f>
        <v>0</v>
      </c>
      <c r="G23" s="473"/>
    </row>
    <row r="24" spans="1:11" ht="15.75" customHeight="1" thickTop="1" x14ac:dyDescent="0.2">
      <c r="A24" s="2354" t="s">
        <v>2006</v>
      </c>
      <c r="B24" s="2328"/>
      <c r="C24" s="2336"/>
      <c r="D24" s="2337"/>
      <c r="E24" s="2337"/>
      <c r="F24" s="2338"/>
    </row>
    <row r="25" spans="1:11" ht="13.5" thickBot="1" x14ac:dyDescent="0.25">
      <c r="A25" s="2342" t="s">
        <v>2007</v>
      </c>
      <c r="B25" s="2343"/>
      <c r="C25" s="1656"/>
      <c r="D25" s="1656"/>
      <c r="E25" s="1656"/>
      <c r="F25" s="1732">
        <f>SUM(C25+D25)-E25</f>
        <v>0</v>
      </c>
      <c r="G25" s="473"/>
    </row>
    <row r="26" spans="1:11" ht="15.75" customHeight="1" thickTop="1" x14ac:dyDescent="0.2">
      <c r="A26" s="2327" t="s">
        <v>652</v>
      </c>
      <c r="B26" s="2328"/>
      <c r="C26" s="589"/>
      <c r="D26" s="589"/>
      <c r="E26" s="589"/>
      <c r="F26" s="590"/>
    </row>
    <row r="27" spans="1:11" ht="13.5" thickBot="1" x14ac:dyDescent="0.25">
      <c r="A27" s="2329" t="s">
        <v>1061</v>
      </c>
      <c r="B27" s="2330"/>
      <c r="C27" s="1664"/>
      <c r="D27" s="1664"/>
      <c r="E27" s="1664"/>
      <c r="F27" s="1732">
        <f>SUM(C27+D27)-E27</f>
        <v>0</v>
      </c>
      <c r="G27" s="473"/>
    </row>
    <row r="28" spans="1:11" ht="7.5" customHeight="1" thickTop="1" x14ac:dyDescent="0.2">
      <c r="A28" s="489"/>
    </row>
    <row r="29" spans="1:11" ht="23.25" customHeight="1" x14ac:dyDescent="0.2">
      <c r="A29" s="2355" t="s">
        <v>578</v>
      </c>
      <c r="B29" s="233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42429</v>
      </c>
      <c r="C31" s="1734">
        <v>200000</v>
      </c>
      <c r="D31" s="1735">
        <v>4</v>
      </c>
      <c r="E31" s="1734">
        <v>20000</v>
      </c>
      <c r="F31" s="1734"/>
      <c r="G31" s="1734"/>
      <c r="H31" s="1734">
        <v>20000</v>
      </c>
      <c r="I31" s="1736">
        <f>((E31+F31)-H31)+G31</f>
        <v>0</v>
      </c>
      <c r="J31" s="1734">
        <v>0</v>
      </c>
      <c r="K31" s="596"/>
    </row>
    <row r="32" spans="1:11" ht="12" customHeight="1" x14ac:dyDescent="0.2">
      <c r="A32" s="594" t="s">
        <v>2072</v>
      </c>
      <c r="B32" s="595">
        <v>42579</v>
      </c>
      <c r="C32" s="1734">
        <v>85200</v>
      </c>
      <c r="D32" s="1735">
        <v>7</v>
      </c>
      <c r="E32" s="1734">
        <v>34687</v>
      </c>
      <c r="F32" s="1734"/>
      <c r="G32" s="1734"/>
      <c r="H32" s="1734">
        <v>17016</v>
      </c>
      <c r="I32" s="1736">
        <f>((E32+F32)-H32)+G32</f>
        <v>17671</v>
      </c>
      <c r="J32" s="1734">
        <v>0</v>
      </c>
      <c r="K32" s="596"/>
    </row>
    <row r="33" spans="1:11" ht="12" customHeight="1" x14ac:dyDescent="0.2">
      <c r="A33" s="594" t="s">
        <v>2073</v>
      </c>
      <c r="B33" s="595">
        <v>43509</v>
      </c>
      <c r="C33" s="1734">
        <v>1545000</v>
      </c>
      <c r="D33" s="1735">
        <v>3</v>
      </c>
      <c r="E33" s="1734">
        <v>1545000</v>
      </c>
      <c r="F33" s="1734"/>
      <c r="G33" s="1734"/>
      <c r="H33" s="1734">
        <v>170000</v>
      </c>
      <c r="I33" s="1736">
        <f t="shared" ref="I33:I48" si="1">((E33+F33)-H33)+G33</f>
        <v>1375000</v>
      </c>
      <c r="J33" s="1734">
        <v>1375000</v>
      </c>
      <c r="K33" s="596"/>
    </row>
    <row r="34" spans="1:11" ht="12" customHeight="1" x14ac:dyDescent="0.2">
      <c r="A34" s="594" t="s">
        <v>2072</v>
      </c>
      <c r="B34" s="595">
        <v>43723</v>
      </c>
      <c r="C34" s="1734">
        <v>45000</v>
      </c>
      <c r="D34" s="1735">
        <v>7</v>
      </c>
      <c r="E34" s="1734"/>
      <c r="F34" s="1734">
        <v>45000</v>
      </c>
      <c r="G34" s="1734"/>
      <c r="H34" s="1734">
        <v>9942</v>
      </c>
      <c r="I34" s="1736">
        <f t="shared" si="1"/>
        <v>35058</v>
      </c>
      <c r="J34" s="1734">
        <v>33276</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1875200</v>
      </c>
      <c r="D49" s="1742"/>
      <c r="E49" s="1736">
        <f t="shared" ref="E49:J49" si="2">SUM(E31:E48)</f>
        <v>1599687</v>
      </c>
      <c r="F49" s="1736">
        <f t="shared" si="2"/>
        <v>45000</v>
      </c>
      <c r="G49" s="1736">
        <f t="shared" si="2"/>
        <v>0</v>
      </c>
      <c r="H49" s="1736">
        <f t="shared" si="2"/>
        <v>216958</v>
      </c>
      <c r="I49" s="1736">
        <f t="shared" si="2"/>
        <v>1427729</v>
      </c>
      <c r="J49" s="1736">
        <f t="shared" si="2"/>
        <v>1408276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46" t="s">
        <v>580</v>
      </c>
      <c r="C52" s="2347"/>
      <c r="D52" s="2347"/>
      <c r="E52" s="603" t="s">
        <v>840</v>
      </c>
      <c r="F52" s="2348" t="s">
        <v>2074</v>
      </c>
      <c r="G52" s="2349"/>
      <c r="H52" s="596"/>
      <c r="I52" s="596"/>
      <c r="J52" s="600"/>
    </row>
    <row r="53" spans="1:11" ht="11.25" customHeight="1" x14ac:dyDescent="0.2">
      <c r="A53" s="604" t="s">
        <v>907</v>
      </c>
      <c r="B53" s="605" t="s">
        <v>945</v>
      </c>
      <c r="C53" s="600"/>
      <c r="D53" s="597"/>
      <c r="E53" s="603" t="s">
        <v>494</v>
      </c>
      <c r="F53" s="2350"/>
      <c r="G53" s="2351"/>
      <c r="H53" s="596"/>
      <c r="I53" s="596"/>
      <c r="J53" s="600"/>
    </row>
    <row r="54" spans="1:11" ht="11.25" customHeight="1" x14ac:dyDescent="0.2">
      <c r="A54" s="606" t="s">
        <v>908</v>
      </c>
      <c r="B54" s="601" t="s">
        <v>946</v>
      </c>
      <c r="C54" s="600"/>
      <c r="D54" s="597"/>
      <c r="E54" s="603" t="s">
        <v>495</v>
      </c>
      <c r="F54" s="2350"/>
      <c r="G54" s="235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2" t="s">
        <v>851</v>
      </c>
      <c r="B1" s="2383"/>
      <c r="C1" s="2383"/>
      <c r="D1" s="2383"/>
      <c r="E1" s="2383"/>
      <c r="F1" s="2383"/>
      <c r="G1" s="2384"/>
      <c r="H1" s="1298"/>
      <c r="I1" s="614"/>
      <c r="J1" s="400"/>
    </row>
    <row r="2" spans="1:11" ht="26.25" x14ac:dyDescent="0.2">
      <c r="A2" s="2359" t="s">
        <v>1658</v>
      </c>
      <c r="B2" s="2360"/>
      <c r="C2" s="2360"/>
      <c r="D2" s="2360"/>
      <c r="E2" s="2361"/>
      <c r="F2" s="615" t="s">
        <v>898</v>
      </c>
      <c r="G2" s="616" t="s">
        <v>1655</v>
      </c>
      <c r="H2" s="616" t="s">
        <v>407</v>
      </c>
      <c r="I2" s="616" t="s">
        <v>1148</v>
      </c>
      <c r="J2" s="616" t="s">
        <v>1789</v>
      </c>
      <c r="K2" s="616" t="s">
        <v>137</v>
      </c>
    </row>
    <row r="3" spans="1:11" x14ac:dyDescent="0.2">
      <c r="A3" s="2362" t="str">
        <f>"Cash Basis Fund Balance as of July 1, "&amp;'AFR20'!E2-1</f>
        <v>Cash Basis Fund Balance as of July 1, 2019</v>
      </c>
      <c r="B3" s="2363"/>
      <c r="C3" s="2363"/>
      <c r="D3" s="2363"/>
      <c r="E3" s="2364"/>
      <c r="F3" s="617"/>
      <c r="G3" s="1744"/>
      <c r="H3" s="1744"/>
      <c r="I3" s="1744"/>
      <c r="J3" s="1745">
        <v>76162</v>
      </c>
      <c r="K3" s="1745"/>
    </row>
    <row r="4" spans="1:11" x14ac:dyDescent="0.2">
      <c r="A4" s="2365" t="s">
        <v>366</v>
      </c>
      <c r="B4" s="2366"/>
      <c r="C4" s="2366"/>
      <c r="D4" s="2366"/>
      <c r="E4" s="2347"/>
      <c r="F4" s="620"/>
      <c r="G4" s="1746"/>
      <c r="H4" s="1747"/>
      <c r="I4" s="1746"/>
      <c r="J4" s="1748"/>
      <c r="K4" s="1748"/>
    </row>
    <row r="5" spans="1:11" x14ac:dyDescent="0.2">
      <c r="A5" s="2385" t="s">
        <v>1060</v>
      </c>
      <c r="B5" s="2356"/>
      <c r="C5" s="2356"/>
      <c r="D5" s="2356"/>
      <c r="E5" s="2386"/>
      <c r="F5" s="622" t="s">
        <v>843</v>
      </c>
      <c r="G5" s="1749"/>
      <c r="H5" s="1744">
        <v>18902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1125</v>
      </c>
    </row>
    <row r="8" spans="1:11" x14ac:dyDescent="0.2">
      <c r="A8" s="629" t="s">
        <v>342</v>
      </c>
      <c r="B8" s="630"/>
      <c r="C8" s="630"/>
      <c r="D8" s="630"/>
      <c r="E8" s="631"/>
      <c r="F8" s="622" t="s">
        <v>846</v>
      </c>
      <c r="G8" s="1753"/>
      <c r="H8" s="1753"/>
      <c r="I8" s="1753"/>
      <c r="J8" s="1745">
        <v>144182</v>
      </c>
      <c r="K8" s="1748"/>
    </row>
    <row r="9" spans="1:11" x14ac:dyDescent="0.2">
      <c r="A9" s="629" t="s">
        <v>137</v>
      </c>
      <c r="B9" s="630"/>
      <c r="C9" s="630"/>
      <c r="D9" s="630"/>
      <c r="E9" s="631"/>
      <c r="F9" s="628" t="s">
        <v>848</v>
      </c>
      <c r="G9" s="1753"/>
      <c r="H9" s="1749"/>
      <c r="I9" s="1749"/>
      <c r="J9" s="1752"/>
      <c r="K9" s="1745">
        <v>2497</v>
      </c>
    </row>
    <row r="10" spans="1:11" x14ac:dyDescent="0.2">
      <c r="A10" s="2385" t="s">
        <v>1790</v>
      </c>
      <c r="B10" s="2356"/>
      <c r="C10" s="2356"/>
      <c r="D10" s="2356"/>
      <c r="E10" s="2387"/>
      <c r="F10" s="633" t="s">
        <v>857</v>
      </c>
      <c r="G10" s="1753"/>
      <c r="H10" s="1754"/>
      <c r="I10" s="1744"/>
      <c r="J10" s="1745"/>
      <c r="K10" s="1745"/>
    </row>
    <row r="11" spans="1:11" x14ac:dyDescent="0.2">
      <c r="A11" s="2385" t="s">
        <v>159</v>
      </c>
      <c r="B11" s="2356"/>
      <c r="C11" s="2356"/>
      <c r="D11" s="2356"/>
      <c r="E11" s="2386"/>
      <c r="F11" s="622" t="s">
        <v>847</v>
      </c>
      <c r="G11" s="1749"/>
      <c r="H11" s="1744"/>
      <c r="I11" s="1744"/>
      <c r="J11" s="1745"/>
      <c r="K11" s="1751"/>
    </row>
    <row r="12" spans="1:11" ht="13.5" thickBot="1" x14ac:dyDescent="0.25">
      <c r="A12" s="2373" t="s">
        <v>899</v>
      </c>
      <c r="B12" s="2374"/>
      <c r="C12" s="2374"/>
      <c r="D12" s="2374"/>
      <c r="E12" s="2375"/>
      <c r="F12" s="1433"/>
      <c r="G12" s="1755">
        <f>SUM(G5:G11)</f>
        <v>0</v>
      </c>
      <c r="H12" s="1755">
        <f>SUM(H5:H11)</f>
        <v>18902</v>
      </c>
      <c r="I12" s="1755">
        <f>SUM(I5:I11)</f>
        <v>0</v>
      </c>
      <c r="J12" s="1755">
        <f>SUM(J5:J11)</f>
        <v>144182</v>
      </c>
      <c r="K12" s="1755">
        <f>SUM(K5:K11)</f>
        <v>3622</v>
      </c>
    </row>
    <row r="13" spans="1:11" ht="13.5" thickTop="1" x14ac:dyDescent="0.2">
      <c r="A13" s="2367" t="s">
        <v>367</v>
      </c>
      <c r="B13" s="2368"/>
      <c r="C13" s="2368"/>
      <c r="D13" s="2368"/>
      <c r="E13" s="2369"/>
      <c r="F13" s="634"/>
      <c r="G13" s="1756"/>
      <c r="H13" s="1757"/>
      <c r="I13" s="1758"/>
      <c r="J13" s="1758"/>
      <c r="K13" s="1758"/>
    </row>
    <row r="14" spans="1:11" x14ac:dyDescent="0.2">
      <c r="A14" s="2391" t="s">
        <v>453</v>
      </c>
      <c r="B14" s="2391"/>
      <c r="C14" s="2391"/>
      <c r="D14" s="2391"/>
      <c r="E14" s="2392"/>
      <c r="F14" s="635" t="s">
        <v>849</v>
      </c>
      <c r="G14" s="1753"/>
      <c r="H14" s="1744">
        <v>18902</v>
      </c>
      <c r="I14" s="1749"/>
      <c r="J14" s="1751"/>
      <c r="K14" s="1745">
        <v>3622</v>
      </c>
    </row>
    <row r="15" spans="1:11" x14ac:dyDescent="0.2">
      <c r="A15" s="2356" t="s">
        <v>4</v>
      </c>
      <c r="B15" s="2356"/>
      <c r="C15" s="2356"/>
      <c r="D15" s="2356"/>
      <c r="E15" s="2386"/>
      <c r="F15" s="635" t="s">
        <v>850</v>
      </c>
      <c r="G15" s="1749"/>
      <c r="H15" s="1744"/>
      <c r="I15" s="1744"/>
      <c r="J15" s="1745">
        <v>50672</v>
      </c>
      <c r="K15" s="1745"/>
    </row>
    <row r="16" spans="1:11" x14ac:dyDescent="0.2">
      <c r="A16" s="2356" t="s">
        <v>295</v>
      </c>
      <c r="B16" s="2356"/>
      <c r="C16" s="2356"/>
      <c r="D16" s="2356"/>
      <c r="E16" s="2386"/>
      <c r="F16" s="635" t="s">
        <v>917</v>
      </c>
      <c r="G16" s="1750"/>
      <c r="H16" s="1746"/>
      <c r="I16" s="1746"/>
      <c r="J16" s="1748"/>
      <c r="K16" s="1748"/>
    </row>
    <row r="17" spans="1:15" x14ac:dyDescent="0.2">
      <c r="A17" s="2380" t="s">
        <v>929</v>
      </c>
      <c r="B17" s="2380"/>
      <c r="C17" s="2380"/>
      <c r="D17" s="2380"/>
      <c r="E17" s="2381"/>
      <c r="F17" s="636"/>
      <c r="G17" s="1759"/>
      <c r="H17" s="1760"/>
      <c r="I17" s="1760"/>
      <c r="J17" s="1761"/>
      <c r="K17" s="1762"/>
    </row>
    <row r="18" spans="1:15" x14ac:dyDescent="0.2">
      <c r="A18" s="2370" t="s">
        <v>365</v>
      </c>
      <c r="B18" s="2371"/>
      <c r="C18" s="2371"/>
      <c r="D18" s="2371"/>
      <c r="E18" s="2372"/>
      <c r="F18" s="635" t="s">
        <v>926</v>
      </c>
      <c r="G18" s="1753"/>
      <c r="H18" s="1753"/>
      <c r="I18" s="1753"/>
      <c r="J18" s="1745"/>
      <c r="K18" s="1763"/>
    </row>
    <row r="19" spans="1:15" ht="21.75" customHeight="1" x14ac:dyDescent="0.2">
      <c r="A19" s="2393" t="s">
        <v>1786</v>
      </c>
      <c r="B19" s="2393"/>
      <c r="C19" s="2393"/>
      <c r="D19" s="2393"/>
      <c r="E19" s="2394"/>
      <c r="F19" s="635" t="s">
        <v>927</v>
      </c>
      <c r="G19" s="1753"/>
      <c r="H19" s="1753"/>
      <c r="I19" s="1753"/>
      <c r="J19" s="1745"/>
      <c r="K19" s="1763"/>
    </row>
    <row r="20" spans="1:15" x14ac:dyDescent="0.2">
      <c r="A20" s="2370" t="s">
        <v>1791</v>
      </c>
      <c r="B20" s="2371"/>
      <c r="C20" s="2371"/>
      <c r="D20" s="2371"/>
      <c r="E20" s="2372"/>
      <c r="F20" s="635" t="s">
        <v>928</v>
      </c>
      <c r="G20" s="1753"/>
      <c r="H20" s="1753"/>
      <c r="I20" s="1753"/>
      <c r="J20" s="1745"/>
      <c r="K20" s="1763"/>
    </row>
    <row r="21" spans="1:15" ht="13.5" thickBot="1" x14ac:dyDescent="0.25">
      <c r="A21" s="2376" t="s">
        <v>633</v>
      </c>
      <c r="B21" s="2376"/>
      <c r="C21" s="2376"/>
      <c r="D21" s="2376"/>
      <c r="E21" s="2376"/>
      <c r="F21" s="1434"/>
      <c r="G21" s="1760"/>
      <c r="H21" s="1764"/>
      <c r="I21" s="1764"/>
      <c r="J21" s="1765">
        <f>SUM(J18:J20)</f>
        <v>0</v>
      </c>
      <c r="K21" s="1761"/>
    </row>
    <row r="22" spans="1:15" ht="13.5" thickTop="1" x14ac:dyDescent="0.2">
      <c r="A22" s="2356" t="s">
        <v>1792</v>
      </c>
      <c r="B22" s="2356"/>
      <c r="C22" s="2356"/>
      <c r="D22" s="2356"/>
      <c r="E22" s="2386"/>
      <c r="F22" s="635" t="s">
        <v>857</v>
      </c>
      <c r="G22" s="1753"/>
      <c r="H22" s="1744"/>
      <c r="I22" s="1744"/>
      <c r="J22" s="1766"/>
      <c r="K22" s="1745"/>
    </row>
    <row r="23" spans="1:15" ht="13.5" thickBot="1" x14ac:dyDescent="0.25">
      <c r="A23" s="2377" t="s">
        <v>900</v>
      </c>
      <c r="B23" s="2376"/>
      <c r="C23" s="2376"/>
      <c r="D23" s="2376"/>
      <c r="E23" s="2376"/>
      <c r="F23" s="1436"/>
      <c r="G23" s="1755">
        <f>SUM(G14:G16,G21,G22)</f>
        <v>0</v>
      </c>
      <c r="H23" s="1755">
        <f>SUM(H14:H16,H21,H22)</f>
        <v>18902</v>
      </c>
      <c r="I23" s="1755">
        <f>SUM(I14:I16,I21,I22)</f>
        <v>0</v>
      </c>
      <c r="J23" s="1755">
        <f>SUM(J14:J16,J21,J22)</f>
        <v>50672</v>
      </c>
      <c r="K23" s="1755">
        <f>SUM(K14:K16,K21,K22)</f>
        <v>3622</v>
      </c>
      <c r="M23" s="1846"/>
      <c r="N23" s="1846"/>
      <c r="O23" s="1846"/>
    </row>
    <row r="24" spans="1:15" ht="14.25" thickTop="1" thickBot="1" x14ac:dyDescent="0.25">
      <c r="A24" s="2378" t="str">
        <f>"Ending Cash Basis Fund Balance as of June 30, "&amp;'AFR20'!E2</f>
        <v>Ending Cash Basis Fund Balance as of June 30, 2020</v>
      </c>
      <c r="B24" s="2379"/>
      <c r="C24" s="2379"/>
      <c r="D24" s="2379"/>
      <c r="E24" s="2379"/>
      <c r="F24" s="1437"/>
      <c r="G24" s="1767">
        <f>SUM(G3,G12)-G23</f>
        <v>0</v>
      </c>
      <c r="H24" s="1767">
        <f>SUM(H3,H12)-H23</f>
        <v>0</v>
      </c>
      <c r="I24" s="1767">
        <f>SUM(I3,I12)-I23</f>
        <v>0</v>
      </c>
      <c r="J24" s="1767">
        <f>SUM(J3,J12)-J23</f>
        <v>169672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169672</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88"/>
      <c r="I31" s="2389"/>
      <c r="J31" s="2389"/>
      <c r="K31" s="2389"/>
    </row>
    <row r="32" spans="1:15" x14ac:dyDescent="0.2">
      <c r="A32" s="649"/>
      <c r="B32" s="232"/>
      <c r="C32" s="232"/>
      <c r="D32" s="232"/>
      <c r="E32" s="645"/>
      <c r="F32" s="651" t="s">
        <v>537</v>
      </c>
      <c r="G32" s="618"/>
      <c r="H32" s="2390"/>
      <c r="I32" s="2389"/>
      <c r="J32" s="2389"/>
      <c r="K32" s="2389"/>
    </row>
    <row r="33" spans="1:11" ht="1.5" customHeight="1" x14ac:dyDescent="0.2">
      <c r="A33" s="652" t="s">
        <v>1159</v>
      </c>
      <c r="B33" s="341"/>
      <c r="C33" s="341"/>
      <c r="D33" s="341"/>
      <c r="E33" s="341"/>
      <c r="F33" s="341"/>
      <c r="G33" s="653"/>
      <c r="H33" s="2390"/>
      <c r="I33" s="2389"/>
      <c r="J33" s="2389"/>
      <c r="K33" s="238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6" t="s">
        <v>538</v>
      </c>
      <c r="B41" s="2357"/>
      <c r="C41" s="2357"/>
      <c r="D41" s="2357"/>
      <c r="E41" s="2357"/>
      <c r="F41" s="235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orizontalCentered="1" headings="1"/>
  <pageMargins left="0.5" right="0.5" top="1.35" bottom="0.8" header="1" footer="0.5"/>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A4" colorId="8" zoomScale="110" zoomScaleNormal="110" workbookViewId="0">
      <selection activeCell="A22" sqref="A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7" t="s">
        <v>1875</v>
      </c>
      <c r="B1" s="2398"/>
      <c r="C1" s="2399"/>
      <c r="D1" s="666"/>
      <c r="E1" s="667"/>
      <c r="F1" s="667"/>
      <c r="G1" s="668"/>
      <c r="H1" s="669"/>
      <c r="I1" s="670"/>
      <c r="J1" s="2395"/>
      <c r="K1" s="2396"/>
      <c r="L1" s="239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78982</v>
      </c>
      <c r="D6" s="1745"/>
      <c r="E6" s="1745"/>
      <c r="F6" s="1765">
        <f>(C6+D6)-E6</f>
        <v>78982</v>
      </c>
      <c r="G6" s="676">
        <v>50</v>
      </c>
      <c r="H6" s="619"/>
      <c r="I6" s="619"/>
      <c r="J6" s="619"/>
      <c r="K6" s="1442">
        <f>(H6+I6)-J6</f>
        <v>0</v>
      </c>
      <c r="L6" s="1442">
        <f>F6-K6</f>
        <v>78982</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5395610</v>
      </c>
      <c r="D8" s="1771"/>
      <c r="E8" s="1771"/>
      <c r="F8" s="1765">
        <f>(C8+D8)-E8</f>
        <v>5395610</v>
      </c>
      <c r="G8" s="681">
        <v>50</v>
      </c>
      <c r="H8" s="619">
        <v>2409347</v>
      </c>
      <c r="I8" s="619">
        <v>108104</v>
      </c>
      <c r="J8" s="619"/>
      <c r="K8" s="1442">
        <f>(H8+I8)-J8</f>
        <v>2517451</v>
      </c>
      <c r="L8" s="1442">
        <f>F8-K8</f>
        <v>2878159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156037</v>
      </c>
      <c r="D10" s="1772">
        <v>21161</v>
      </c>
      <c r="E10" s="1772"/>
      <c r="F10" s="1773">
        <f>(C10+D10)-E10</f>
        <v>177198</v>
      </c>
      <c r="G10" s="681">
        <v>20</v>
      </c>
      <c r="H10" s="683">
        <v>33140</v>
      </c>
      <c r="I10" s="683">
        <v>7623</v>
      </c>
      <c r="J10" s="683"/>
      <c r="K10" s="1442">
        <f>(H10+I10)-J10</f>
        <v>40763</v>
      </c>
      <c r="L10" s="1442">
        <f>F10-K10</f>
        <v>136435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457246</v>
      </c>
      <c r="D12" s="1771">
        <f>7631+45000</f>
        <v>52631</v>
      </c>
      <c r="E12" s="1771"/>
      <c r="F12" s="1765">
        <f>(C12+D12)-E12</f>
        <v>509877</v>
      </c>
      <c r="G12" s="681">
        <v>10</v>
      </c>
      <c r="H12" s="619">
        <v>335950</v>
      </c>
      <c r="I12" s="619">
        <f>18081+4500</f>
        <v>22581</v>
      </c>
      <c r="J12" s="619"/>
      <c r="K12" s="1442">
        <f>(H12+I12)-J12</f>
        <v>358531</v>
      </c>
      <c r="L12" s="1442">
        <f>F12-K12</f>
        <v>151346</v>
      </c>
    </row>
    <row r="13" spans="1:14" ht="14.25" thickTop="1" thickBot="1" x14ac:dyDescent="0.25">
      <c r="A13" s="684" t="s">
        <v>1112</v>
      </c>
      <c r="B13" s="679">
        <v>252</v>
      </c>
      <c r="C13" s="1771">
        <v>201622</v>
      </c>
      <c r="D13" s="1771">
        <v>64262</v>
      </c>
      <c r="E13" s="1771"/>
      <c r="F13" s="1765">
        <f>(C13+D13)-E13</f>
        <v>265884</v>
      </c>
      <c r="G13" s="681">
        <v>5</v>
      </c>
      <c r="H13" s="619">
        <v>137539</v>
      </c>
      <c r="I13" s="619">
        <v>26474</v>
      </c>
      <c r="J13" s="619"/>
      <c r="K13" s="1442">
        <f>(H13+I13)-J13</f>
        <v>164013</v>
      </c>
      <c r="L13" s="1442">
        <f>F13-K13</f>
        <v>101871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2200</v>
      </c>
      <c r="D15" s="1771"/>
      <c r="E15" s="1771"/>
      <c r="F15" s="1765">
        <f>(C15+D15)-E15</f>
        <v>2200</v>
      </c>
      <c r="G15" s="685" t="s">
        <v>857</v>
      </c>
      <c r="H15" s="632"/>
      <c r="I15" s="632"/>
      <c r="J15" s="632"/>
      <c r="K15" s="632"/>
      <c r="L15" s="1442">
        <f>F15-K15</f>
        <v>2200</v>
      </c>
    </row>
    <row r="16" spans="1:14" ht="15" customHeight="1" thickTop="1" thickBot="1" x14ac:dyDescent="0.25">
      <c r="A16" s="1438" t="s">
        <v>638</v>
      </c>
      <c r="B16" s="1439">
        <v>200</v>
      </c>
      <c r="C16" s="1765">
        <f>SUM(C3,C5:C6,C8:C10,C12:C15)</f>
        <v>6291697</v>
      </c>
      <c r="D16" s="1765">
        <f>SUM(D3,D5:D6,D8:D10,D12:D15)</f>
        <v>138054</v>
      </c>
      <c r="E16" s="1765">
        <f>SUM(E3,E5:E6,E8:E10,E12:E15)</f>
        <v>0</v>
      </c>
      <c r="F16" s="1765">
        <f>SUM(F3,F5:F6,F8:F10,F12:F15)</f>
        <v>6429751</v>
      </c>
      <c r="G16" s="681"/>
      <c r="H16" s="1435">
        <f>SUM(H3,H6,H8:H10,H12:H14,)</f>
        <v>2915976</v>
      </c>
      <c r="I16" s="1435">
        <f>SUM(I3,I6,I8:I10,I12:I14,)</f>
        <v>164782</v>
      </c>
      <c r="J16" s="1435">
        <f>SUM(J3,J6,J8:J10,J12:J14,)</f>
        <v>0</v>
      </c>
      <c r="K16" s="1435">
        <f>(H16+I16)-J16</f>
        <v>3080758</v>
      </c>
      <c r="L16" s="1435">
        <f>F16-K16</f>
        <v>3348993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164782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orizontalCentered="1" headings="1"/>
  <pageMargins left="0.5" right="0.5" top="1.25" bottom="0.75" header="1" footer="0.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6"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3" t="str">
        <f>"ESTIMATED OPERATING EXPENSE PER PUPIL (OEPP)/PER CAPITA TUITION CHARGE (PCTC) COMPUTATIONS ("&amp;'AFR20'!E2-1&amp;" - "&amp;'AFR20'!E2&amp;")"</f>
        <v>ESTIMATED OPERATING EXPENSE PER PUPIL (OEPP)/PER CAPITA TUITION CHARGE (PCTC) COMPUTATIONS (2019 - 2020)</v>
      </c>
      <c r="B1" s="2404"/>
      <c r="C1" s="2404"/>
      <c r="D1" s="2404"/>
      <c r="E1" s="2404"/>
      <c r="F1" s="2405"/>
      <c r="G1" s="691"/>
      <c r="I1" s="701"/>
    </row>
    <row r="2" spans="1:9" ht="15" customHeight="1" thickBot="1" x14ac:dyDescent="0.25">
      <c r="A2" s="2406" t="s">
        <v>474</v>
      </c>
      <c r="B2" s="2407"/>
      <c r="C2" s="2407"/>
      <c r="D2" s="2407"/>
      <c r="E2" s="2407"/>
      <c r="F2" s="240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09"/>
      <c r="B5" s="2410"/>
      <c r="C5" s="2410"/>
      <c r="D5" s="2410"/>
      <c r="E5" s="2410"/>
      <c r="F5" s="2410"/>
    </row>
    <row r="6" spans="1:9" ht="13.5" customHeight="1" thickBot="1" x14ac:dyDescent="0.25">
      <c r="A6" s="2400" t="s">
        <v>1095</v>
      </c>
      <c r="B6" s="2401"/>
      <c r="C6" s="2401"/>
      <c r="D6" s="2401"/>
      <c r="E6" s="2401"/>
      <c r="F6" s="240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2833249</v>
      </c>
      <c r="G8" s="701"/>
    </row>
    <row r="9" spans="1:9" x14ac:dyDescent="0.2">
      <c r="A9" s="705" t="s">
        <v>457</v>
      </c>
      <c r="B9" s="706" t="s">
        <v>1848</v>
      </c>
      <c r="C9" s="707"/>
      <c r="D9" s="705" t="s">
        <v>498</v>
      </c>
      <c r="E9" s="704"/>
      <c r="F9" s="1775">
        <f>'Expenditures 15-22'!K151</f>
        <v>272428</v>
      </c>
      <c r="G9" s="708"/>
    </row>
    <row r="10" spans="1:9" x14ac:dyDescent="0.2">
      <c r="A10" s="705" t="s">
        <v>496</v>
      </c>
      <c r="B10" s="706" t="s">
        <v>1849</v>
      </c>
      <c r="C10" s="707"/>
      <c r="D10" s="705" t="s">
        <v>498</v>
      </c>
      <c r="E10" s="704"/>
      <c r="F10" s="1775">
        <f>'Expenditures 15-22'!K174</f>
        <v>251601</v>
      </c>
      <c r="G10" s="708"/>
    </row>
    <row r="11" spans="1:9" x14ac:dyDescent="0.2">
      <c r="A11" s="705" t="s">
        <v>458</v>
      </c>
      <c r="B11" s="706" t="s">
        <v>1850</v>
      </c>
      <c r="C11" s="707"/>
      <c r="D11" s="705" t="s">
        <v>498</v>
      </c>
      <c r="E11" s="704"/>
      <c r="F11" s="1775">
        <f>'Expenditures 15-22'!K210</f>
        <v>204259</v>
      </c>
      <c r="G11" s="708"/>
    </row>
    <row r="12" spans="1:9" x14ac:dyDescent="0.2">
      <c r="A12" s="705" t="s">
        <v>459</v>
      </c>
      <c r="B12" s="706" t="s">
        <v>1851</v>
      </c>
      <c r="C12" s="707"/>
      <c r="D12" s="705" t="s">
        <v>498</v>
      </c>
      <c r="E12" s="704"/>
      <c r="F12" s="1775">
        <f>'Expenditures 15-22'!K295</f>
        <v>104136</v>
      </c>
      <c r="G12" s="708"/>
    </row>
    <row r="13" spans="1:9" x14ac:dyDescent="0.2">
      <c r="A13" s="705" t="s">
        <v>106</v>
      </c>
      <c r="B13" s="706" t="s">
        <v>1852</v>
      </c>
      <c r="C13" s="707"/>
      <c r="D13" s="705" t="s">
        <v>498</v>
      </c>
      <c r="E13" s="704"/>
      <c r="F13" s="1775">
        <f>'Expenditures 15-22'!K342</f>
        <v>158244</v>
      </c>
      <c r="G13" s="709"/>
    </row>
    <row r="14" spans="1:9" ht="12" customHeight="1" thickBot="1" x14ac:dyDescent="0.25">
      <c r="A14" s="1443"/>
      <c r="B14" s="1444"/>
      <c r="C14" s="1445"/>
      <c r="D14" s="1446" t="s">
        <v>498</v>
      </c>
      <c r="E14" s="1447" t="s">
        <v>952</v>
      </c>
      <c r="F14" s="1776">
        <f>SUM(F8:F13)</f>
        <v>3823917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76432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173065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230942</v>
      </c>
      <c r="G53" s="701"/>
    </row>
    <row r="54" spans="1:7" x14ac:dyDescent="0.2">
      <c r="A54" s="705" t="s">
        <v>456</v>
      </c>
      <c r="B54" s="705" t="s">
        <v>1459</v>
      </c>
      <c r="C54" s="724" t="s">
        <v>975</v>
      </c>
      <c r="D54" s="720" t="s">
        <v>1086</v>
      </c>
      <c r="E54" s="704"/>
      <c r="F54" s="1782">
        <f>'Expenditures 15-22'!G114</f>
        <v>40164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5334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26958</v>
      </c>
      <c r="G64" s="701"/>
    </row>
    <row r="65" spans="1:9" x14ac:dyDescent="0.2">
      <c r="A65" s="705" t="s">
        <v>458</v>
      </c>
      <c r="B65" s="705" t="s">
        <v>1861</v>
      </c>
      <c r="C65" s="721" t="s">
        <v>975</v>
      </c>
      <c r="D65" s="720" t="s">
        <v>1086</v>
      </c>
      <c r="E65" s="704"/>
      <c r="F65" s="1782">
        <f>'Expenditures 15-22'!G210</f>
        <v>45000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3250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791145</v>
      </c>
      <c r="G77" s="701"/>
    </row>
    <row r="78" spans="1:9" s="728" customFormat="1" ht="12" customHeight="1" thickTop="1" thickBot="1" x14ac:dyDescent="0.25">
      <c r="A78" s="1450"/>
      <c r="B78" s="1448"/>
      <c r="C78" s="1445"/>
      <c r="D78" s="1449" t="s">
        <v>2012</v>
      </c>
      <c r="E78" s="1447"/>
      <c r="F78" s="1788">
        <f>(F14-F77)</f>
        <v>3032772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252.7</v>
      </c>
      <c r="G79" s="733"/>
      <c r="H79" s="705"/>
      <c r="I79" s="705"/>
    </row>
    <row r="80" spans="1:9" s="728" customFormat="1" ht="12" customHeight="1" thickBot="1" x14ac:dyDescent="0.25">
      <c r="A80" s="1452"/>
      <c r="B80" s="1448"/>
      <c r="C80" s="1445"/>
      <c r="D80" s="1449" t="s">
        <v>2013</v>
      </c>
      <c r="E80" s="1447" t="s">
        <v>952</v>
      </c>
      <c r="F80" s="1790">
        <f>IF(F79&gt;0,F78/F79," Complete Line 79")</f>
        <v>12001.472101305897</v>
      </c>
      <c r="G80" s="705"/>
    </row>
    <row r="81" spans="1:7" s="728" customFormat="1" ht="8.25" customHeight="1" thickTop="1" x14ac:dyDescent="0.2">
      <c r="A81" s="734"/>
      <c r="B81" s="705"/>
      <c r="C81" s="707"/>
      <c r="D81" s="735"/>
      <c r="E81" s="704"/>
      <c r="F81" s="1791"/>
      <c r="G81" s="705"/>
    </row>
    <row r="82" spans="1:7" s="728" customFormat="1" ht="12" thickBot="1" x14ac:dyDescent="0.25">
      <c r="A82" s="2400" t="s">
        <v>1096</v>
      </c>
      <c r="B82" s="2401"/>
      <c r="C82" s="2401"/>
      <c r="D82" s="2401"/>
      <c r="E82" s="2401"/>
      <c r="F82" s="240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34113</v>
      </c>
      <c r="G95" s="745"/>
    </row>
    <row r="96" spans="1:7" x14ac:dyDescent="0.2">
      <c r="A96" s="741" t="s">
        <v>139</v>
      </c>
      <c r="B96" s="741" t="s">
        <v>174</v>
      </c>
      <c r="C96" s="743">
        <v>1700</v>
      </c>
      <c r="D96" s="751" t="str">
        <f>'Revenues 9-14'!A82</f>
        <v>Total District/School Activity Income</v>
      </c>
      <c r="E96" s="739"/>
      <c r="F96" s="1793">
        <f>SUM('Revenues 9-14'!C82,'Revenues 9-14'!D82)</f>
        <v>21380</v>
      </c>
      <c r="G96" s="745"/>
    </row>
    <row r="97" spans="1:7" x14ac:dyDescent="0.2">
      <c r="A97" s="741" t="s">
        <v>456</v>
      </c>
      <c r="B97" s="741" t="s">
        <v>175</v>
      </c>
      <c r="C97" s="743">
        <f>'Revenues 9-14'!B84</f>
        <v>1811</v>
      </c>
      <c r="D97" s="744" t="str">
        <f>'Revenues 9-14'!A84</f>
        <v>Rentals - Regular Textbooks</v>
      </c>
      <c r="E97" s="739"/>
      <c r="F97" s="1793">
        <f>'Revenues 9-14'!C84</f>
        <v>12204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137149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15814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634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2497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82824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10435</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39205</v>
      </c>
      <c r="G125" s="763"/>
    </row>
    <row r="126" spans="1:7" x14ac:dyDescent="0.2">
      <c r="A126" s="760" t="s">
        <v>659</v>
      </c>
      <c r="B126" s="760" t="s">
        <v>1930</v>
      </c>
      <c r="C126" s="765">
        <v>4200</v>
      </c>
      <c r="D126" s="762" t="str">
        <f>'Revenues 9-14'!A198</f>
        <v>Total Food Service</v>
      </c>
      <c r="E126" s="739"/>
      <c r="F126" s="1793">
        <f>SUM('Revenues 9-14'!C198,'Revenues 9-14'!G198)</f>
        <v>45185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256431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55608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9879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773358</v>
      </c>
    </row>
    <row r="176" spans="1:7" ht="12" customHeight="1" x14ac:dyDescent="0.2">
      <c r="A176" s="1443"/>
      <c r="B176" s="1453"/>
      <c r="C176" s="1454"/>
      <c r="D176" s="1455" t="s">
        <v>2014</v>
      </c>
      <c r="E176" s="1456"/>
      <c r="F176" s="1793">
        <f>'PCTC-OEPP 27-28'!F78-F175</f>
        <v>2259414</v>
      </c>
    </row>
    <row r="177" spans="1:9" ht="12" customHeight="1" x14ac:dyDescent="0.2">
      <c r="A177" s="1443"/>
      <c r="B177" s="1453"/>
      <c r="C177" s="1454"/>
      <c r="D177" s="1455" t="s">
        <v>1794</v>
      </c>
      <c r="E177" s="1456"/>
      <c r="F177" s="1793">
        <f>'Cap Outlay Deprec 26'!I18</f>
        <v>164782</v>
      </c>
    </row>
    <row r="178" spans="1:9" ht="12" customHeight="1" x14ac:dyDescent="0.2">
      <c r="A178" s="1443"/>
      <c r="B178" s="1453"/>
      <c r="C178" s="1454"/>
      <c r="D178" s="1455" t="s">
        <v>2015</v>
      </c>
      <c r="E178" s="1456"/>
      <c r="F178" s="1793">
        <f>F176+F177</f>
        <v>2424196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252.7</v>
      </c>
      <c r="G179" s="763"/>
      <c r="I179" s="701"/>
    </row>
    <row r="180" spans="1:9" ht="12" customHeight="1" thickBot="1" x14ac:dyDescent="0.25">
      <c r="A180" s="1443"/>
      <c r="B180" s="1457"/>
      <c r="C180" s="1454"/>
      <c r="D180" s="1455" t="s">
        <v>2017</v>
      </c>
      <c r="E180" s="1456" t="s">
        <v>1528</v>
      </c>
      <c r="F180" s="1798">
        <f>F178/F179</f>
        <v>9593.1776810447172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orizontalCentered="1" headings="1"/>
  <pageMargins left="0.75" right="0.25" top="0.75" bottom="0.75" header="0.5" footer="0.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49</oddFooter>
    <evenFooter>&amp;CReference should be made to auditor's report regarding this information.
50</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14" zoomScaleNormal="100" workbookViewId="0">
      <selection activeCell="A36" sqref="A36"/>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414" t="s">
        <v>1795</v>
      </c>
      <c r="B4" s="2415"/>
      <c r="C4" s="2415"/>
      <c r="D4" s="2415"/>
      <c r="E4" s="2415"/>
      <c r="F4" s="2416"/>
    </row>
    <row r="5" spans="1:6" x14ac:dyDescent="0.25">
      <c r="A5" s="2417"/>
      <c r="B5" s="2418"/>
      <c r="C5" s="2418"/>
      <c r="D5" s="2418"/>
      <c r="E5" s="2418"/>
      <c r="F5" s="2419"/>
    </row>
    <row r="6" spans="1:6" ht="18.75" x14ac:dyDescent="0.25">
      <c r="A6" s="1867" t="s">
        <v>1796</v>
      </c>
      <c r="B6" s="1868"/>
      <c r="C6" s="1869"/>
      <c r="D6" s="1869"/>
      <c r="E6" s="1869"/>
      <c r="F6" s="1870"/>
    </row>
    <row r="7" spans="1:6" ht="47.25" customHeight="1" x14ac:dyDescent="0.25">
      <c r="A7" s="2420" t="s">
        <v>1985</v>
      </c>
      <c r="B7" s="2421"/>
      <c r="C7" s="2421"/>
      <c r="D7" s="2421"/>
      <c r="E7" s="2421"/>
      <c r="F7" s="2422"/>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423" t="s">
        <v>1981</v>
      </c>
      <c r="B10" s="2424"/>
      <c r="C10" s="2424"/>
      <c r="D10" s="2424"/>
      <c r="E10" s="2424"/>
      <c r="F10" s="2425"/>
    </row>
    <row r="11" spans="1:6" ht="33" customHeight="1" x14ac:dyDescent="0.25">
      <c r="A11" s="2420" t="s">
        <v>1986</v>
      </c>
      <c r="B11" s="2421"/>
      <c r="C11" s="2421"/>
      <c r="D11" s="2421"/>
      <c r="E11" s="2421"/>
      <c r="F11" s="2422"/>
    </row>
    <row r="12" spans="1:6" ht="15" customHeight="1" x14ac:dyDescent="0.25">
      <c r="A12" s="1873" t="s">
        <v>1982</v>
      </c>
      <c r="B12" s="1874"/>
      <c r="C12" s="1875"/>
      <c r="D12" s="1875"/>
      <c r="E12" s="1875"/>
      <c r="F12" s="1876"/>
    </row>
    <row r="13" spans="1:6" ht="17.25" customHeight="1" x14ac:dyDescent="0.25">
      <c r="A13" s="2420" t="s">
        <v>1983</v>
      </c>
      <c r="B13" s="2421"/>
      <c r="C13" s="2421"/>
      <c r="D13" s="2421"/>
      <c r="E13" s="2421"/>
      <c r="F13" s="2422"/>
    </row>
    <row r="14" spans="1:6" ht="15" customHeight="1" x14ac:dyDescent="0.25">
      <c r="A14" s="1873" t="s">
        <v>1800</v>
      </c>
      <c r="B14" s="1874"/>
      <c r="C14" s="1875"/>
      <c r="D14" s="1875"/>
      <c r="E14" s="1875"/>
      <c r="F14" s="1876"/>
    </row>
    <row r="15" spans="1:6" ht="32.25" customHeight="1" x14ac:dyDescent="0.25">
      <c r="A15" s="241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2"/>
      <c r="C15" s="2412"/>
      <c r="D15" s="2412"/>
      <c r="E15" s="2412"/>
      <c r="F15" s="241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2075</v>
      </c>
      <c r="B18" s="1907">
        <v>102560300</v>
      </c>
      <c r="C18" s="2035" t="s">
        <v>2078</v>
      </c>
      <c r="D18" s="1885">
        <v>94900</v>
      </c>
      <c r="E18" s="1905" t="str">
        <f t="shared" ref="E18:E25" si="0">IF(D18&lt;25000,D18,"25,000")</f>
        <v>25,000</v>
      </c>
      <c r="F18" s="1905">
        <f t="shared" ref="F18:F25" si="1">IF(D18&gt;=25000,(D18-E18),"0")</f>
        <v>69900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8"/>
      <c r="C23" s="1888"/>
      <c r="D23" s="1885"/>
      <c r="E23" s="1905">
        <f t="shared" si="0"/>
        <v>0</v>
      </c>
      <c r="F23" s="1905" t="str">
        <f t="shared" si="1"/>
        <v>0</v>
      </c>
    </row>
    <row r="24" spans="1:7" x14ac:dyDescent="0.25">
      <c r="A24" s="1887"/>
      <c r="B24" s="1908"/>
      <c r="C24" s="1888"/>
      <c r="D24" s="1885"/>
      <c r="E24" s="1905">
        <f t="shared" si="0"/>
        <v>0</v>
      </c>
      <c r="F24" s="1905" t="str">
        <f t="shared" si="1"/>
        <v>0</v>
      </c>
    </row>
    <row r="25" spans="1:7" x14ac:dyDescent="0.25">
      <c r="A25" s="1887"/>
      <c r="B25" s="1908"/>
      <c r="C25" s="1888"/>
      <c r="D25" s="1885"/>
      <c r="E25" s="1905">
        <f t="shared" si="0"/>
        <v>0</v>
      </c>
      <c r="F25" s="1905" t="str">
        <f t="shared" si="1"/>
        <v>0</v>
      </c>
    </row>
    <row r="26" spans="1:7" x14ac:dyDescent="0.25">
      <c r="A26" s="1887"/>
      <c r="B26" s="1908"/>
      <c r="C26" s="1888"/>
      <c r="D26" s="1885"/>
      <c r="E26" s="1905">
        <f t="shared" ref="E26:E33" si="2">IF(D26&lt;25000,D26,"25,000")</f>
        <v>0</v>
      </c>
      <c r="F26" s="1905" t="str">
        <f t="shared" ref="F26:F33" si="3">IF(D26&gt;=25000,(D26-E26),"0")</f>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94900</v>
      </c>
      <c r="E34" s="1892">
        <v>25000</v>
      </c>
      <c r="F34" s="1893">
        <f>SUM(F18:F33)</f>
        <v>69900</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5" header="1" footer="0.2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3" colorId="8" zoomScale="110" zoomScaleNormal="110" workbookViewId="0">
      <selection activeCell="D13" sqref="D1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6" t="s">
        <v>1660</v>
      </c>
      <c r="B5" s="2427"/>
      <c r="C5" s="2427"/>
      <c r="D5" s="2427"/>
      <c r="E5" s="2427"/>
      <c r="F5" s="2427"/>
      <c r="G5" s="242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89749</v>
      </c>
      <c r="F10" s="805"/>
      <c r="G10" s="806"/>
      <c r="H10" s="157"/>
      <c r="I10" s="157"/>
    </row>
    <row r="11" spans="1:13" s="542" customFormat="1" ht="22.5" customHeight="1" x14ac:dyDescent="0.2">
      <c r="A11" s="243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2"/>
      <c r="C11" s="2432"/>
      <c r="D11" s="2433"/>
      <c r="E11" s="1801">
        <v>40331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2053138</v>
      </c>
      <c r="F19" s="1802"/>
      <c r="G19" s="1804">
        <f>'Expenditures 15-22'!K33-SUM('Expenditures 15-22'!G33,'Expenditures 15-22'!I33)+'Expenditures 15-22'!D229</f>
        <v>2053138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58898</v>
      </c>
      <c r="F21" s="1805"/>
      <c r="G21" s="1808">
        <f>'Expenditures 15-22'!K42-SUM('Expenditures 15-22'!G42,'Expenditures 15-22'!I42)+'Expenditures 15-22'!K120-SUM('Expenditures 15-22'!G120,'Expenditures 15-22'!I120)+'Expenditures 15-22'!K180-SUM('Expenditures 15-22'!G180,'Expenditures 15-22'!I180)+'Expenditures 15-22'!D238</f>
        <v>58898</v>
      </c>
      <c r="H21" s="817"/>
      <c r="I21" s="157"/>
    </row>
    <row r="22" spans="1:9" s="542" customFormat="1" ht="12" customHeight="1" x14ac:dyDescent="0.2">
      <c r="A22" s="824" t="s">
        <v>560</v>
      </c>
      <c r="B22" s="825"/>
      <c r="C22" s="823">
        <v>2200</v>
      </c>
      <c r="D22" s="1805"/>
      <c r="E22" s="1807">
        <f>'Expenditures 15-22'!K47-SUM('Expenditures 15-22'!G47,'Expenditures 15-22'!I47)+'Expenditures 15-22'!D243</f>
        <v>101670</v>
      </c>
      <c r="F22" s="1805"/>
      <c r="G22" s="1808">
        <f>'Expenditures 15-22'!K47-SUM('Expenditures 15-22'!G47,'Expenditures 15-22'!I47)+'Expenditures 15-22'!D243</f>
        <v>101670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262047</v>
      </c>
      <c r="F23" s="1805"/>
      <c r="G23" s="1807">
        <f>'Expenditures 15-22'!K53-SUM('Expenditures 15-22'!G53,'Expenditures 15-22'!I53)+'Expenditures 15-22'!D257+'Expenditures 15-22'!K330-SUM('Expenditures 15-22'!G330,'Expenditures 15-22'!I330)</f>
        <v>262047</v>
      </c>
      <c r="H23" s="817"/>
      <c r="I23" s="157"/>
    </row>
    <row r="24" spans="1:9" s="542" customFormat="1" ht="12" customHeight="1" x14ac:dyDescent="0.2">
      <c r="A24" s="824" t="s">
        <v>562</v>
      </c>
      <c r="B24" s="825"/>
      <c r="C24" s="823">
        <v>2400</v>
      </c>
      <c r="D24" s="1805"/>
      <c r="E24" s="1807">
        <f>'Expenditures 15-22'!K57-SUM('Expenditures 15-22'!G57,'Expenditures 15-22'!I57)+'Expenditures 15-22'!D261</f>
        <v>142143</v>
      </c>
      <c r="F24" s="1805"/>
      <c r="G24" s="1808">
        <f>'Expenditures 15-22'!K57-SUM('Expenditures 15-22'!G57,'Expenditures 15-22'!I57)+'Expenditures 15-22'!D261</f>
        <v>142143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42589</v>
      </c>
      <c r="E27" s="1807">
        <f>E8</f>
        <v>0</v>
      </c>
      <c r="F27" s="1807">
        <f>'Expenditures 15-22'!K60-SUM('Expenditures 15-22'!G60,'Expenditures 15-22'!I60)+'Expenditures 15-22'!D264-E8</f>
        <v>42589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290774</v>
      </c>
      <c r="F28" s="1809">
        <f>'Expenditures 15-22'!K61-SUM('Expenditures 15-22'!G61,'Expenditures 15-22'!I61)+'Expenditures 15-22'!K124-SUM('Expenditures 15-22'!G124,'Expenditures 15-22'!I124)+'Expenditures 15-22'!D266-E9</f>
        <v>290774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150006</v>
      </c>
      <c r="F29" s="1805"/>
      <c r="G29" s="1808">
        <f>'Expenditures 15-22'!K62-SUM('Expenditures 15-22'!G62,'Expenditures 15-22'!I62)+'Expenditures 15-22'!K125-SUM('Expenditures 15-22'!G125,'Expenditures 15-22'!I125)+'Expenditures 15-22'!K182-SUM('Expenditures 15-22'!G182,'Expenditures 15-22'!I182)+'Expenditures 15-22'!D267</f>
        <v>150006</v>
      </c>
      <c r="H29" s="815"/>
    </row>
    <row r="30" spans="1:9" ht="12" customHeight="1" x14ac:dyDescent="0.2">
      <c r="A30" s="824" t="s">
        <v>100</v>
      </c>
      <c r="B30" s="827"/>
      <c r="C30" s="823">
        <v>2560</v>
      </c>
      <c r="D30" s="1805"/>
      <c r="E30" s="1807">
        <f>'Expenditures 15-22'!K63-SUM('Expenditures 15-22'!G63,'Expenditures 15-22'!I63)+'Expenditures 15-22'!D268-E10</f>
        <v>31568</v>
      </c>
      <c r="F30" s="1805"/>
      <c r="G30" s="1807">
        <f>'Expenditures 15-22'!K63-SUM('Expenditures 15-22'!G63,'Expenditures 15-22'!I63)+'Expenditures 15-22'!D268-E10</f>
        <v>31568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-69900</v>
      </c>
      <c r="F40" s="1805"/>
      <c r="G40" s="1809">
        <f>-'Contracts Paid in CY 29'!F34</f>
        <v>-69900</v>
      </c>
    </row>
    <row r="41" spans="1:7" ht="12" customHeight="1" x14ac:dyDescent="0.2">
      <c r="A41" s="828" t="s">
        <v>155</v>
      </c>
      <c r="B41" s="829"/>
      <c r="C41" s="830"/>
      <c r="D41" s="1809">
        <f>SUM(D19:D39)</f>
        <v>42589</v>
      </c>
      <c r="E41" s="1809">
        <f>SUM(E19:E40)</f>
        <v>3020344</v>
      </c>
      <c r="F41" s="1809">
        <f>SUM(F19:F39)</f>
        <v>333363</v>
      </c>
      <c r="G41" s="1809">
        <f>SUM(G19:G40)</f>
        <v>2729570</v>
      </c>
    </row>
    <row r="42" spans="1:7" x14ac:dyDescent="0.2">
      <c r="A42" s="817"/>
      <c r="B42" s="157"/>
      <c r="C42" s="831"/>
      <c r="D42" s="2429" t="s">
        <v>519</v>
      </c>
      <c r="E42" s="2430"/>
      <c r="F42" s="832" t="s">
        <v>520</v>
      </c>
      <c r="G42" s="833"/>
    </row>
    <row r="43" spans="1:7" ht="12" customHeight="1" x14ac:dyDescent="0.2">
      <c r="A43" s="817"/>
      <c r="B43" s="157"/>
      <c r="C43" s="831"/>
      <c r="D43" s="1458" t="s">
        <v>470</v>
      </c>
      <c r="E43" s="1810">
        <f>D41</f>
        <v>42589</v>
      </c>
      <c r="F43" s="1458" t="s">
        <v>470</v>
      </c>
      <c r="G43" s="1810">
        <f>F41</f>
        <v>333363</v>
      </c>
    </row>
    <row r="44" spans="1:7" ht="12" customHeight="1" x14ac:dyDescent="0.2">
      <c r="A44" s="817"/>
      <c r="B44" s="157"/>
      <c r="C44" s="831"/>
      <c r="D44" s="1458" t="s">
        <v>471</v>
      </c>
      <c r="E44" s="1810">
        <f>E41</f>
        <v>3020344</v>
      </c>
      <c r="F44" s="1458" t="s">
        <v>471</v>
      </c>
      <c r="G44" s="1810">
        <f>G41</f>
        <v>2729570</v>
      </c>
    </row>
    <row r="45" spans="1:7" ht="12" customHeight="1" x14ac:dyDescent="0.2">
      <c r="A45" s="817"/>
      <c r="B45" s="157"/>
      <c r="C45" s="157"/>
      <c r="D45" s="1459" t="s">
        <v>999</v>
      </c>
      <c r="E45" s="1811">
        <f>(E43/E44)</f>
        <v>1.4100711707010856E-2</v>
      </c>
      <c r="F45" s="1459" t="s">
        <v>999</v>
      </c>
      <c r="G45" s="1811">
        <f>(G43/G44)</f>
        <v>0.12213022563993596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5"/>
  <pageSetup scale="73"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8" zoomScale="110" zoomScaleNormal="110" workbookViewId="0">
      <selection activeCell="A33" sqref="A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7" t="s">
        <v>1363</v>
      </c>
      <c r="B1" s="2437"/>
      <c r="C1" s="2437"/>
      <c r="D1" s="2437"/>
      <c r="E1" s="2437"/>
      <c r="F1" s="243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8" t="s">
        <v>1529</v>
      </c>
      <c r="B5" s="2439"/>
      <c r="C5" s="2440"/>
      <c r="D5" s="2440"/>
      <c r="E5" s="2440"/>
      <c r="F5" s="2440"/>
      <c r="G5" s="1507"/>
      <c r="L5" s="1507"/>
      <c r="M5" s="1855"/>
      <c r="N5" s="1855"/>
      <c r="O5" s="1855"/>
    </row>
    <row r="6" spans="1:15" ht="12" customHeight="1" x14ac:dyDescent="0.25">
      <c r="A6" s="1480"/>
      <c r="B6" s="1481"/>
      <c r="C6" s="2441" t="str">
        <f>COVER!A17</f>
        <v xml:space="preserve"> Morrisonville CUSD 1</v>
      </c>
      <c r="D6" s="2441"/>
      <c r="E6" s="2441"/>
      <c r="F6" s="1482"/>
      <c r="G6" s="1507"/>
      <c r="L6" s="1507"/>
      <c r="M6" s="1855"/>
      <c r="N6" s="1855"/>
      <c r="O6" s="1855"/>
    </row>
    <row r="7" spans="1:15" ht="11.25" customHeight="1" thickBot="1" x14ac:dyDescent="0.3">
      <c r="A7" s="1480"/>
      <c r="B7" s="1481"/>
      <c r="C7" s="2442">
        <f>COVER!A13</f>
        <v>3011001026</v>
      </c>
      <c r="D7" s="2442"/>
      <c r="E7" s="244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2061</v>
      </c>
      <c r="D26" s="1495" t="s">
        <v>2061</v>
      </c>
      <c r="E26" s="1498" t="s">
        <v>2061</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2061</v>
      </c>
      <c r="D33" s="1495" t="s">
        <v>2061</v>
      </c>
      <c r="E33" s="1498" t="s">
        <v>2061</v>
      </c>
      <c r="F33" s="1497" t="s">
        <v>2077</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43"/>
      <c r="D35" s="2443"/>
      <c r="E35" s="2443"/>
      <c r="F35" s="2444"/>
    </row>
    <row r="36" spans="1:15" ht="12" customHeight="1" x14ac:dyDescent="0.2">
      <c r="A36" s="2434"/>
      <c r="B36" s="2435"/>
      <c r="C36" s="2435"/>
      <c r="D36" s="2435"/>
      <c r="E36" s="2435"/>
      <c r="F36" s="2436"/>
    </row>
    <row r="37" spans="1:15" ht="12" customHeight="1" x14ac:dyDescent="0.2">
      <c r="A37" s="2434"/>
      <c r="B37" s="2435"/>
      <c r="C37" s="2435"/>
      <c r="D37" s="2435"/>
      <c r="E37" s="2435"/>
      <c r="F37" s="2436"/>
    </row>
    <row r="38" spans="1:15" ht="12" customHeight="1" x14ac:dyDescent="0.2">
      <c r="A38" s="2448"/>
      <c r="B38" s="2449"/>
      <c r="C38" s="2449"/>
      <c r="D38" s="2449"/>
      <c r="E38" s="2449"/>
      <c r="F38" s="2450"/>
    </row>
    <row r="39" spans="1:15" ht="4.5" hidden="1" customHeight="1" x14ac:dyDescent="0.2">
      <c r="A39" s="1502"/>
      <c r="B39" s="1502"/>
      <c r="C39" s="1502"/>
      <c r="D39" s="1502"/>
      <c r="E39" s="1502"/>
      <c r="F39" s="1502"/>
    </row>
    <row r="40" spans="1:15" s="1499" customFormat="1" ht="12" customHeight="1" x14ac:dyDescent="0.25">
      <c r="A40" s="1503" t="s">
        <v>1375</v>
      </c>
      <c r="B40" s="1504"/>
      <c r="C40" s="2451"/>
      <c r="D40" s="2451"/>
      <c r="E40" s="2451"/>
      <c r="F40" s="2452"/>
      <c r="H40" s="1508"/>
      <c r="I40" s="1508"/>
      <c r="J40" s="1508"/>
      <c r="K40" s="1508"/>
    </row>
    <row r="41" spans="1:15" s="1499" customFormat="1" ht="12" customHeight="1" x14ac:dyDescent="0.25">
      <c r="A41" s="2453"/>
      <c r="B41" s="2454"/>
      <c r="C41" s="2454"/>
      <c r="D41" s="2454"/>
      <c r="E41" s="2454"/>
      <c r="F41" s="2455"/>
      <c r="H41" s="1508"/>
      <c r="I41" s="1508"/>
      <c r="J41" s="1508"/>
      <c r="K41" s="1508"/>
    </row>
    <row r="42" spans="1:15" s="1499" customFormat="1" ht="12" customHeight="1" x14ac:dyDescent="0.25">
      <c r="A42" s="2453"/>
      <c r="B42" s="2454"/>
      <c r="C42" s="2454"/>
      <c r="D42" s="2454"/>
      <c r="E42" s="2454"/>
      <c r="F42" s="2455"/>
      <c r="H42" s="1508"/>
      <c r="I42" s="1508"/>
      <c r="J42" s="1508"/>
      <c r="K42" s="1508"/>
    </row>
    <row r="43" spans="1:15" s="1499" customFormat="1" ht="15" x14ac:dyDescent="0.25">
      <c r="A43" s="2445"/>
      <c r="B43" s="2446"/>
      <c r="C43" s="2446"/>
      <c r="D43" s="2446"/>
      <c r="E43" s="2446"/>
      <c r="F43" s="2447"/>
      <c r="H43" s="1508"/>
      <c r="I43" s="1508"/>
      <c r="J43" s="1508"/>
      <c r="K43" s="1508"/>
    </row>
    <row r="44" spans="1:15" s="1499" customFormat="1" ht="12" hidden="1" customHeight="1" x14ac:dyDescent="0.25">
      <c r="A44" s="2445"/>
      <c r="B44" s="2446"/>
      <c r="C44" s="2446"/>
      <c r="D44" s="2446"/>
      <c r="E44" s="2446"/>
      <c r="F44" s="244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 bottom="0.75" header="1" footer="0.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49" zoomScaleNormal="100" workbookViewId="0">
      <selection activeCell="M62" sqref="M62"/>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57" t="str">
        <f>COVER!A17</f>
        <v xml:space="preserve"> Morrisonville CUSD 1</v>
      </c>
      <c r="K6" s="2457"/>
      <c r="L6" s="2458"/>
      <c r="M6" s="838"/>
      <c r="N6" s="1997"/>
    </row>
    <row r="7" spans="1:14" x14ac:dyDescent="0.2">
      <c r="A7" s="2459" t="s">
        <v>864</v>
      </c>
      <c r="B7" s="2460"/>
      <c r="C7" s="2460"/>
      <c r="D7" s="2460"/>
      <c r="E7" s="2461"/>
      <c r="F7" s="839"/>
      <c r="G7" s="838"/>
      <c r="H7" s="838"/>
      <c r="I7" s="1923" t="s">
        <v>369</v>
      </c>
      <c r="J7" s="2462">
        <f>COVER!A13</f>
        <v>3011001026</v>
      </c>
      <c r="K7" s="2462"/>
      <c r="L7" s="2462"/>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3" t="s">
        <v>478</v>
      </c>
      <c r="B11" s="2464"/>
      <c r="C11" s="2465"/>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84234</v>
      </c>
      <c r="F12" s="1941"/>
      <c r="G12" s="1967">
        <f>G68</f>
        <v>34500</v>
      </c>
      <c r="H12" s="1943">
        <f t="shared" ref="H12:H18" si="0">SUM(E12:G12)</f>
        <v>118734</v>
      </c>
      <c r="I12" s="1942">
        <v>90150</v>
      </c>
      <c r="J12" s="1941"/>
      <c r="K12" s="1942">
        <v>34500</v>
      </c>
      <c r="L12" s="1943">
        <f t="shared" ref="L12:L18" si="1">SUM(I12:K12)</f>
        <v>124650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66" t="s">
        <v>7</v>
      </c>
      <c r="C18" s="2467"/>
      <c r="D18" s="2468"/>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84234</v>
      </c>
      <c r="F19" s="1949">
        <f t="shared" si="2"/>
        <v>0</v>
      </c>
      <c r="G19" s="1949">
        <f t="shared" ref="G19" si="3">SUM(G12:G17)-G18</f>
        <v>34500</v>
      </c>
      <c r="H19" s="1949">
        <f t="shared" si="2"/>
        <v>118734</v>
      </c>
      <c r="I19" s="1949">
        <f t="shared" si="2"/>
        <v>90150</v>
      </c>
      <c r="J19" s="1949">
        <f t="shared" si="2"/>
        <v>0</v>
      </c>
      <c r="K19" s="1949">
        <f t="shared" si="2"/>
        <v>34500</v>
      </c>
      <c r="L19" s="1949">
        <f t="shared" si="2"/>
        <v>124650</v>
      </c>
      <c r="M19" s="838"/>
      <c r="N19" s="1997"/>
    </row>
    <row r="20" spans="1:14" ht="13.5" thickTop="1" x14ac:dyDescent="0.2">
      <c r="A20" s="2002">
        <v>9</v>
      </c>
      <c r="B20" s="2469" t="s">
        <v>2021</v>
      </c>
      <c r="C20" s="2469"/>
      <c r="D20" s="2470"/>
      <c r="E20" s="1950"/>
      <c r="F20" s="1950"/>
      <c r="G20" s="1950"/>
      <c r="H20" s="1950"/>
      <c r="I20" s="1950"/>
      <c r="J20" s="1950"/>
      <c r="K20" s="1950"/>
      <c r="L20" s="1951">
        <f>IF(AND(H19&gt;0,L19&gt;0),(((L19-H19)/H19)),"Enter Budget Data")</f>
        <v>4.9825660720602356E-2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1"/>
      <c r="D27" s="2471"/>
      <c r="E27" s="843"/>
      <c r="F27" s="2472">
        <v>43725</v>
      </c>
      <c r="G27" s="2472"/>
      <c r="H27" s="2472"/>
      <c r="I27" s="838"/>
      <c r="J27" s="838"/>
      <c r="K27" s="838"/>
      <c r="L27" s="838"/>
      <c r="M27" s="838"/>
      <c r="N27" s="1997"/>
    </row>
    <row r="28" spans="1:14" x14ac:dyDescent="0.2">
      <c r="A28" s="1996"/>
      <c r="B28" s="2006"/>
      <c r="C28" s="1956" t="s">
        <v>1026</v>
      </c>
      <c r="D28" s="844"/>
      <c r="E28" s="1957"/>
      <c r="F28" s="2473" t="s">
        <v>1492</v>
      </c>
      <c r="G28" s="2473"/>
      <c r="H28" s="2473"/>
      <c r="I28" s="838"/>
      <c r="J28" s="838"/>
      <c r="K28" s="838"/>
      <c r="L28" s="838"/>
      <c r="M28" s="838"/>
      <c r="N28" s="1997"/>
    </row>
    <row r="29" spans="1:14" x14ac:dyDescent="0.2">
      <c r="A29" s="1996"/>
      <c r="B29" s="2006"/>
      <c r="C29" s="2474" t="s">
        <v>2068</v>
      </c>
      <c r="D29" s="2474"/>
      <c r="E29" s="845"/>
      <c r="F29" s="2474" t="s">
        <v>2069</v>
      </c>
      <c r="G29" s="2474"/>
      <c r="H29" s="2474"/>
      <c r="I29" s="838"/>
      <c r="J29" s="838"/>
      <c r="K29" s="838"/>
      <c r="L29" s="838"/>
      <c r="M29" s="838"/>
      <c r="N29" s="1997"/>
    </row>
    <row r="30" spans="1:14" x14ac:dyDescent="0.2">
      <c r="A30" s="1996"/>
      <c r="B30" s="2006"/>
      <c r="C30" s="1959" t="s">
        <v>1544</v>
      </c>
      <c r="D30" s="838"/>
      <c r="E30" s="1958"/>
      <c r="F30" s="2456" t="s">
        <v>1493</v>
      </c>
      <c r="G30" s="2456"/>
      <c r="H30" s="2456"/>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77" t="s">
        <v>2024</v>
      </c>
      <c r="D34" s="2478"/>
      <c r="E34" s="2478"/>
      <c r="F34" s="2478"/>
      <c r="G34" s="2478"/>
      <c r="H34" s="2478"/>
      <c r="I34" s="2478"/>
      <c r="J34" s="2478"/>
      <c r="K34" s="2015"/>
      <c r="L34" s="838"/>
      <c r="M34" s="838"/>
      <c r="N34" s="1997"/>
    </row>
    <row r="35" spans="1:14" x14ac:dyDescent="0.2">
      <c r="A35" s="1996"/>
      <c r="B35" s="838"/>
      <c r="C35" s="2478"/>
      <c r="D35" s="2478"/>
      <c r="E35" s="2478"/>
      <c r="F35" s="2478"/>
      <c r="G35" s="2478"/>
      <c r="H35" s="2478"/>
      <c r="I35" s="2478"/>
      <c r="J35" s="247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77" t="s">
        <v>2025</v>
      </c>
      <c r="D37" s="2478"/>
      <c r="E37" s="2478"/>
      <c r="F37" s="2478"/>
      <c r="G37" s="2478"/>
      <c r="H37" s="2478"/>
      <c r="I37" s="2478"/>
      <c r="J37" s="2478"/>
      <c r="K37" s="2015"/>
      <c r="L37" s="2017"/>
      <c r="M37" s="838"/>
      <c r="N37" s="1997"/>
    </row>
    <row r="38" spans="1:14" x14ac:dyDescent="0.2">
      <c r="A38" s="1996"/>
      <c r="B38" s="838"/>
      <c r="C38" s="2478"/>
      <c r="D38" s="2478"/>
      <c r="E38" s="2478"/>
      <c r="F38" s="2478"/>
      <c r="G38" s="2478"/>
      <c r="H38" s="2478"/>
      <c r="I38" s="2478"/>
      <c r="J38" s="247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79" t="s">
        <v>2026</v>
      </c>
      <c r="D40" s="2480"/>
      <c r="E40" s="2480"/>
      <c r="F40" s="2480"/>
      <c r="G40" s="2480"/>
      <c r="H40" s="2480"/>
      <c r="I40" s="2480"/>
      <c r="J40" s="248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81" t="s">
        <v>2027</v>
      </c>
      <c r="B43" s="2482"/>
      <c r="C43" s="2482"/>
      <c r="D43" s="2482"/>
      <c r="E43" s="2482"/>
      <c r="F43" s="2482"/>
      <c r="G43" s="2482"/>
      <c r="H43" s="2482"/>
      <c r="I43" s="2482"/>
      <c r="J43" s="2482"/>
      <c r="K43" s="2482"/>
      <c r="L43" s="2482"/>
      <c r="M43" s="2482"/>
      <c r="N43" s="248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84" t="s">
        <v>2029</v>
      </c>
      <c r="B46" s="2485"/>
      <c r="C46" s="2485"/>
      <c r="D46" s="2485"/>
      <c r="E46" s="2485"/>
      <c r="F46" s="2485"/>
      <c r="G46" s="2485"/>
      <c r="H46" s="2485"/>
      <c r="I46" s="2485"/>
      <c r="J46" s="2485"/>
      <c r="K46" s="2485"/>
      <c r="L46" s="2485"/>
      <c r="M46" s="2485"/>
      <c r="N46" s="2486"/>
    </row>
    <row r="47" spans="1:14" x14ac:dyDescent="0.2">
      <c r="A47" s="2484"/>
      <c r="B47" s="2485"/>
      <c r="C47" s="2485"/>
      <c r="D47" s="2485"/>
      <c r="E47" s="2485"/>
      <c r="F47" s="2485"/>
      <c r="G47" s="2485"/>
      <c r="H47" s="2485"/>
      <c r="I47" s="2485"/>
      <c r="J47" s="2485"/>
      <c r="K47" s="2485"/>
      <c r="L47" s="2485"/>
      <c r="M47" s="2485"/>
      <c r="N47" s="248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57" t="str">
        <f>J6</f>
        <v xml:space="preserve"> Morrisonville CUSD 1</v>
      </c>
      <c r="M52" s="2457"/>
      <c r="N52" s="2487"/>
    </row>
    <row r="53" spans="1:14" x14ac:dyDescent="0.2">
      <c r="A53" s="1981"/>
      <c r="B53" s="1982"/>
      <c r="C53" s="1982"/>
      <c r="D53" s="1982"/>
      <c r="E53" s="1982"/>
      <c r="F53" s="1982"/>
      <c r="G53" s="1982"/>
      <c r="H53" s="1982"/>
      <c r="I53" s="1982"/>
      <c r="J53" s="1982"/>
      <c r="K53" s="1923" t="s">
        <v>369</v>
      </c>
      <c r="L53" s="2462">
        <f>J7</f>
        <v>3011001026</v>
      </c>
      <c r="M53" s="2462"/>
      <c r="N53" s="248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89"/>
      <c r="B55" s="2490"/>
      <c r="C55" s="2490"/>
      <c r="D55" s="1969"/>
      <c r="E55" s="1969"/>
      <c r="F55" s="1969"/>
      <c r="G55" s="2491" t="s">
        <v>2030</v>
      </c>
      <c r="H55" s="2491"/>
      <c r="I55" s="2491"/>
      <c r="J55" s="2491"/>
      <c r="K55" s="2491"/>
      <c r="L55" s="2491"/>
      <c r="M55" s="2491"/>
      <c r="N55" s="2492"/>
    </row>
    <row r="56" spans="1:14" ht="63.75" x14ac:dyDescent="0.2">
      <c r="A56" s="2493" t="s">
        <v>2031</v>
      </c>
      <c r="B56" s="2494"/>
      <c r="C56" s="2495"/>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96" t="s">
        <v>296</v>
      </c>
      <c r="B57" s="2497"/>
      <c r="C57" s="249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75" t="s">
        <v>2041</v>
      </c>
      <c r="B58" s="2476"/>
      <c r="C58" s="2476"/>
      <c r="D58" s="1966">
        <v>2362</v>
      </c>
      <c r="E58" s="1976">
        <f>'Expenditures 15-22'!K320</f>
        <v>13370</v>
      </c>
      <c r="F58" s="1971"/>
      <c r="G58" s="2030"/>
      <c r="H58" s="2031"/>
      <c r="I58" s="2031"/>
      <c r="J58" s="2031"/>
      <c r="K58" s="2031"/>
      <c r="L58" s="2031"/>
      <c r="M58" s="2031">
        <v>13370</v>
      </c>
      <c r="N58" s="1974">
        <f>IF((SUM(G58:M58))=E58,SUM(G58:M58),"Column N does not agree with Column E")</f>
        <v>13370</v>
      </c>
    </row>
    <row r="59" spans="1:14" ht="24.75" customHeight="1" x14ac:dyDescent="0.2">
      <c r="A59" s="2498" t="s">
        <v>297</v>
      </c>
      <c r="B59" s="2499"/>
      <c r="C59" s="249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98" t="s">
        <v>236</v>
      </c>
      <c r="B60" s="2499"/>
      <c r="C60" s="2499"/>
      <c r="D60" s="1966">
        <v>2364</v>
      </c>
      <c r="E60" s="1976">
        <f>'Expenditures 15-22'!K322</f>
        <v>44019</v>
      </c>
      <c r="F60" s="1971"/>
      <c r="G60" s="2030"/>
      <c r="H60" s="2031"/>
      <c r="I60" s="2031"/>
      <c r="J60" s="2031"/>
      <c r="K60" s="2031"/>
      <c r="L60" s="2031"/>
      <c r="M60" s="2031">
        <v>44019</v>
      </c>
      <c r="N60" s="1974">
        <f t="shared" ref="N60:N67" si="4">IF((SUM(G60:M60))=E60,SUM(G60:M60),"Column N does not agree with Column E")</f>
        <v>44019</v>
      </c>
    </row>
    <row r="61" spans="1:14" ht="24.75" customHeight="1" x14ac:dyDescent="0.2">
      <c r="A61" s="2498" t="s">
        <v>697</v>
      </c>
      <c r="B61" s="2499"/>
      <c r="C61" s="2499"/>
      <c r="D61" s="1966">
        <v>2365</v>
      </c>
      <c r="E61" s="1976">
        <f>'Expenditures 15-22'!K323</f>
        <v>95696</v>
      </c>
      <c r="F61" s="1971"/>
      <c r="G61" s="2030">
        <v>34500</v>
      </c>
      <c r="H61" s="2031"/>
      <c r="I61" s="2031"/>
      <c r="J61" s="2031"/>
      <c r="K61" s="2031"/>
      <c r="L61" s="2031"/>
      <c r="M61" s="2031">
        <f>95696-34500</f>
        <v>61196</v>
      </c>
      <c r="N61" s="1974">
        <f t="shared" si="4"/>
        <v>95696</v>
      </c>
    </row>
    <row r="62" spans="1:14" ht="24" customHeight="1" x14ac:dyDescent="0.2">
      <c r="A62" s="2498" t="s">
        <v>237</v>
      </c>
      <c r="B62" s="2499"/>
      <c r="C62" s="2499"/>
      <c r="D62" s="1966">
        <v>2366</v>
      </c>
      <c r="E62" s="1976">
        <f>'Expenditures 15-22'!K324</f>
        <v>0</v>
      </c>
      <c r="F62" s="1971"/>
      <c r="G62" s="2030"/>
      <c r="H62" s="2031"/>
      <c r="I62" s="2031"/>
      <c r="J62" s="2031"/>
      <c r="K62" s="2031"/>
      <c r="L62" s="2031"/>
      <c r="M62" s="2031"/>
      <c r="N62" s="1974">
        <f t="shared" si="4"/>
        <v>0</v>
      </c>
    </row>
    <row r="63" spans="1:14" ht="24" customHeight="1" x14ac:dyDescent="0.2">
      <c r="A63" s="2475" t="s">
        <v>1022</v>
      </c>
      <c r="B63" s="2476"/>
      <c r="C63" s="2476"/>
      <c r="D63" s="1966">
        <v>2367</v>
      </c>
      <c r="E63" s="1976">
        <f>'Expenditures 15-22'!K325</f>
        <v>5159</v>
      </c>
      <c r="F63" s="1971"/>
      <c r="G63" s="2030"/>
      <c r="H63" s="2031"/>
      <c r="I63" s="2031"/>
      <c r="J63" s="2031"/>
      <c r="K63" s="2031"/>
      <c r="L63" s="2031"/>
      <c r="M63" s="2031">
        <v>5159</v>
      </c>
      <c r="N63" s="1974">
        <f t="shared" si="4"/>
        <v>5159</v>
      </c>
    </row>
    <row r="64" spans="1:14" ht="24" customHeight="1" x14ac:dyDescent="0.2">
      <c r="A64" s="2498" t="s">
        <v>1023</v>
      </c>
      <c r="B64" s="2499"/>
      <c r="C64" s="2499"/>
      <c r="D64" s="1966">
        <v>2368</v>
      </c>
      <c r="E64" s="1976">
        <f>'Expenditures 15-22'!K326</f>
        <v>0</v>
      </c>
      <c r="F64" s="1971"/>
      <c r="G64" s="2030"/>
      <c r="H64" s="2031"/>
      <c r="I64" s="2031"/>
      <c r="J64" s="2031"/>
      <c r="K64" s="2031"/>
      <c r="L64" s="2031"/>
      <c r="M64" s="2031"/>
      <c r="N64" s="1974">
        <f t="shared" si="4"/>
        <v>0</v>
      </c>
    </row>
    <row r="65" spans="1:14" ht="24" customHeight="1" x14ac:dyDescent="0.2">
      <c r="A65" s="2498" t="s">
        <v>965</v>
      </c>
      <c r="B65" s="2499"/>
      <c r="C65" s="2499"/>
      <c r="D65" s="1966">
        <v>2369</v>
      </c>
      <c r="E65" s="1976">
        <f>'Expenditures 15-22'!K327</f>
        <v>0</v>
      </c>
      <c r="F65" s="1971"/>
      <c r="G65" s="2030"/>
      <c r="H65" s="2031"/>
      <c r="I65" s="2031"/>
      <c r="J65" s="2031"/>
      <c r="K65" s="2031"/>
      <c r="L65" s="2031"/>
      <c r="M65" s="2031"/>
      <c r="N65" s="1974">
        <f t="shared" si="4"/>
        <v>0</v>
      </c>
    </row>
    <row r="66" spans="1:14" ht="24" customHeight="1" x14ac:dyDescent="0.2">
      <c r="A66" s="2498" t="s">
        <v>469</v>
      </c>
      <c r="B66" s="2499"/>
      <c r="C66" s="2499"/>
      <c r="D66" s="1966">
        <v>2371</v>
      </c>
      <c r="E66" s="1976">
        <f>'Expenditures 15-22'!K328</f>
        <v>0</v>
      </c>
      <c r="F66" s="1971"/>
      <c r="G66" s="2030"/>
      <c r="H66" s="2031"/>
      <c r="I66" s="2031"/>
      <c r="J66" s="2031"/>
      <c r="K66" s="2031"/>
      <c r="L66" s="2031"/>
      <c r="M66" s="2031"/>
      <c r="N66" s="1974">
        <f t="shared" si="4"/>
        <v>0</v>
      </c>
    </row>
    <row r="67" spans="1:14" ht="24.75" customHeight="1" x14ac:dyDescent="0.2">
      <c r="A67" s="2500" t="s">
        <v>2042</v>
      </c>
      <c r="B67" s="2501"/>
      <c r="C67" s="2501"/>
      <c r="D67" s="1968">
        <v>2372</v>
      </c>
      <c r="E67" s="1977">
        <f>'Expenditures 15-22'!K329</f>
        <v>0</v>
      </c>
      <c r="F67" s="1971"/>
      <c r="G67" s="2032"/>
      <c r="H67" s="2033"/>
      <c r="I67" s="2033"/>
      <c r="J67" s="2033"/>
      <c r="K67" s="2033"/>
      <c r="L67" s="2033"/>
      <c r="M67" s="2033"/>
      <c r="N67" s="1974">
        <f t="shared" si="4"/>
        <v>0</v>
      </c>
    </row>
    <row r="68" spans="1:14" x14ac:dyDescent="0.2">
      <c r="A68" s="2502" t="s">
        <v>1151</v>
      </c>
      <c r="B68" s="2503"/>
      <c r="C68" s="2503"/>
      <c r="D68" s="1969"/>
      <c r="E68" s="1973">
        <f>SUM(E57:E67)</f>
        <v>158244</v>
      </c>
      <c r="F68" s="1972"/>
      <c r="G68" s="1973">
        <f t="shared" ref="G68:N68" si="5">SUM(G57:G67)</f>
        <v>34500</v>
      </c>
      <c r="H68" s="1973">
        <f t="shared" si="5"/>
        <v>0</v>
      </c>
      <c r="I68" s="1973">
        <f t="shared" si="5"/>
        <v>0</v>
      </c>
      <c r="J68" s="1973">
        <f t="shared" si="5"/>
        <v>0</v>
      </c>
      <c r="K68" s="1973">
        <f t="shared" si="5"/>
        <v>0</v>
      </c>
      <c r="L68" s="1973">
        <f t="shared" si="5"/>
        <v>0</v>
      </c>
      <c r="M68" s="1973">
        <f t="shared" si="5"/>
        <v>123744</v>
      </c>
      <c r="N68" s="1987">
        <f t="shared" si="5"/>
        <v>158244</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1" bottom="0.75" header="0.9" footer="0.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13" zoomScale="110" zoomScaleNormal="110" workbookViewId="0">
      <selection activeCell="B29" sqref="B2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2137</v>
      </c>
    </row>
    <row r="6" spans="1:2" x14ac:dyDescent="0.2">
      <c r="A6" s="847"/>
    </row>
    <row r="7" spans="1:2" x14ac:dyDescent="0.2">
      <c r="A7" s="847">
        <v>2</v>
      </c>
      <c r="B7" s="307" t="s">
        <v>2138</v>
      </c>
    </row>
    <row r="8" spans="1:2" x14ac:dyDescent="0.2">
      <c r="A8" s="847"/>
    </row>
    <row r="9" spans="1:2" x14ac:dyDescent="0.2">
      <c r="A9" s="848">
        <v>3</v>
      </c>
      <c r="B9" s="307" t="s">
        <v>2139</v>
      </c>
    </row>
    <row r="10" spans="1:2" x14ac:dyDescent="0.2">
      <c r="A10" s="848"/>
    </row>
    <row r="11" spans="1:2" x14ac:dyDescent="0.2">
      <c r="A11" s="848">
        <v>4</v>
      </c>
      <c r="B11" s="307" t="s">
        <v>2140</v>
      </c>
    </row>
    <row r="12" spans="1:2" x14ac:dyDescent="0.2">
      <c r="A12" s="848"/>
    </row>
    <row r="13" spans="1:2" x14ac:dyDescent="0.2">
      <c r="A13" s="848">
        <v>5</v>
      </c>
      <c r="B13" s="307" t="s">
        <v>2141</v>
      </c>
    </row>
    <row r="14" spans="1:2" x14ac:dyDescent="0.2">
      <c r="A14" s="848"/>
    </row>
    <row r="15" spans="1:2" x14ac:dyDescent="0.2">
      <c r="A15" s="848">
        <v>6</v>
      </c>
      <c r="B15" s="307" t="s">
        <v>2147</v>
      </c>
    </row>
    <row r="16" spans="1:2" x14ac:dyDescent="0.2">
      <c r="A16" s="848"/>
    </row>
    <row r="17" spans="1:2" x14ac:dyDescent="0.2">
      <c r="A17" s="848">
        <v>7</v>
      </c>
      <c r="B17" s="307" t="s">
        <v>2142</v>
      </c>
    </row>
    <row r="18" spans="1:2" x14ac:dyDescent="0.2">
      <c r="A18" s="848"/>
    </row>
    <row r="19" spans="1:2" x14ac:dyDescent="0.2">
      <c r="A19" s="848">
        <v>8</v>
      </c>
      <c r="B19" s="307" t="s">
        <v>2143</v>
      </c>
    </row>
    <row r="20" spans="1:2" x14ac:dyDescent="0.2">
      <c r="A20" s="848"/>
      <c r="B20" s="307" t="s">
        <v>2146</v>
      </c>
    </row>
    <row r="21" spans="1:2" x14ac:dyDescent="0.2">
      <c r="A21" s="848"/>
      <c r="B21" s="307" t="s">
        <v>2145</v>
      </c>
    </row>
    <row r="22" spans="1:2" x14ac:dyDescent="0.2">
      <c r="A22" s="848"/>
    </row>
    <row r="23" spans="1:2" x14ac:dyDescent="0.2">
      <c r="A23" s="848">
        <v>9</v>
      </c>
      <c r="B23" s="307" t="s">
        <v>2188</v>
      </c>
    </row>
    <row r="24" spans="1:2" x14ac:dyDescent="0.2">
      <c r="A24" s="848"/>
      <c r="B24" s="307" t="s">
        <v>2144</v>
      </c>
    </row>
    <row r="25" spans="1:2" x14ac:dyDescent="0.2">
      <c r="A25" s="848"/>
    </row>
    <row r="26" spans="1:2" x14ac:dyDescent="0.2">
      <c r="A26" s="848"/>
    </row>
    <row r="27" spans="1:2" x14ac:dyDescent="0.2">
      <c r="A27" s="848" t="s">
        <v>2063</v>
      </c>
    </row>
    <row r="28" spans="1:2" x14ac:dyDescent="0.2">
      <c r="A28" s="848" t="s">
        <v>2062</v>
      </c>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Morrisonville CUSD 1</v>
      </c>
    </row>
    <row r="69" spans="1:2" x14ac:dyDescent="0.2">
      <c r="B69" s="849">
        <f>COVER!A13</f>
        <v>3011001026</v>
      </c>
    </row>
  </sheetData>
  <phoneticPr fontId="17" type="noConversion"/>
  <printOptions horizontalCentered="1"/>
  <pageMargins left="1" right="0.75" top="0.75" bottom="0.75" header="0.65" footer="0.5"/>
  <pageSetup scale="75" firstPageNumber="34" orientation="portrait" useFirstPageNumber="1" r:id="rId1"/>
  <headerFooter alignWithMargins="0">
    <oddHeader>&amp;C &amp;R&amp;8Page &amp;P</oddHeader>
    <oddFooter>&amp;CReference should be made to auditor's report regarding this information.
51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0" t="s">
        <v>1056</v>
      </c>
      <c r="B35" s="2190"/>
      <c r="C35" s="2190"/>
      <c r="D35" s="2190"/>
      <c r="E35" s="219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7" t="s">
        <v>686</v>
      </c>
      <c r="B40" s="2187"/>
      <c r="C40" s="2187"/>
      <c r="D40" s="2187"/>
      <c r="E40" s="2187"/>
    </row>
    <row r="41" spans="1:5" x14ac:dyDescent="0.2">
      <c r="A41" s="2188" t="s">
        <v>1591</v>
      </c>
      <c r="B41" s="2188"/>
      <c r="C41" s="2188"/>
      <c r="D41" s="2188"/>
      <c r="E41" s="2188"/>
    </row>
    <row r="42" spans="1:5" ht="12.75" customHeight="1" x14ac:dyDescent="0.2">
      <c r="A42" s="2189" t="s">
        <v>1015</v>
      </c>
      <c r="B42" s="2189"/>
      <c r="C42" s="2189"/>
      <c r="D42" s="2189"/>
      <c r="E42" s="218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K24" sqref="K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rintOptions horizontalCentered="1"/>
  <pageMargins left="1" right="0.75" top="0.75" bottom="0.75" header="0.5" footer="0.5"/>
  <pageSetup scale="70" firstPageNumber="35" orientation="portrait" useFirstPageNumber="1" r:id="rId1"/>
  <headerFooter alignWithMargins="0">
    <oddHeader>&amp;R&amp;8Page &amp;P</oddHeader>
    <oddFooter>&amp;CReference should be made to auditor's report regarding this information.
52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CD52-69D7-41AD-9C18-ECC7A70BDD92}">
  <dimension ref="A1:C80"/>
  <sheetViews>
    <sheetView topLeftCell="A55" workbookViewId="0">
      <selection activeCell="D62" sqref="D62"/>
    </sheetView>
  </sheetViews>
  <sheetFormatPr defaultColWidth="9.140625" defaultRowHeight="12.75" x14ac:dyDescent="0.2"/>
  <cols>
    <col min="1" max="1" width="78.42578125" style="2036" customWidth="1"/>
    <col min="2" max="2" width="7.42578125" style="2036" customWidth="1"/>
    <col min="3" max="3" width="15.28515625" style="2053" customWidth="1"/>
    <col min="4" max="256" width="9.140625" style="2036"/>
    <col min="257" max="257" width="78.42578125" style="2036" customWidth="1"/>
    <col min="258" max="258" width="7.42578125" style="2036" customWidth="1"/>
    <col min="259" max="259" width="15.28515625" style="2036" customWidth="1"/>
    <col min="260" max="512" width="9.140625" style="2036"/>
    <col min="513" max="513" width="78.42578125" style="2036" customWidth="1"/>
    <col min="514" max="514" width="7.42578125" style="2036" customWidth="1"/>
    <col min="515" max="515" width="15.28515625" style="2036" customWidth="1"/>
    <col min="516" max="768" width="9.140625" style="2036"/>
    <col min="769" max="769" width="78.42578125" style="2036" customWidth="1"/>
    <col min="770" max="770" width="7.42578125" style="2036" customWidth="1"/>
    <col min="771" max="771" width="15.28515625" style="2036" customWidth="1"/>
    <col min="772" max="1024" width="9.140625" style="2036"/>
    <col min="1025" max="1025" width="78.42578125" style="2036" customWidth="1"/>
    <col min="1026" max="1026" width="7.42578125" style="2036" customWidth="1"/>
    <col min="1027" max="1027" width="15.28515625" style="2036" customWidth="1"/>
    <col min="1028" max="1280" width="9.140625" style="2036"/>
    <col min="1281" max="1281" width="78.42578125" style="2036" customWidth="1"/>
    <col min="1282" max="1282" width="7.42578125" style="2036" customWidth="1"/>
    <col min="1283" max="1283" width="15.28515625" style="2036" customWidth="1"/>
    <col min="1284" max="1536" width="9.140625" style="2036"/>
    <col min="1537" max="1537" width="78.42578125" style="2036" customWidth="1"/>
    <col min="1538" max="1538" width="7.42578125" style="2036" customWidth="1"/>
    <col min="1539" max="1539" width="15.28515625" style="2036" customWidth="1"/>
    <col min="1540" max="1792" width="9.140625" style="2036"/>
    <col min="1793" max="1793" width="78.42578125" style="2036" customWidth="1"/>
    <col min="1794" max="1794" width="7.42578125" style="2036" customWidth="1"/>
    <col min="1795" max="1795" width="15.28515625" style="2036" customWidth="1"/>
    <col min="1796" max="2048" width="9.140625" style="2036"/>
    <col min="2049" max="2049" width="78.42578125" style="2036" customWidth="1"/>
    <col min="2050" max="2050" width="7.42578125" style="2036" customWidth="1"/>
    <col min="2051" max="2051" width="15.28515625" style="2036" customWidth="1"/>
    <col min="2052" max="2304" width="9.140625" style="2036"/>
    <col min="2305" max="2305" width="78.42578125" style="2036" customWidth="1"/>
    <col min="2306" max="2306" width="7.42578125" style="2036" customWidth="1"/>
    <col min="2307" max="2307" width="15.28515625" style="2036" customWidth="1"/>
    <col min="2308" max="2560" width="9.140625" style="2036"/>
    <col min="2561" max="2561" width="78.42578125" style="2036" customWidth="1"/>
    <col min="2562" max="2562" width="7.42578125" style="2036" customWidth="1"/>
    <col min="2563" max="2563" width="15.28515625" style="2036" customWidth="1"/>
    <col min="2564" max="2816" width="9.140625" style="2036"/>
    <col min="2817" max="2817" width="78.42578125" style="2036" customWidth="1"/>
    <col min="2818" max="2818" width="7.42578125" style="2036" customWidth="1"/>
    <col min="2819" max="2819" width="15.28515625" style="2036" customWidth="1"/>
    <col min="2820" max="3072" width="9.140625" style="2036"/>
    <col min="3073" max="3073" width="78.42578125" style="2036" customWidth="1"/>
    <col min="3074" max="3074" width="7.42578125" style="2036" customWidth="1"/>
    <col min="3075" max="3075" width="15.28515625" style="2036" customWidth="1"/>
    <col min="3076" max="3328" width="9.140625" style="2036"/>
    <col min="3329" max="3329" width="78.42578125" style="2036" customWidth="1"/>
    <col min="3330" max="3330" width="7.42578125" style="2036" customWidth="1"/>
    <col min="3331" max="3331" width="15.28515625" style="2036" customWidth="1"/>
    <col min="3332" max="3584" width="9.140625" style="2036"/>
    <col min="3585" max="3585" width="78.42578125" style="2036" customWidth="1"/>
    <col min="3586" max="3586" width="7.42578125" style="2036" customWidth="1"/>
    <col min="3587" max="3587" width="15.28515625" style="2036" customWidth="1"/>
    <col min="3588" max="3840" width="9.140625" style="2036"/>
    <col min="3841" max="3841" width="78.42578125" style="2036" customWidth="1"/>
    <col min="3842" max="3842" width="7.42578125" style="2036" customWidth="1"/>
    <col min="3843" max="3843" width="15.28515625" style="2036" customWidth="1"/>
    <col min="3844" max="4096" width="9.140625" style="2036"/>
    <col min="4097" max="4097" width="78.42578125" style="2036" customWidth="1"/>
    <col min="4098" max="4098" width="7.42578125" style="2036" customWidth="1"/>
    <col min="4099" max="4099" width="15.28515625" style="2036" customWidth="1"/>
    <col min="4100" max="4352" width="9.140625" style="2036"/>
    <col min="4353" max="4353" width="78.42578125" style="2036" customWidth="1"/>
    <col min="4354" max="4354" width="7.42578125" style="2036" customWidth="1"/>
    <col min="4355" max="4355" width="15.28515625" style="2036" customWidth="1"/>
    <col min="4356" max="4608" width="9.140625" style="2036"/>
    <col min="4609" max="4609" width="78.42578125" style="2036" customWidth="1"/>
    <col min="4610" max="4610" width="7.42578125" style="2036" customWidth="1"/>
    <col min="4611" max="4611" width="15.28515625" style="2036" customWidth="1"/>
    <col min="4612" max="4864" width="9.140625" style="2036"/>
    <col min="4865" max="4865" width="78.42578125" style="2036" customWidth="1"/>
    <col min="4866" max="4866" width="7.42578125" style="2036" customWidth="1"/>
    <col min="4867" max="4867" width="15.28515625" style="2036" customWidth="1"/>
    <col min="4868" max="5120" width="9.140625" style="2036"/>
    <col min="5121" max="5121" width="78.42578125" style="2036" customWidth="1"/>
    <col min="5122" max="5122" width="7.42578125" style="2036" customWidth="1"/>
    <col min="5123" max="5123" width="15.28515625" style="2036" customWidth="1"/>
    <col min="5124" max="5376" width="9.140625" style="2036"/>
    <col min="5377" max="5377" width="78.42578125" style="2036" customWidth="1"/>
    <col min="5378" max="5378" width="7.42578125" style="2036" customWidth="1"/>
    <col min="5379" max="5379" width="15.28515625" style="2036" customWidth="1"/>
    <col min="5380" max="5632" width="9.140625" style="2036"/>
    <col min="5633" max="5633" width="78.42578125" style="2036" customWidth="1"/>
    <col min="5634" max="5634" width="7.42578125" style="2036" customWidth="1"/>
    <col min="5635" max="5635" width="15.28515625" style="2036" customWidth="1"/>
    <col min="5636" max="5888" width="9.140625" style="2036"/>
    <col min="5889" max="5889" width="78.42578125" style="2036" customWidth="1"/>
    <col min="5890" max="5890" width="7.42578125" style="2036" customWidth="1"/>
    <col min="5891" max="5891" width="15.28515625" style="2036" customWidth="1"/>
    <col min="5892" max="6144" width="9.140625" style="2036"/>
    <col min="6145" max="6145" width="78.42578125" style="2036" customWidth="1"/>
    <col min="6146" max="6146" width="7.42578125" style="2036" customWidth="1"/>
    <col min="6147" max="6147" width="15.28515625" style="2036" customWidth="1"/>
    <col min="6148" max="6400" width="9.140625" style="2036"/>
    <col min="6401" max="6401" width="78.42578125" style="2036" customWidth="1"/>
    <col min="6402" max="6402" width="7.42578125" style="2036" customWidth="1"/>
    <col min="6403" max="6403" width="15.28515625" style="2036" customWidth="1"/>
    <col min="6404" max="6656" width="9.140625" style="2036"/>
    <col min="6657" max="6657" width="78.42578125" style="2036" customWidth="1"/>
    <col min="6658" max="6658" width="7.42578125" style="2036" customWidth="1"/>
    <col min="6659" max="6659" width="15.28515625" style="2036" customWidth="1"/>
    <col min="6660" max="6912" width="9.140625" style="2036"/>
    <col min="6913" max="6913" width="78.42578125" style="2036" customWidth="1"/>
    <col min="6914" max="6914" width="7.42578125" style="2036" customWidth="1"/>
    <col min="6915" max="6915" width="15.28515625" style="2036" customWidth="1"/>
    <col min="6916" max="7168" width="9.140625" style="2036"/>
    <col min="7169" max="7169" width="78.42578125" style="2036" customWidth="1"/>
    <col min="7170" max="7170" width="7.42578125" style="2036" customWidth="1"/>
    <col min="7171" max="7171" width="15.28515625" style="2036" customWidth="1"/>
    <col min="7172" max="7424" width="9.140625" style="2036"/>
    <col min="7425" max="7425" width="78.42578125" style="2036" customWidth="1"/>
    <col min="7426" max="7426" width="7.42578125" style="2036" customWidth="1"/>
    <col min="7427" max="7427" width="15.28515625" style="2036" customWidth="1"/>
    <col min="7428" max="7680" width="9.140625" style="2036"/>
    <col min="7681" max="7681" width="78.42578125" style="2036" customWidth="1"/>
    <col min="7682" max="7682" width="7.42578125" style="2036" customWidth="1"/>
    <col min="7683" max="7683" width="15.28515625" style="2036" customWidth="1"/>
    <col min="7684" max="7936" width="9.140625" style="2036"/>
    <col min="7937" max="7937" width="78.42578125" style="2036" customWidth="1"/>
    <col min="7938" max="7938" width="7.42578125" style="2036" customWidth="1"/>
    <col min="7939" max="7939" width="15.28515625" style="2036" customWidth="1"/>
    <col min="7940" max="8192" width="9.140625" style="2036"/>
    <col min="8193" max="8193" width="78.42578125" style="2036" customWidth="1"/>
    <col min="8194" max="8194" width="7.42578125" style="2036" customWidth="1"/>
    <col min="8195" max="8195" width="15.28515625" style="2036" customWidth="1"/>
    <col min="8196" max="8448" width="9.140625" style="2036"/>
    <col min="8449" max="8449" width="78.42578125" style="2036" customWidth="1"/>
    <col min="8450" max="8450" width="7.42578125" style="2036" customWidth="1"/>
    <col min="8451" max="8451" width="15.28515625" style="2036" customWidth="1"/>
    <col min="8452" max="8704" width="9.140625" style="2036"/>
    <col min="8705" max="8705" width="78.42578125" style="2036" customWidth="1"/>
    <col min="8706" max="8706" width="7.42578125" style="2036" customWidth="1"/>
    <col min="8707" max="8707" width="15.28515625" style="2036" customWidth="1"/>
    <col min="8708" max="8960" width="9.140625" style="2036"/>
    <col min="8961" max="8961" width="78.42578125" style="2036" customWidth="1"/>
    <col min="8962" max="8962" width="7.42578125" style="2036" customWidth="1"/>
    <col min="8963" max="8963" width="15.28515625" style="2036" customWidth="1"/>
    <col min="8964" max="9216" width="9.140625" style="2036"/>
    <col min="9217" max="9217" width="78.42578125" style="2036" customWidth="1"/>
    <col min="9218" max="9218" width="7.42578125" style="2036" customWidth="1"/>
    <col min="9219" max="9219" width="15.28515625" style="2036" customWidth="1"/>
    <col min="9220" max="9472" width="9.140625" style="2036"/>
    <col min="9473" max="9473" width="78.42578125" style="2036" customWidth="1"/>
    <col min="9474" max="9474" width="7.42578125" style="2036" customWidth="1"/>
    <col min="9475" max="9475" width="15.28515625" style="2036" customWidth="1"/>
    <col min="9476" max="9728" width="9.140625" style="2036"/>
    <col min="9729" max="9729" width="78.42578125" style="2036" customWidth="1"/>
    <col min="9730" max="9730" width="7.42578125" style="2036" customWidth="1"/>
    <col min="9731" max="9731" width="15.28515625" style="2036" customWidth="1"/>
    <col min="9732" max="9984" width="9.140625" style="2036"/>
    <col min="9985" max="9985" width="78.42578125" style="2036" customWidth="1"/>
    <col min="9986" max="9986" width="7.42578125" style="2036" customWidth="1"/>
    <col min="9987" max="9987" width="15.28515625" style="2036" customWidth="1"/>
    <col min="9988" max="10240" width="9.140625" style="2036"/>
    <col min="10241" max="10241" width="78.42578125" style="2036" customWidth="1"/>
    <col min="10242" max="10242" width="7.42578125" style="2036" customWidth="1"/>
    <col min="10243" max="10243" width="15.28515625" style="2036" customWidth="1"/>
    <col min="10244" max="10496" width="9.140625" style="2036"/>
    <col min="10497" max="10497" width="78.42578125" style="2036" customWidth="1"/>
    <col min="10498" max="10498" width="7.42578125" style="2036" customWidth="1"/>
    <col min="10499" max="10499" width="15.28515625" style="2036" customWidth="1"/>
    <col min="10500" max="10752" width="9.140625" style="2036"/>
    <col min="10753" max="10753" width="78.42578125" style="2036" customWidth="1"/>
    <col min="10754" max="10754" width="7.42578125" style="2036" customWidth="1"/>
    <col min="10755" max="10755" width="15.28515625" style="2036" customWidth="1"/>
    <col min="10756" max="11008" width="9.140625" style="2036"/>
    <col min="11009" max="11009" width="78.42578125" style="2036" customWidth="1"/>
    <col min="11010" max="11010" width="7.42578125" style="2036" customWidth="1"/>
    <col min="11011" max="11011" width="15.28515625" style="2036" customWidth="1"/>
    <col min="11012" max="11264" width="9.140625" style="2036"/>
    <col min="11265" max="11265" width="78.42578125" style="2036" customWidth="1"/>
    <col min="11266" max="11266" width="7.42578125" style="2036" customWidth="1"/>
    <col min="11267" max="11267" width="15.28515625" style="2036" customWidth="1"/>
    <col min="11268" max="11520" width="9.140625" style="2036"/>
    <col min="11521" max="11521" width="78.42578125" style="2036" customWidth="1"/>
    <col min="11522" max="11522" width="7.42578125" style="2036" customWidth="1"/>
    <col min="11523" max="11523" width="15.28515625" style="2036" customWidth="1"/>
    <col min="11524" max="11776" width="9.140625" style="2036"/>
    <col min="11777" max="11777" width="78.42578125" style="2036" customWidth="1"/>
    <col min="11778" max="11778" width="7.42578125" style="2036" customWidth="1"/>
    <col min="11779" max="11779" width="15.28515625" style="2036" customWidth="1"/>
    <col min="11780" max="12032" width="9.140625" style="2036"/>
    <col min="12033" max="12033" width="78.42578125" style="2036" customWidth="1"/>
    <col min="12034" max="12034" width="7.42578125" style="2036" customWidth="1"/>
    <col min="12035" max="12035" width="15.28515625" style="2036" customWidth="1"/>
    <col min="12036" max="12288" width="9.140625" style="2036"/>
    <col min="12289" max="12289" width="78.42578125" style="2036" customWidth="1"/>
    <col min="12290" max="12290" width="7.42578125" style="2036" customWidth="1"/>
    <col min="12291" max="12291" width="15.28515625" style="2036" customWidth="1"/>
    <col min="12292" max="12544" width="9.140625" style="2036"/>
    <col min="12545" max="12545" width="78.42578125" style="2036" customWidth="1"/>
    <col min="12546" max="12546" width="7.42578125" style="2036" customWidth="1"/>
    <col min="12547" max="12547" width="15.28515625" style="2036" customWidth="1"/>
    <col min="12548" max="12800" width="9.140625" style="2036"/>
    <col min="12801" max="12801" width="78.42578125" style="2036" customWidth="1"/>
    <col min="12802" max="12802" width="7.42578125" style="2036" customWidth="1"/>
    <col min="12803" max="12803" width="15.28515625" style="2036" customWidth="1"/>
    <col min="12804" max="13056" width="9.140625" style="2036"/>
    <col min="13057" max="13057" width="78.42578125" style="2036" customWidth="1"/>
    <col min="13058" max="13058" width="7.42578125" style="2036" customWidth="1"/>
    <col min="13059" max="13059" width="15.28515625" style="2036" customWidth="1"/>
    <col min="13060" max="13312" width="9.140625" style="2036"/>
    <col min="13313" max="13313" width="78.42578125" style="2036" customWidth="1"/>
    <col min="13314" max="13314" width="7.42578125" style="2036" customWidth="1"/>
    <col min="13315" max="13315" width="15.28515625" style="2036" customWidth="1"/>
    <col min="13316" max="13568" width="9.140625" style="2036"/>
    <col min="13569" max="13569" width="78.42578125" style="2036" customWidth="1"/>
    <col min="13570" max="13570" width="7.42578125" style="2036" customWidth="1"/>
    <col min="13571" max="13571" width="15.28515625" style="2036" customWidth="1"/>
    <col min="13572" max="13824" width="9.140625" style="2036"/>
    <col min="13825" max="13825" width="78.42578125" style="2036" customWidth="1"/>
    <col min="13826" max="13826" width="7.42578125" style="2036" customWidth="1"/>
    <col min="13827" max="13827" width="15.28515625" style="2036" customWidth="1"/>
    <col min="13828" max="14080" width="9.140625" style="2036"/>
    <col min="14081" max="14081" width="78.42578125" style="2036" customWidth="1"/>
    <col min="14082" max="14082" width="7.42578125" style="2036" customWidth="1"/>
    <col min="14083" max="14083" width="15.28515625" style="2036" customWidth="1"/>
    <col min="14084" max="14336" width="9.140625" style="2036"/>
    <col min="14337" max="14337" width="78.42578125" style="2036" customWidth="1"/>
    <col min="14338" max="14338" width="7.42578125" style="2036" customWidth="1"/>
    <col min="14339" max="14339" width="15.28515625" style="2036" customWidth="1"/>
    <col min="14340" max="14592" width="9.140625" style="2036"/>
    <col min="14593" max="14593" width="78.42578125" style="2036" customWidth="1"/>
    <col min="14594" max="14594" width="7.42578125" style="2036" customWidth="1"/>
    <col min="14595" max="14595" width="15.28515625" style="2036" customWidth="1"/>
    <col min="14596" max="14848" width="9.140625" style="2036"/>
    <col min="14849" max="14849" width="78.42578125" style="2036" customWidth="1"/>
    <col min="14850" max="14850" width="7.42578125" style="2036" customWidth="1"/>
    <col min="14851" max="14851" width="15.28515625" style="2036" customWidth="1"/>
    <col min="14852" max="15104" width="9.140625" style="2036"/>
    <col min="15105" max="15105" width="78.42578125" style="2036" customWidth="1"/>
    <col min="15106" max="15106" width="7.42578125" style="2036" customWidth="1"/>
    <col min="15107" max="15107" width="15.28515625" style="2036" customWidth="1"/>
    <col min="15108" max="15360" width="9.140625" style="2036"/>
    <col min="15361" max="15361" width="78.42578125" style="2036" customWidth="1"/>
    <col min="15362" max="15362" width="7.42578125" style="2036" customWidth="1"/>
    <col min="15363" max="15363" width="15.28515625" style="2036" customWidth="1"/>
    <col min="15364" max="15616" width="9.140625" style="2036"/>
    <col min="15617" max="15617" width="78.42578125" style="2036" customWidth="1"/>
    <col min="15618" max="15618" width="7.42578125" style="2036" customWidth="1"/>
    <col min="15619" max="15619" width="15.28515625" style="2036" customWidth="1"/>
    <col min="15620" max="15872" width="9.140625" style="2036"/>
    <col min="15873" max="15873" width="78.42578125" style="2036" customWidth="1"/>
    <col min="15874" max="15874" width="7.42578125" style="2036" customWidth="1"/>
    <col min="15875" max="15875" width="15.28515625" style="2036" customWidth="1"/>
    <col min="15876" max="16128" width="9.140625" style="2036"/>
    <col min="16129" max="16129" width="78.42578125" style="2036" customWidth="1"/>
    <col min="16130" max="16130" width="7.42578125" style="2036" customWidth="1"/>
    <col min="16131" max="16131" width="15.28515625" style="2036" customWidth="1"/>
    <col min="16132" max="16384" width="9.140625" style="2036"/>
  </cols>
  <sheetData>
    <row r="1" spans="1:3" ht="15.75" x14ac:dyDescent="0.25">
      <c r="A1" s="2505" t="s">
        <v>2079</v>
      </c>
      <c r="B1" s="2505"/>
      <c r="C1" s="2505"/>
    </row>
    <row r="2" spans="1:3" ht="15.75" x14ac:dyDescent="0.25">
      <c r="A2" s="2505" t="s">
        <v>1057</v>
      </c>
      <c r="B2" s="2505"/>
      <c r="C2" s="2505"/>
    </row>
    <row r="3" spans="1:3" ht="15.75" x14ac:dyDescent="0.25">
      <c r="A3" s="2504" t="s">
        <v>2134</v>
      </c>
      <c r="B3" s="2504"/>
      <c r="C3" s="2504"/>
    </row>
    <row r="4" spans="1:3" ht="15.75" x14ac:dyDescent="0.25">
      <c r="A4" s="2037"/>
      <c r="B4" s="2037"/>
      <c r="C4" s="2037"/>
    </row>
    <row r="5" spans="1:3" ht="15.75" x14ac:dyDescent="0.25">
      <c r="A5" s="2038"/>
      <c r="B5" s="2038"/>
      <c r="C5" s="2038"/>
    </row>
    <row r="6" spans="1:3" ht="15.75" x14ac:dyDescent="0.25">
      <c r="A6" s="2038"/>
      <c r="B6" s="2038"/>
      <c r="C6" s="2038"/>
    </row>
    <row r="7" spans="1:3" ht="16.5" x14ac:dyDescent="0.25">
      <c r="A7" s="2039"/>
      <c r="B7" s="2039"/>
      <c r="C7" s="2040" t="s">
        <v>2080</v>
      </c>
    </row>
    <row r="8" spans="1:3" ht="16.5" x14ac:dyDescent="0.25">
      <c r="A8" s="2039"/>
      <c r="B8" s="2039"/>
      <c r="C8" s="2040"/>
    </row>
    <row r="9" spans="1:3" ht="16.5" x14ac:dyDescent="0.25">
      <c r="A9" s="2041" t="s">
        <v>2081</v>
      </c>
      <c r="B9" s="2039"/>
      <c r="C9" s="2042" t="s">
        <v>2082</v>
      </c>
    </row>
    <row r="10" spans="1:3" ht="16.5" x14ac:dyDescent="0.25">
      <c r="A10" s="2041"/>
      <c r="B10" s="2039"/>
      <c r="C10" s="2042"/>
    </row>
    <row r="11" spans="1:3" ht="16.5" x14ac:dyDescent="0.25">
      <c r="A11" s="2041" t="s">
        <v>2083</v>
      </c>
      <c r="B11" s="2043"/>
      <c r="C11" s="2042"/>
    </row>
    <row r="12" spans="1:3" ht="16.5" x14ac:dyDescent="0.25">
      <c r="A12" s="2041" t="s">
        <v>2084</v>
      </c>
      <c r="B12" s="2043"/>
      <c r="C12" s="2042"/>
    </row>
    <row r="13" spans="1:3" ht="16.5" x14ac:dyDescent="0.25">
      <c r="A13" s="2041" t="s">
        <v>2085</v>
      </c>
      <c r="B13" s="2043"/>
      <c r="C13" s="2042" t="s">
        <v>2086</v>
      </c>
    </row>
    <row r="14" spans="1:3" ht="16.5" x14ac:dyDescent="0.25">
      <c r="A14" s="2041"/>
      <c r="B14" s="2043"/>
      <c r="C14" s="2042"/>
    </row>
    <row r="15" spans="1:3" ht="16.5" x14ac:dyDescent="0.25">
      <c r="A15" s="2044" t="s">
        <v>2087</v>
      </c>
      <c r="B15" s="2043"/>
      <c r="C15" s="2042"/>
    </row>
    <row r="16" spans="1:3" ht="16.5" x14ac:dyDescent="0.25">
      <c r="A16" s="2041"/>
      <c r="B16" s="2043"/>
      <c r="C16" s="2042"/>
    </row>
    <row r="17" spans="1:3" ht="16.5" x14ac:dyDescent="0.25">
      <c r="A17" s="2041" t="s">
        <v>2088</v>
      </c>
      <c r="B17" s="2043"/>
      <c r="C17" s="2042"/>
    </row>
    <row r="18" spans="1:3" ht="16.5" x14ac:dyDescent="0.25">
      <c r="A18" s="2041" t="s">
        <v>2089</v>
      </c>
      <c r="B18" s="2043"/>
      <c r="C18" s="2042" t="s">
        <v>2090</v>
      </c>
    </row>
    <row r="19" spans="1:3" ht="16.5" x14ac:dyDescent="0.25">
      <c r="A19" s="2041"/>
      <c r="B19" s="2043"/>
      <c r="C19" s="2042"/>
    </row>
    <row r="20" spans="1:3" ht="16.5" x14ac:dyDescent="0.25">
      <c r="A20" s="2041" t="s">
        <v>2091</v>
      </c>
      <c r="B20" s="2043"/>
      <c r="C20" s="2042"/>
    </row>
    <row r="21" spans="1:3" ht="16.5" x14ac:dyDescent="0.25">
      <c r="A21" s="2041" t="s">
        <v>2092</v>
      </c>
      <c r="B21" s="2043"/>
      <c r="C21" s="2042" t="s">
        <v>2093</v>
      </c>
    </row>
    <row r="22" spans="1:3" ht="16.5" x14ac:dyDescent="0.25">
      <c r="A22" s="2041"/>
      <c r="B22" s="2043"/>
      <c r="C22" s="2042"/>
    </row>
    <row r="23" spans="1:3" ht="16.5" x14ac:dyDescent="0.25">
      <c r="A23" s="2041" t="s">
        <v>2094</v>
      </c>
      <c r="B23" s="2043"/>
      <c r="C23" s="2042" t="s">
        <v>2095</v>
      </c>
    </row>
    <row r="24" spans="1:3" ht="16.5" x14ac:dyDescent="0.25">
      <c r="A24" s="2041"/>
      <c r="B24" s="2043"/>
      <c r="C24" s="2042"/>
    </row>
    <row r="25" spans="1:3" ht="16.5" x14ac:dyDescent="0.25">
      <c r="A25" s="2041" t="s">
        <v>2096</v>
      </c>
      <c r="B25" s="2043"/>
      <c r="C25" s="2042" t="s">
        <v>2097</v>
      </c>
    </row>
    <row r="26" spans="1:3" ht="16.5" x14ac:dyDescent="0.25">
      <c r="A26" s="2041"/>
      <c r="B26" s="2043"/>
      <c r="C26" s="2042"/>
    </row>
    <row r="27" spans="1:3" ht="16.5" x14ac:dyDescent="0.25">
      <c r="A27" s="2041" t="s">
        <v>2098</v>
      </c>
      <c r="B27" s="2043"/>
      <c r="C27" s="2042" t="s">
        <v>2099</v>
      </c>
    </row>
    <row r="28" spans="1:3" ht="16.5" x14ac:dyDescent="0.25">
      <c r="A28" s="2041"/>
      <c r="B28" s="2043"/>
      <c r="C28" s="2042"/>
    </row>
    <row r="29" spans="1:3" ht="16.5" x14ac:dyDescent="0.25">
      <c r="A29" s="2044" t="s">
        <v>2100</v>
      </c>
      <c r="B29" s="2043"/>
      <c r="C29" s="2042"/>
    </row>
    <row r="30" spans="1:3" ht="16.5" x14ac:dyDescent="0.25">
      <c r="A30" s="2041"/>
      <c r="B30" s="2043"/>
      <c r="C30" s="2042"/>
    </row>
    <row r="31" spans="1:3" ht="16.5" x14ac:dyDescent="0.25">
      <c r="A31" s="2041" t="s">
        <v>2101</v>
      </c>
      <c r="B31" s="2043"/>
      <c r="C31" s="2042" t="s">
        <v>2102</v>
      </c>
    </row>
    <row r="32" spans="1:3" ht="16.5" x14ac:dyDescent="0.25">
      <c r="A32" s="2041"/>
      <c r="B32" s="2043"/>
      <c r="C32" s="2042"/>
    </row>
    <row r="33" spans="1:3" ht="16.5" x14ac:dyDescent="0.25">
      <c r="A33" s="2041" t="s">
        <v>2103</v>
      </c>
      <c r="B33" s="2043"/>
      <c r="C33" s="2042" t="s">
        <v>2104</v>
      </c>
    </row>
    <row r="34" spans="1:3" ht="16.5" x14ac:dyDescent="0.25">
      <c r="A34" s="2041"/>
      <c r="B34" s="2043"/>
      <c r="C34" s="2042"/>
    </row>
    <row r="35" spans="1:3" ht="16.5" x14ac:dyDescent="0.25">
      <c r="A35" s="2041" t="s">
        <v>2105</v>
      </c>
      <c r="B35" s="2043"/>
      <c r="C35" s="2042" t="s">
        <v>2106</v>
      </c>
    </row>
    <row r="36" spans="1:3" ht="16.5" x14ac:dyDescent="0.25">
      <c r="A36" s="2041"/>
      <c r="B36" s="2043"/>
      <c r="C36" s="2042"/>
    </row>
    <row r="37" spans="1:3" ht="16.5" x14ac:dyDescent="0.25">
      <c r="A37" s="2041" t="s">
        <v>2107</v>
      </c>
      <c r="B37" s="2045"/>
      <c r="C37" s="2042" t="s">
        <v>2108</v>
      </c>
    </row>
    <row r="38" spans="1:3" ht="16.5" x14ac:dyDescent="0.25">
      <c r="A38" s="2041"/>
      <c r="B38" s="2043"/>
      <c r="C38" s="2042"/>
    </row>
    <row r="39" spans="1:3" ht="16.5" x14ac:dyDescent="0.25">
      <c r="A39" s="2044" t="s">
        <v>2109</v>
      </c>
      <c r="B39" s="2043"/>
      <c r="C39" s="2046"/>
    </row>
    <row r="40" spans="1:3" ht="16.5" x14ac:dyDescent="0.25">
      <c r="A40" s="2041"/>
      <c r="B40" s="2043"/>
      <c r="C40" s="2046"/>
    </row>
    <row r="41" spans="1:3" ht="16.5" x14ac:dyDescent="0.25">
      <c r="A41" s="2041" t="s">
        <v>2110</v>
      </c>
      <c r="B41" s="2043"/>
      <c r="C41" s="2047" t="s">
        <v>2111</v>
      </c>
    </row>
    <row r="42" spans="1:3" ht="16.5" x14ac:dyDescent="0.25">
      <c r="A42" s="2041"/>
      <c r="B42" s="2043"/>
      <c r="C42" s="2046"/>
    </row>
    <row r="43" spans="1:3" ht="16.5" x14ac:dyDescent="0.25">
      <c r="A43" s="2041" t="s">
        <v>2112</v>
      </c>
      <c r="B43" s="2043"/>
      <c r="C43" s="2046"/>
    </row>
    <row r="44" spans="1:3" ht="16.5" x14ac:dyDescent="0.25">
      <c r="A44" s="2041" t="s">
        <v>2135</v>
      </c>
      <c r="B44" s="2043"/>
      <c r="C44" s="2047" t="s">
        <v>2113</v>
      </c>
    </row>
    <row r="48" spans="1:3" ht="15.75" x14ac:dyDescent="0.25">
      <c r="A48" s="2505" t="s">
        <v>2079</v>
      </c>
      <c r="B48" s="2505"/>
      <c r="C48" s="2505"/>
    </row>
    <row r="49" spans="1:3" ht="15.75" x14ac:dyDescent="0.25">
      <c r="A49" s="2505" t="s">
        <v>2114</v>
      </c>
      <c r="B49" s="2505"/>
      <c r="C49" s="2505"/>
    </row>
    <row r="50" spans="1:3" ht="15.75" x14ac:dyDescent="0.25">
      <c r="A50" s="2504" t="s">
        <v>2134</v>
      </c>
      <c r="B50" s="2504"/>
      <c r="C50" s="2504"/>
    </row>
    <row r="51" spans="1:3" ht="15.75" x14ac:dyDescent="0.25">
      <c r="A51" s="2037"/>
      <c r="B51" s="2037"/>
      <c r="C51" s="2037"/>
    </row>
    <row r="52" spans="1:3" ht="15.75" x14ac:dyDescent="0.25">
      <c r="A52" s="2038"/>
      <c r="B52" s="2038"/>
      <c r="C52" s="2038"/>
    </row>
    <row r="53" spans="1:3" ht="15.75" x14ac:dyDescent="0.25">
      <c r="A53" s="2038"/>
      <c r="B53" s="2038"/>
      <c r="C53" s="2038"/>
    </row>
    <row r="54" spans="1:3" ht="16.5" x14ac:dyDescent="0.25">
      <c r="A54" s="2039"/>
      <c r="B54" s="2039"/>
      <c r="C54" s="2040" t="s">
        <v>2080</v>
      </c>
    </row>
    <row r="55" spans="1:3" ht="16.5" x14ac:dyDescent="0.25">
      <c r="A55" s="2041"/>
      <c r="B55" s="2043"/>
      <c r="C55" s="2046"/>
    </row>
    <row r="56" spans="1:3" ht="16.5" x14ac:dyDescent="0.25">
      <c r="A56" s="2044" t="s">
        <v>2115</v>
      </c>
      <c r="B56" s="2043"/>
      <c r="C56" s="2046"/>
    </row>
    <row r="57" spans="1:3" ht="16.5" x14ac:dyDescent="0.25">
      <c r="A57" s="2041"/>
      <c r="B57" s="2043"/>
      <c r="C57" s="2046"/>
    </row>
    <row r="58" spans="1:3" ht="16.5" x14ac:dyDescent="0.25">
      <c r="A58" s="2041" t="s">
        <v>2116</v>
      </c>
      <c r="B58" s="2043"/>
      <c r="C58" s="2047" t="s">
        <v>2117</v>
      </c>
    </row>
    <row r="59" spans="1:3" ht="16.5" x14ac:dyDescent="0.25">
      <c r="A59" s="2041"/>
      <c r="B59" s="2043"/>
      <c r="C59" s="2047"/>
    </row>
    <row r="60" spans="1:3" ht="16.5" x14ac:dyDescent="0.25">
      <c r="A60" s="2041" t="s">
        <v>2118</v>
      </c>
      <c r="B60" s="2043"/>
      <c r="C60" s="2047" t="s">
        <v>2119</v>
      </c>
    </row>
    <row r="61" spans="1:3" ht="16.5" x14ac:dyDescent="0.25">
      <c r="A61" s="2041"/>
      <c r="B61" s="2043"/>
      <c r="C61" s="2047"/>
    </row>
    <row r="62" spans="1:3" ht="16.5" x14ac:dyDescent="0.25">
      <c r="A62" s="2041" t="s">
        <v>2120</v>
      </c>
      <c r="B62" s="2043"/>
      <c r="C62" s="2047" t="s">
        <v>2121</v>
      </c>
    </row>
    <row r="63" spans="1:3" ht="16.5" x14ac:dyDescent="0.25">
      <c r="A63" s="2041"/>
      <c r="B63" s="2043"/>
      <c r="C63" s="2046"/>
    </row>
    <row r="64" spans="1:3" ht="16.5" x14ac:dyDescent="0.25">
      <c r="A64" s="2041" t="s">
        <v>2122</v>
      </c>
      <c r="B64" s="2043"/>
      <c r="C64" s="2047" t="s">
        <v>2123</v>
      </c>
    </row>
    <row r="65" spans="1:3" ht="16.5" x14ac:dyDescent="0.25">
      <c r="A65" s="2041"/>
      <c r="B65" s="2043"/>
      <c r="C65" s="2046"/>
    </row>
    <row r="66" spans="1:3" ht="16.5" x14ac:dyDescent="0.25">
      <c r="A66" s="2041" t="s">
        <v>2124</v>
      </c>
      <c r="B66" s="2043"/>
      <c r="C66" s="2047" t="s">
        <v>2125</v>
      </c>
    </row>
    <row r="67" spans="1:3" ht="16.5" x14ac:dyDescent="0.25">
      <c r="A67" s="2041"/>
      <c r="B67" s="2043"/>
      <c r="C67" s="2046"/>
    </row>
    <row r="68" spans="1:3" ht="16.5" x14ac:dyDescent="0.25">
      <c r="A68" s="2041" t="s">
        <v>2126</v>
      </c>
      <c r="B68" s="2043"/>
      <c r="C68" s="2047" t="s">
        <v>2136</v>
      </c>
    </row>
    <row r="69" spans="1:3" ht="16.5" x14ac:dyDescent="0.25">
      <c r="A69" s="2041"/>
      <c r="B69" s="2043"/>
      <c r="C69" s="2046"/>
    </row>
    <row r="70" spans="1:3" ht="16.5" x14ac:dyDescent="0.25">
      <c r="A70" s="2041" t="s">
        <v>2127</v>
      </c>
      <c r="B70" s="2043"/>
      <c r="C70" s="2047">
        <v>60</v>
      </c>
    </row>
    <row r="71" spans="1:3" ht="16.5" x14ac:dyDescent="0.25">
      <c r="A71" s="2041"/>
      <c r="B71" s="2043"/>
      <c r="C71" s="2046"/>
    </row>
    <row r="72" spans="1:3" ht="16.5" x14ac:dyDescent="0.25">
      <c r="A72" s="2043" t="s">
        <v>2128</v>
      </c>
      <c r="B72" s="2048"/>
      <c r="C72" s="2047">
        <v>61</v>
      </c>
    </row>
    <row r="73" spans="1:3" ht="15.75" x14ac:dyDescent="0.25">
      <c r="A73" s="2048"/>
      <c r="B73" s="2048"/>
      <c r="C73" s="2049"/>
    </row>
    <row r="74" spans="1:3" ht="15.75" x14ac:dyDescent="0.25">
      <c r="A74" s="2048"/>
      <c r="B74" s="2048"/>
      <c r="C74" s="2049"/>
    </row>
    <row r="75" spans="1:3" ht="15" x14ac:dyDescent="0.25">
      <c r="A75" s="2050"/>
      <c r="B75" s="2050"/>
      <c r="C75" s="2051"/>
    </row>
    <row r="76" spans="1:3" ht="15" x14ac:dyDescent="0.25">
      <c r="A76" s="2052" t="s">
        <v>2129</v>
      </c>
    </row>
    <row r="77" spans="1:3" ht="15" x14ac:dyDescent="0.25">
      <c r="A77" s="2050" t="s">
        <v>2130</v>
      </c>
    </row>
    <row r="78" spans="1:3" ht="15" x14ac:dyDescent="0.25">
      <c r="A78" s="2050" t="s">
        <v>2131</v>
      </c>
    </row>
    <row r="79" spans="1:3" ht="15" x14ac:dyDescent="0.25">
      <c r="A79" s="2050" t="s">
        <v>2132</v>
      </c>
    </row>
    <row r="80" spans="1:3" ht="15" x14ac:dyDescent="0.25">
      <c r="A80" s="2050" t="s">
        <v>2133</v>
      </c>
    </row>
  </sheetData>
  <mergeCells count="6">
    <mergeCell ref="A50:C50"/>
    <mergeCell ref="A1:C1"/>
    <mergeCell ref="A2:C2"/>
    <mergeCell ref="A3:C3"/>
    <mergeCell ref="A48:C48"/>
    <mergeCell ref="A49:C49"/>
  </mergeCells>
  <printOptions horizontalCentered="1"/>
  <pageMargins left="1" right="0.75" top="1.25" bottom="0.75" header="1" footer="0.25"/>
  <pageSetup scale="86" fitToHeight="2" orientation="portrait" r:id="rId1"/>
  <rowBreaks count="1" manualBreakCount="1">
    <brk id="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0:F27"/>
  <sheetViews>
    <sheetView showGridLines="0" zoomScale="110" zoomScaleNormal="110" workbookViewId="0">
      <selection activeCell="D12" sqref="D12"/>
    </sheetView>
  </sheetViews>
  <sheetFormatPr defaultColWidth="9.140625" defaultRowHeight="12.75" x14ac:dyDescent="0.2"/>
  <cols>
    <col min="1" max="1" width="1.85546875" style="307" customWidth="1"/>
    <col min="2" max="2" width="23" style="307" customWidth="1"/>
    <col min="3" max="16384" width="9.140625" style="307"/>
  </cols>
  <sheetData>
    <row r="20" spans="1:6" x14ac:dyDescent="0.2">
      <c r="B20" s="850"/>
      <c r="C20" s="850"/>
      <c r="D20" s="850"/>
      <c r="E20" s="850"/>
      <c r="F20" s="850"/>
    </row>
    <row r="22" spans="1:6" x14ac:dyDescent="0.2">
      <c r="A22" s="851" t="s">
        <v>1476</v>
      </c>
    </row>
    <row r="24" spans="1:6" x14ac:dyDescent="0.2">
      <c r="A24" s="366" t="s">
        <v>852</v>
      </c>
    </row>
    <row r="25" spans="1:6" s="850" customFormat="1" ht="45" customHeight="1" x14ac:dyDescent="0.2">
      <c r="A25" s="852"/>
      <c r="B25" s="852" t="s">
        <v>1973</v>
      </c>
    </row>
    <row r="26" spans="1:6" ht="6" customHeight="1" x14ac:dyDescent="0.2"/>
    <row r="27" spans="1:6" ht="24.75" customHeight="1" x14ac:dyDescent="0.2">
      <c r="A27" s="2506" t="s">
        <v>1665</v>
      </c>
      <c r="B27" s="2506"/>
    </row>
  </sheetData>
  <sheetProtection selectLockedCells="1"/>
  <mergeCells count="1">
    <mergeCell ref="A27:B27"/>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11</xdr:row>
                <xdr:rowOff>0</xdr:rowOff>
              </from>
              <to>
                <xdr:col>1</xdr:col>
                <xdr:colOff>914400</xdr:colOff>
                <xdr:row>15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91CF2-2ACC-4689-896B-7B8E5D683B56}">
  <dimension ref="A1:I53"/>
  <sheetViews>
    <sheetView zoomScale="150" zoomScaleNormal="150" zoomScaleSheetLayoutView="100" workbookViewId="0">
      <selection activeCell="A50" sqref="A50"/>
    </sheetView>
  </sheetViews>
  <sheetFormatPr defaultColWidth="8.85546875" defaultRowHeight="15" x14ac:dyDescent="0.25"/>
  <cols>
    <col min="1" max="1" width="30.140625" style="2054" bestFit="1" customWidth="1"/>
    <col min="2" max="2" width="2.85546875" style="2054" customWidth="1"/>
    <col min="3" max="3" width="11.140625" style="2054" bestFit="1" customWidth="1"/>
    <col min="4" max="4" width="2.85546875" style="2054" customWidth="1"/>
    <col min="5" max="5" width="12.140625" style="2054" bestFit="1" customWidth="1"/>
    <col min="6" max="6" width="2.85546875" style="2054" customWidth="1"/>
    <col min="7" max="7" width="12.85546875" style="2054" bestFit="1" customWidth="1"/>
    <col min="8" max="8" width="2.85546875" style="2054" customWidth="1"/>
    <col min="9" max="9" width="11.85546875" style="2054" bestFit="1" customWidth="1"/>
    <col min="10" max="16384" width="8.85546875" style="2054"/>
  </cols>
  <sheetData>
    <row r="1" spans="1:9" x14ac:dyDescent="0.25">
      <c r="A1" s="2507" t="s">
        <v>2079</v>
      </c>
      <c r="B1" s="2507"/>
      <c r="C1" s="2507"/>
      <c r="D1" s="2507"/>
      <c r="E1" s="2507"/>
      <c r="F1" s="2507"/>
      <c r="G1" s="2507"/>
      <c r="H1" s="2507"/>
      <c r="I1" s="2507"/>
    </row>
    <row r="2" spans="1:9" x14ac:dyDescent="0.25">
      <c r="A2" s="2507" t="s">
        <v>2148</v>
      </c>
      <c r="B2" s="2507"/>
      <c r="C2" s="2507"/>
      <c r="D2" s="2507"/>
      <c r="E2" s="2507"/>
      <c r="F2" s="2507"/>
      <c r="G2" s="2507"/>
      <c r="H2" s="2507"/>
      <c r="I2" s="2507"/>
    </row>
    <row r="3" spans="1:9" x14ac:dyDescent="0.25">
      <c r="A3" s="2507" t="s">
        <v>2149</v>
      </c>
      <c r="B3" s="2507"/>
      <c r="C3" s="2507"/>
      <c r="D3" s="2507"/>
      <c r="E3" s="2507"/>
      <c r="F3" s="2507"/>
      <c r="G3" s="2507"/>
      <c r="H3" s="2507"/>
      <c r="I3" s="2507"/>
    </row>
    <row r="4" spans="1:9" x14ac:dyDescent="0.25">
      <c r="A4" s="2508" t="s">
        <v>2150</v>
      </c>
      <c r="B4" s="2508"/>
      <c r="C4" s="2508"/>
      <c r="D4" s="2508"/>
      <c r="E4" s="2508"/>
      <c r="F4" s="2508"/>
      <c r="G4" s="2508"/>
      <c r="H4" s="2508"/>
      <c r="I4" s="2508"/>
    </row>
    <row r="5" spans="1:9" x14ac:dyDescent="0.25">
      <c r="A5" s="2507"/>
      <c r="B5" s="2507"/>
      <c r="C5" s="2507"/>
      <c r="D5" s="2507"/>
      <c r="E5" s="2507"/>
      <c r="F5" s="2507"/>
      <c r="G5" s="2507"/>
      <c r="H5" s="2507"/>
      <c r="I5" s="2507"/>
    </row>
    <row r="6" spans="1:9" x14ac:dyDescent="0.25">
      <c r="A6" s="2055"/>
      <c r="B6" s="2055"/>
      <c r="C6" s="2056"/>
      <c r="D6" s="2056"/>
      <c r="E6" s="2056"/>
      <c r="F6" s="2056"/>
      <c r="G6" s="2056"/>
      <c r="H6" s="2056"/>
      <c r="I6" s="2056"/>
    </row>
    <row r="7" spans="1:9" x14ac:dyDescent="0.25">
      <c r="A7" s="2055"/>
      <c r="B7" s="2055"/>
      <c r="C7" s="2056" t="s">
        <v>2151</v>
      </c>
      <c r="D7" s="2056"/>
      <c r="E7" s="2056"/>
      <c r="F7" s="2056"/>
      <c r="G7" s="2056"/>
      <c r="H7" s="2056"/>
      <c r="I7" s="2056" t="s">
        <v>2151</v>
      </c>
    </row>
    <row r="8" spans="1:9" x14ac:dyDescent="0.25">
      <c r="A8" s="2055"/>
      <c r="B8" s="2055"/>
      <c r="C8" s="2057">
        <v>43647</v>
      </c>
      <c r="D8" s="2056"/>
      <c r="E8" s="2058" t="s">
        <v>2152</v>
      </c>
      <c r="F8" s="2056"/>
      <c r="G8" s="2058" t="s">
        <v>2153</v>
      </c>
      <c r="H8" s="2056"/>
      <c r="I8" s="2057">
        <v>44012</v>
      </c>
    </row>
    <row r="9" spans="1:9" x14ac:dyDescent="0.25">
      <c r="A9" s="2055"/>
      <c r="B9" s="2055"/>
      <c r="C9" s="2055"/>
      <c r="D9" s="2055"/>
      <c r="E9" s="2055"/>
      <c r="F9" s="2055"/>
      <c r="G9" s="2055"/>
      <c r="H9" s="2055"/>
      <c r="I9" s="2055"/>
    </row>
    <row r="10" spans="1:9" x14ac:dyDescent="0.25">
      <c r="A10" s="2059" t="s">
        <v>2154</v>
      </c>
      <c r="B10" s="2060"/>
      <c r="C10" s="2060"/>
      <c r="D10" s="2060"/>
      <c r="E10" s="2060"/>
      <c r="F10" s="2060"/>
      <c r="G10" s="2060"/>
      <c r="H10" s="2060"/>
      <c r="I10" s="2060"/>
    </row>
    <row r="11" spans="1:9" x14ac:dyDescent="0.25">
      <c r="A11" s="2060"/>
      <c r="B11" s="2060"/>
      <c r="C11" s="2061"/>
      <c r="D11" s="2061"/>
      <c r="E11" s="2061"/>
      <c r="F11" s="2061"/>
      <c r="G11" s="2061"/>
      <c r="H11" s="2061"/>
      <c r="I11" s="2061"/>
    </row>
    <row r="12" spans="1:9" ht="15.75" thickBot="1" x14ac:dyDescent="0.3">
      <c r="A12" s="2062" t="s">
        <v>2155</v>
      </c>
      <c r="B12" s="2060"/>
      <c r="C12" s="2063">
        <v>87790.97</v>
      </c>
      <c r="D12" s="2064"/>
      <c r="E12" s="2063">
        <f>SUM(E17:E46)</f>
        <v>76994.539999999994</v>
      </c>
      <c r="F12" s="2064"/>
      <c r="G12" s="2063">
        <f>SUM(G17:G46)</f>
        <v>-75861.08</v>
      </c>
      <c r="H12" s="2064"/>
      <c r="I12" s="2063">
        <f>SUM(C12:G12)</f>
        <v>88924.430000000008</v>
      </c>
    </row>
    <row r="13" spans="1:9" ht="15.75" thickTop="1" x14ac:dyDescent="0.25">
      <c r="A13" s="2060"/>
      <c r="B13" s="2060"/>
      <c r="C13" s="2060"/>
      <c r="D13" s="2060"/>
      <c r="E13" s="2060"/>
      <c r="F13" s="2060"/>
      <c r="G13" s="2060"/>
      <c r="H13" s="2060"/>
      <c r="I13" s="2060"/>
    </row>
    <row r="14" spans="1:9" x14ac:dyDescent="0.25">
      <c r="A14" s="2059" t="s">
        <v>2156</v>
      </c>
      <c r="B14" s="2060"/>
      <c r="C14" s="2060"/>
      <c r="D14" s="2060"/>
      <c r="E14" s="2060"/>
      <c r="F14" s="2060"/>
      <c r="G14" s="2060"/>
      <c r="H14" s="2060"/>
      <c r="I14" s="2060"/>
    </row>
    <row r="16" spans="1:9" x14ac:dyDescent="0.25">
      <c r="A16" s="2062" t="s">
        <v>2157</v>
      </c>
      <c r="B16" s="2060"/>
      <c r="C16" s="2060"/>
      <c r="D16" s="2060"/>
      <c r="E16" s="2060"/>
      <c r="F16" s="2060"/>
      <c r="G16" s="2060"/>
      <c r="H16" s="2060"/>
      <c r="I16" s="2060"/>
    </row>
    <row r="17" spans="1:9" x14ac:dyDescent="0.25">
      <c r="A17" s="2062" t="s">
        <v>2158</v>
      </c>
      <c r="B17" s="2060"/>
      <c r="C17" s="2065">
        <v>9.1</v>
      </c>
      <c r="D17" s="2066"/>
      <c r="E17" s="2065">
        <v>10498.82</v>
      </c>
      <c r="F17" s="2066"/>
      <c r="G17" s="2065">
        <v>-2610.4699999999998</v>
      </c>
      <c r="H17" s="2066"/>
      <c r="I17" s="2065">
        <f>SUM(C17:G17)</f>
        <v>7897.4500000000007</v>
      </c>
    </row>
    <row r="18" spans="1:9" x14ac:dyDescent="0.25">
      <c r="A18" s="2062" t="s">
        <v>2159</v>
      </c>
      <c r="B18" s="2060"/>
      <c r="C18" s="2067">
        <v>5348.81</v>
      </c>
      <c r="D18" s="2068"/>
      <c r="E18" s="2067">
        <v>15046.2</v>
      </c>
      <c r="F18" s="2068"/>
      <c r="G18" s="2067">
        <v>-12651.16</v>
      </c>
      <c r="H18" s="2068"/>
      <c r="I18" s="2067">
        <f>SUM(C18:G18)</f>
        <v>7743.8500000000022</v>
      </c>
    </row>
    <row r="19" spans="1:9" x14ac:dyDescent="0.25">
      <c r="A19" s="2062" t="s">
        <v>2160</v>
      </c>
      <c r="B19" s="2060"/>
      <c r="C19" s="2067">
        <v>3025.44</v>
      </c>
      <c r="D19" s="2068"/>
      <c r="E19" s="2067">
        <v>2452.8000000000002</v>
      </c>
      <c r="F19" s="2068"/>
      <c r="G19" s="2067">
        <v>-3326.17</v>
      </c>
      <c r="H19" s="2068"/>
      <c r="I19" s="2067">
        <f t="shared" ref="I19:I46" si="0">SUM(C19:G19)</f>
        <v>2152.0699999999997</v>
      </c>
    </row>
    <row r="20" spans="1:9" x14ac:dyDescent="0.25">
      <c r="A20" s="2062" t="s">
        <v>2161</v>
      </c>
      <c r="B20" s="2060"/>
      <c r="C20" s="2067">
        <v>1126.8</v>
      </c>
      <c r="D20" s="2068"/>
      <c r="E20" s="2067">
        <v>1632.01</v>
      </c>
      <c r="F20" s="2068"/>
      <c r="G20" s="2067">
        <v>-1958.4</v>
      </c>
      <c r="H20" s="2068"/>
      <c r="I20" s="2067">
        <f t="shared" si="0"/>
        <v>800.40999999999985</v>
      </c>
    </row>
    <row r="21" spans="1:9" x14ac:dyDescent="0.25">
      <c r="A21" s="2062" t="s">
        <v>2162</v>
      </c>
      <c r="B21" s="2060"/>
      <c r="C21" s="2067">
        <v>1351.72</v>
      </c>
      <c r="D21" s="2068"/>
      <c r="E21" s="2067">
        <v>550</v>
      </c>
      <c r="F21" s="2068"/>
      <c r="G21" s="2067">
        <v>-795.41</v>
      </c>
      <c r="H21" s="2068"/>
      <c r="I21" s="2067">
        <f t="shared" si="0"/>
        <v>1106.31</v>
      </c>
    </row>
    <row r="22" spans="1:9" x14ac:dyDescent="0.25">
      <c r="A22" s="2062" t="s">
        <v>2163</v>
      </c>
      <c r="B22" s="2060"/>
      <c r="C22" s="2067">
        <v>5440.5</v>
      </c>
      <c r="D22" s="2068"/>
      <c r="E22" s="2067">
        <v>14145.42</v>
      </c>
      <c r="F22" s="2068"/>
      <c r="G22" s="2067">
        <v>-12151.73</v>
      </c>
      <c r="H22" s="2068"/>
      <c r="I22" s="2067">
        <f t="shared" si="0"/>
        <v>7434.1899999999987</v>
      </c>
    </row>
    <row r="23" spans="1:9" x14ac:dyDescent="0.25">
      <c r="A23" s="2062" t="s">
        <v>2164</v>
      </c>
      <c r="B23" s="2060"/>
      <c r="C23" s="2067">
        <v>1217.74</v>
      </c>
      <c r="D23" s="2068"/>
      <c r="E23" s="2067">
        <v>1833.31</v>
      </c>
      <c r="F23" s="2068"/>
      <c r="G23" s="2067">
        <v>-1865.93</v>
      </c>
      <c r="H23" s="2068"/>
      <c r="I23" s="2067">
        <f t="shared" si="0"/>
        <v>1185.1200000000001</v>
      </c>
    </row>
    <row r="24" spans="1:9" x14ac:dyDescent="0.25">
      <c r="A24" s="2062" t="s">
        <v>2165</v>
      </c>
      <c r="B24" s="2060"/>
      <c r="C24" s="2067">
        <v>4128.62</v>
      </c>
      <c r="D24" s="2068"/>
      <c r="E24" s="2067">
        <v>5575.65</v>
      </c>
      <c r="F24" s="2068"/>
      <c r="G24" s="2067">
        <v>-4445.97</v>
      </c>
      <c r="H24" s="2068"/>
      <c r="I24" s="2067">
        <f t="shared" si="0"/>
        <v>5258.3</v>
      </c>
    </row>
    <row r="25" spans="1:9" x14ac:dyDescent="0.25">
      <c r="A25" s="2062" t="s">
        <v>2166</v>
      </c>
      <c r="B25" s="2060"/>
      <c r="C25" s="2067">
        <v>1881.26</v>
      </c>
      <c r="D25" s="2068"/>
      <c r="E25" s="2067">
        <v>2511.75</v>
      </c>
      <c r="F25" s="2068"/>
      <c r="G25" s="2067">
        <v>-1970.27</v>
      </c>
      <c r="H25" s="2068"/>
      <c r="I25" s="2067">
        <f t="shared" si="0"/>
        <v>2422.7400000000002</v>
      </c>
    </row>
    <row r="26" spans="1:9" x14ac:dyDescent="0.25">
      <c r="A26" s="2062" t="s">
        <v>2167</v>
      </c>
      <c r="B26" s="2060"/>
      <c r="C26" s="2067">
        <v>206.51</v>
      </c>
      <c r="D26" s="2068"/>
      <c r="E26" s="2067">
        <v>0</v>
      </c>
      <c r="F26" s="2068"/>
      <c r="G26" s="2067">
        <v>0</v>
      </c>
      <c r="H26" s="2068"/>
      <c r="I26" s="2067">
        <f t="shared" si="0"/>
        <v>206.51</v>
      </c>
    </row>
    <row r="27" spans="1:9" x14ac:dyDescent="0.25">
      <c r="A27" s="2062" t="s">
        <v>2168</v>
      </c>
      <c r="B27" s="2060"/>
      <c r="C27" s="2067">
        <v>93.57</v>
      </c>
      <c r="D27" s="2068"/>
      <c r="E27" s="2067">
        <v>0</v>
      </c>
      <c r="F27" s="2068"/>
      <c r="G27" s="2067">
        <v>0</v>
      </c>
      <c r="H27" s="2068"/>
      <c r="I27" s="2067">
        <f t="shared" si="0"/>
        <v>93.57</v>
      </c>
    </row>
    <row r="28" spans="1:9" x14ac:dyDescent="0.25">
      <c r="A28" s="2062" t="s">
        <v>2169</v>
      </c>
      <c r="B28" s="2060"/>
      <c r="C28" s="2067">
        <v>114.35</v>
      </c>
      <c r="D28" s="2068"/>
      <c r="E28" s="2067">
        <v>0</v>
      </c>
      <c r="F28" s="2068"/>
      <c r="G28" s="2067">
        <v>0</v>
      </c>
      <c r="H28" s="2068"/>
      <c r="I28" s="2067">
        <f t="shared" si="0"/>
        <v>114.35</v>
      </c>
    </row>
    <row r="29" spans="1:9" x14ac:dyDescent="0.25">
      <c r="A29" s="2062" t="s">
        <v>2170</v>
      </c>
      <c r="B29" s="2060"/>
      <c r="C29" s="2067">
        <v>718.7</v>
      </c>
      <c r="D29" s="2068"/>
      <c r="E29" s="2067">
        <v>0</v>
      </c>
      <c r="F29" s="2068"/>
      <c r="G29" s="2067">
        <v>0</v>
      </c>
      <c r="H29" s="2068"/>
      <c r="I29" s="2067">
        <f t="shared" si="0"/>
        <v>718.7</v>
      </c>
    </row>
    <row r="30" spans="1:9" x14ac:dyDescent="0.25">
      <c r="A30" s="2062" t="s">
        <v>2171</v>
      </c>
      <c r="B30" s="2060"/>
      <c r="C30" s="2067">
        <v>4961.07</v>
      </c>
      <c r="D30" s="2068"/>
      <c r="E30" s="2067">
        <v>3551</v>
      </c>
      <c r="F30" s="2068"/>
      <c r="G30" s="2067">
        <v>-2596.5500000000002</v>
      </c>
      <c r="H30" s="2068"/>
      <c r="I30" s="2067">
        <f t="shared" si="0"/>
        <v>5915.5199999999995</v>
      </c>
    </row>
    <row r="31" spans="1:9" x14ac:dyDescent="0.25">
      <c r="A31" s="2062" t="s">
        <v>2172</v>
      </c>
      <c r="B31" s="2060"/>
      <c r="C31" s="2067">
        <v>484.31</v>
      </c>
      <c r="D31" s="2068"/>
      <c r="E31" s="2067">
        <v>0</v>
      </c>
      <c r="F31" s="2068"/>
      <c r="G31" s="2067">
        <v>-212</v>
      </c>
      <c r="H31" s="2068"/>
      <c r="I31" s="2067">
        <f t="shared" si="0"/>
        <v>272.31</v>
      </c>
    </row>
    <row r="32" spans="1:9" x14ac:dyDescent="0.25">
      <c r="A32" s="2062" t="s">
        <v>2173</v>
      </c>
      <c r="B32" s="2060"/>
      <c r="C32" s="2067">
        <v>904</v>
      </c>
      <c r="D32" s="2068"/>
      <c r="E32" s="2067">
        <v>0</v>
      </c>
      <c r="F32" s="2068"/>
      <c r="G32" s="2067">
        <v>-250</v>
      </c>
      <c r="H32" s="2068"/>
      <c r="I32" s="2067">
        <f t="shared" si="0"/>
        <v>654</v>
      </c>
    </row>
    <row r="33" spans="1:9" x14ac:dyDescent="0.25">
      <c r="A33" s="2062" t="s">
        <v>2174</v>
      </c>
      <c r="B33" s="2060"/>
      <c r="C33" s="2067">
        <v>5662.03</v>
      </c>
      <c r="D33" s="2068"/>
      <c r="E33" s="2067">
        <v>62</v>
      </c>
      <c r="F33" s="2068"/>
      <c r="G33" s="2067">
        <v>-869.32</v>
      </c>
      <c r="H33" s="2068"/>
      <c r="I33" s="2067">
        <f t="shared" si="0"/>
        <v>4854.71</v>
      </c>
    </row>
    <row r="34" spans="1:9" x14ac:dyDescent="0.25">
      <c r="A34" s="2062" t="s">
        <v>2175</v>
      </c>
      <c r="B34" s="2060"/>
      <c r="C34" s="2067">
        <v>305.5</v>
      </c>
      <c r="D34" s="2068"/>
      <c r="E34" s="2067">
        <v>909.55</v>
      </c>
      <c r="F34" s="2068"/>
      <c r="G34" s="2067">
        <v>-459.55</v>
      </c>
      <c r="H34" s="2068"/>
      <c r="I34" s="2067">
        <f t="shared" si="0"/>
        <v>755.5</v>
      </c>
    </row>
    <row r="35" spans="1:9" x14ac:dyDescent="0.25">
      <c r="A35" s="2062" t="s">
        <v>2176</v>
      </c>
      <c r="B35" s="2060"/>
      <c r="C35" s="2067">
        <v>238.73</v>
      </c>
      <c r="D35" s="2068"/>
      <c r="E35" s="2067">
        <v>198.38</v>
      </c>
      <c r="F35" s="2068"/>
      <c r="G35" s="2067">
        <v>-295.06</v>
      </c>
      <c r="H35" s="2068"/>
      <c r="I35" s="2067">
        <f t="shared" si="0"/>
        <v>142.05000000000001</v>
      </c>
    </row>
    <row r="36" spans="1:9" x14ac:dyDescent="0.25">
      <c r="A36" s="2062" t="s">
        <v>2177</v>
      </c>
      <c r="B36" s="2060"/>
      <c r="C36" s="2067">
        <v>238.95</v>
      </c>
      <c r="D36" s="2068"/>
      <c r="E36" s="2067">
        <v>0</v>
      </c>
      <c r="F36" s="2068"/>
      <c r="G36" s="2067">
        <v>0</v>
      </c>
      <c r="H36" s="2068"/>
      <c r="I36" s="2067">
        <f>+C36+E36+G36</f>
        <v>238.95</v>
      </c>
    </row>
    <row r="37" spans="1:9" x14ac:dyDescent="0.25">
      <c r="A37" s="2062" t="s">
        <v>2178</v>
      </c>
      <c r="B37" s="2060"/>
      <c r="C37" s="2067">
        <v>264.72000000000003</v>
      </c>
      <c r="D37" s="2068"/>
      <c r="E37" s="2067">
        <v>402.05</v>
      </c>
      <c r="F37" s="2068"/>
      <c r="G37" s="2067">
        <v>-198.42</v>
      </c>
      <c r="H37" s="2068"/>
      <c r="I37" s="2067">
        <f t="shared" si="0"/>
        <v>468.35</v>
      </c>
    </row>
    <row r="38" spans="1:9" x14ac:dyDescent="0.25">
      <c r="A38" s="2062" t="s">
        <v>2179</v>
      </c>
      <c r="B38" s="2060"/>
      <c r="C38" s="2067">
        <v>5947</v>
      </c>
      <c r="D38" s="2068"/>
      <c r="E38" s="2067">
        <v>8177</v>
      </c>
      <c r="F38" s="2068"/>
      <c r="G38" s="2067">
        <v>-9209.16</v>
      </c>
      <c r="H38" s="2068"/>
      <c r="I38" s="2067">
        <f t="shared" si="0"/>
        <v>4914.84</v>
      </c>
    </row>
    <row r="39" spans="1:9" x14ac:dyDescent="0.25">
      <c r="A39" s="2062" t="s">
        <v>2180</v>
      </c>
      <c r="B39" s="2060"/>
      <c r="C39" s="2067">
        <v>960.08</v>
      </c>
      <c r="D39" s="2068"/>
      <c r="E39" s="2067">
        <v>2801.5</v>
      </c>
      <c r="F39" s="2068"/>
      <c r="G39" s="2067">
        <v>-3689.33</v>
      </c>
      <c r="H39" s="2068"/>
      <c r="I39" s="2067">
        <f t="shared" si="0"/>
        <v>72.25</v>
      </c>
    </row>
    <row r="40" spans="1:9" x14ac:dyDescent="0.25">
      <c r="A40" s="2062" t="s">
        <v>2181</v>
      </c>
      <c r="B40" s="2060"/>
      <c r="C40" s="2067">
        <v>1.34</v>
      </c>
      <c r="D40" s="2068"/>
      <c r="E40" s="2067">
        <v>0</v>
      </c>
      <c r="F40" s="2068"/>
      <c r="G40" s="2067">
        <v>0</v>
      </c>
      <c r="H40" s="2068"/>
      <c r="I40" s="2067">
        <f t="shared" si="0"/>
        <v>1.34</v>
      </c>
    </row>
    <row r="41" spans="1:9" x14ac:dyDescent="0.25">
      <c r="A41" s="2062" t="s">
        <v>2182</v>
      </c>
      <c r="B41" s="2060"/>
      <c r="C41" s="2067">
        <v>1840.65</v>
      </c>
      <c r="D41" s="2068"/>
      <c r="E41" s="2067">
        <v>824.7</v>
      </c>
      <c r="F41" s="2068"/>
      <c r="G41" s="2067">
        <v>0</v>
      </c>
      <c r="H41" s="2068"/>
      <c r="I41" s="2067">
        <f t="shared" si="0"/>
        <v>2665.3500000000004</v>
      </c>
    </row>
    <row r="42" spans="1:9" x14ac:dyDescent="0.25">
      <c r="A42" s="2062" t="s">
        <v>2183</v>
      </c>
      <c r="B42" s="2060"/>
      <c r="C42" s="2067">
        <v>266.45999999999998</v>
      </c>
      <c r="D42" s="2068"/>
      <c r="E42" s="2067">
        <v>0</v>
      </c>
      <c r="F42" s="2068"/>
      <c r="G42" s="2067">
        <v>-98</v>
      </c>
      <c r="H42" s="2068"/>
      <c r="I42" s="2067">
        <f t="shared" si="0"/>
        <v>168.45999999999998</v>
      </c>
    </row>
    <row r="43" spans="1:9" x14ac:dyDescent="0.25">
      <c r="A43" s="2062" t="s">
        <v>2184</v>
      </c>
      <c r="B43" s="2060"/>
      <c r="C43" s="2069">
        <v>3909.47</v>
      </c>
      <c r="D43" s="2068"/>
      <c r="E43" s="2067">
        <v>0</v>
      </c>
      <c r="F43" s="2068"/>
      <c r="G43" s="2067">
        <v>-1963.36</v>
      </c>
      <c r="H43" s="2068"/>
      <c r="I43" s="2067">
        <f t="shared" si="0"/>
        <v>1946.11</v>
      </c>
    </row>
    <row r="44" spans="1:9" x14ac:dyDescent="0.25">
      <c r="A44" s="2062" t="s">
        <v>2185</v>
      </c>
      <c r="B44" s="2060"/>
      <c r="C44" s="2067">
        <v>23402.37</v>
      </c>
      <c r="D44" s="2068"/>
      <c r="E44" s="2067">
        <v>0</v>
      </c>
      <c r="F44" s="2068"/>
      <c r="G44" s="2067">
        <v>-976.62</v>
      </c>
      <c r="H44" s="2068"/>
      <c r="I44" s="2067">
        <f t="shared" si="0"/>
        <v>22425.75</v>
      </c>
    </row>
    <row r="45" spans="1:9" x14ac:dyDescent="0.25">
      <c r="A45" s="2062" t="s">
        <v>2189</v>
      </c>
      <c r="B45" s="2060"/>
      <c r="C45" s="2067">
        <v>3194.21</v>
      </c>
      <c r="D45" s="2068"/>
      <c r="E45" s="2067"/>
      <c r="F45" s="2068"/>
      <c r="G45" s="2067">
        <v>-280.86</v>
      </c>
      <c r="H45" s="2068"/>
      <c r="I45" s="2067">
        <f t="shared" si="0"/>
        <v>2913.35</v>
      </c>
    </row>
    <row r="46" spans="1:9" x14ac:dyDescent="0.25">
      <c r="A46" s="2062" t="s">
        <v>2186</v>
      </c>
      <c r="B46" s="2060"/>
      <c r="C46" s="2070">
        <v>10546.96</v>
      </c>
      <c r="D46" s="2068"/>
      <c r="E46" s="2070">
        <v>5822.4</v>
      </c>
      <c r="F46" s="2068"/>
      <c r="G46" s="2070">
        <v>-12987.34</v>
      </c>
      <c r="H46" s="2068"/>
      <c r="I46" s="2070">
        <f t="shared" si="0"/>
        <v>3382.0199999999986</v>
      </c>
    </row>
    <row r="47" spans="1:9" x14ac:dyDescent="0.25">
      <c r="A47" s="2060"/>
      <c r="B47" s="2060"/>
      <c r="C47" s="2071"/>
      <c r="D47" s="2066"/>
      <c r="E47" s="2071"/>
      <c r="F47" s="2066"/>
      <c r="G47" s="2071"/>
      <c r="H47" s="2066"/>
      <c r="I47" s="2071"/>
    </row>
    <row r="48" spans="1:9" ht="15.75" thickBot="1" x14ac:dyDescent="0.3">
      <c r="A48" s="2062" t="s">
        <v>2187</v>
      </c>
      <c r="B48" s="2060"/>
      <c r="C48" s="2072">
        <f>SUM(C17:C46)</f>
        <v>87790.97</v>
      </c>
      <c r="D48" s="2073"/>
      <c r="E48" s="2072">
        <f>SUM(E17:E46)</f>
        <v>76994.539999999994</v>
      </c>
      <c r="F48" s="2073"/>
      <c r="G48" s="2072">
        <f>SUM(G17:G46)</f>
        <v>-75861.08</v>
      </c>
      <c r="H48" s="2073"/>
      <c r="I48" s="2072">
        <f>SUM(I17:I46)</f>
        <v>88924.43</v>
      </c>
    </row>
    <row r="49" spans="1:9" ht="15.75" thickTop="1" x14ac:dyDescent="0.25">
      <c r="A49" s="2055"/>
      <c r="B49" s="2055"/>
      <c r="C49" s="2055"/>
      <c r="D49" s="2055"/>
      <c r="E49" s="2055"/>
      <c r="F49" s="2055"/>
      <c r="G49" s="2055"/>
      <c r="H49" s="2055"/>
      <c r="I49" s="2055"/>
    </row>
    <row r="50" spans="1:9" x14ac:dyDescent="0.25">
      <c r="A50" s="2055"/>
      <c r="B50" s="2055"/>
      <c r="C50" s="2055"/>
      <c r="D50" s="2055"/>
      <c r="E50" s="2055"/>
      <c r="F50" s="2055"/>
      <c r="G50" s="2055"/>
      <c r="H50" s="2055"/>
      <c r="I50" s="2055"/>
    </row>
    <row r="51" spans="1:9" x14ac:dyDescent="0.25">
      <c r="A51" s="2055"/>
      <c r="B51" s="2055"/>
      <c r="C51" s="2055"/>
      <c r="D51" s="2055"/>
      <c r="E51" s="2055"/>
      <c r="F51" s="2055"/>
      <c r="G51" s="2055"/>
      <c r="H51" s="2055"/>
      <c r="I51" s="2055"/>
    </row>
    <row r="52" spans="1:9" x14ac:dyDescent="0.25">
      <c r="A52" s="2055"/>
      <c r="B52" s="2055"/>
      <c r="C52" s="2055"/>
      <c r="D52" s="2055"/>
      <c r="E52" s="2055"/>
      <c r="F52" s="2055"/>
      <c r="G52" s="2055"/>
      <c r="H52" s="2055"/>
      <c r="I52" s="2055"/>
    </row>
    <row r="53" spans="1:9" x14ac:dyDescent="0.25">
      <c r="A53" s="2055"/>
      <c r="B53" s="2055"/>
      <c r="C53" s="2055"/>
      <c r="D53" s="2055"/>
      <c r="E53" s="2055"/>
      <c r="F53" s="2055"/>
      <c r="G53" s="2055"/>
      <c r="H53" s="2055"/>
      <c r="I53" s="2055"/>
    </row>
  </sheetData>
  <mergeCells count="5">
    <mergeCell ref="A1:I1"/>
    <mergeCell ref="A2:I2"/>
    <mergeCell ref="A3:I3"/>
    <mergeCell ref="A4:I4"/>
    <mergeCell ref="A5:I5"/>
  </mergeCells>
  <printOptions horizontalCentered="1"/>
  <pageMargins left="1" right="0.75" top="1" bottom="0.75" header="1" footer="0.5"/>
  <pageSetup scale="87" orientation="portrait" r:id="rId1"/>
  <headerFooter>
    <oddFooter>&amp;CReference should be made to auditor's report regarding this information.
57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9" t="s">
        <v>1669</v>
      </c>
      <c r="B1" s="2510"/>
      <c r="C1" s="2510"/>
      <c r="D1" s="2510"/>
      <c r="E1" s="2510"/>
      <c r="F1" s="2511"/>
    </row>
    <row r="2" spans="1:8" ht="45" customHeight="1" x14ac:dyDescent="0.2">
      <c r="A2" s="251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0"/>
      <c r="C2" s="2520"/>
      <c r="D2" s="2520"/>
      <c r="E2" s="2520"/>
      <c r="F2" s="2521"/>
      <c r="G2" s="853"/>
      <c r="H2" s="853"/>
    </row>
    <row r="3" spans="1:8" ht="57" customHeight="1" x14ac:dyDescent="0.2">
      <c r="A3" s="2522" t="s">
        <v>1972</v>
      </c>
      <c r="B3" s="2523"/>
      <c r="C3" s="2523"/>
      <c r="D3" s="2523"/>
      <c r="E3" s="2523"/>
      <c r="F3" s="2524"/>
      <c r="G3" s="853"/>
      <c r="H3" s="853"/>
    </row>
    <row r="4" spans="1:8" ht="14.25" customHeight="1" x14ac:dyDescent="0.2">
      <c r="A4" s="252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9"/>
      <c r="C4" s="2529"/>
      <c r="D4" s="2529"/>
      <c r="E4" s="2529"/>
      <c r="F4" s="2530"/>
      <c r="G4" s="853"/>
      <c r="H4" s="853"/>
    </row>
    <row r="5" spans="1:8" ht="14.25" customHeight="1" x14ac:dyDescent="0.2">
      <c r="A5" s="253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2"/>
      <c r="C5" s="2532"/>
      <c r="D5" s="2532"/>
      <c r="E5" s="2532"/>
      <c r="F5" s="2533"/>
      <c r="G5" s="853"/>
      <c r="H5" s="853"/>
    </row>
    <row r="6" spans="1:8" s="854" customFormat="1" ht="41.25" customHeight="1" x14ac:dyDescent="0.2">
      <c r="A6" s="2525" t="s">
        <v>1670</v>
      </c>
      <c r="B6" s="2526"/>
      <c r="C6" s="2526"/>
      <c r="D6" s="2526"/>
      <c r="E6" s="2526"/>
      <c r="F6" s="252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3169652</v>
      </c>
      <c r="C8" s="1813">
        <f>'Acct Summary 7-8'!D8</f>
        <v>314280</v>
      </c>
      <c r="D8" s="1813">
        <f>'Acct Summary 7-8'!F8</f>
        <v>200800</v>
      </c>
      <c r="E8" s="1813">
        <f>'Acct Summary 7-8'!I8</f>
        <v>24000</v>
      </c>
      <c r="F8" s="1813">
        <f>SUM(B8:E8)</f>
        <v>3708732</v>
      </c>
    </row>
    <row r="9" spans="1:8" s="858" customFormat="1" ht="14.25" customHeight="1" thickBot="1" x14ac:dyDescent="0.25">
      <c r="A9" s="857" t="s">
        <v>1353</v>
      </c>
      <c r="B9" s="1814">
        <f>'Acct Summary 7-8'!C17</f>
        <v>2833249</v>
      </c>
      <c r="C9" s="1814">
        <f>'Acct Summary 7-8'!D17</f>
        <v>272428</v>
      </c>
      <c r="D9" s="1814">
        <f>'Acct Summary 7-8'!F17</f>
        <v>204259</v>
      </c>
      <c r="E9" s="1813"/>
      <c r="F9" s="1813">
        <f>SUM(B9:E9)</f>
        <v>3309936</v>
      </c>
    </row>
    <row r="10" spans="1:8" s="858" customFormat="1" ht="14.25" thickTop="1" thickBot="1" x14ac:dyDescent="0.25">
      <c r="A10" s="859" t="s">
        <v>1354</v>
      </c>
      <c r="B10" s="1815">
        <f>(B8-B9)</f>
        <v>336403</v>
      </c>
      <c r="C10" s="1815">
        <f>(C8-C9)</f>
        <v>41852</v>
      </c>
      <c r="D10" s="1815">
        <f>(D8-D9)</f>
        <v>-3459</v>
      </c>
      <c r="E10" s="1814">
        <f>(E8-E9)</f>
        <v>24000</v>
      </c>
      <c r="F10" s="1816">
        <f>SUM(F8-F9)</f>
        <v>398796</v>
      </c>
    </row>
    <row r="11" spans="1:8" s="858" customFormat="1" ht="14.25" thickTop="1" thickBot="1" x14ac:dyDescent="0.25">
      <c r="A11" s="860" t="s">
        <v>1903</v>
      </c>
      <c r="B11" s="1817">
        <f>'Acct Summary 7-8'!C81</f>
        <v>895820</v>
      </c>
      <c r="C11" s="1817">
        <f>'Acct Summary 7-8'!D81</f>
        <v>75488</v>
      </c>
      <c r="D11" s="1817">
        <f>'Acct Summary 7-8'!F81</f>
        <v>180592</v>
      </c>
      <c r="E11" s="1817">
        <f>'Acct Summary 7-8'!I81</f>
        <v>279649</v>
      </c>
      <c r="F11" s="1818">
        <f>SUM(B11:E11)</f>
        <v>1431549</v>
      </c>
    </row>
    <row r="12" spans="1:8" ht="16.5" customHeight="1" thickTop="1" x14ac:dyDescent="0.2">
      <c r="A12" s="861"/>
      <c r="B12" s="862"/>
      <c r="C12" s="2513" t="str">
        <f>IF(AND(F10&lt;0,F11&gt;=0,ABS(F10*3)&gt;ABS(F11)),A16,IF(AND(F10&lt;0,F11&gt;0,ABS(F10*3)&lt;=ABS(F11)),A17,IF(AND(F10&lt;0,F11&lt;0),A16,IF(F11=0,A19,A18))))</f>
        <v>Balanced - no deficit reduction plan is required.</v>
      </c>
      <c r="D12" s="2514"/>
      <c r="E12" s="2514"/>
      <c r="F12" s="2515"/>
    </row>
    <row r="13" spans="1:8" ht="19.5" customHeight="1" x14ac:dyDescent="0.2">
      <c r="A13" s="863"/>
      <c r="B13" s="864"/>
      <c r="C13" s="2513"/>
      <c r="D13" s="2514"/>
      <c r="E13" s="2514"/>
      <c r="F13" s="2515"/>
      <c r="H13" s="853"/>
    </row>
    <row r="14" spans="1:8" ht="19.5" customHeight="1" x14ac:dyDescent="0.2">
      <c r="A14" s="863"/>
      <c r="B14" s="864"/>
      <c r="C14" s="2513"/>
      <c r="D14" s="2514"/>
      <c r="E14" s="2514"/>
      <c r="F14" s="2515"/>
      <c r="H14" s="853"/>
    </row>
    <row r="15" spans="1:8" ht="17.25" customHeight="1" x14ac:dyDescent="0.2">
      <c r="A15" s="863"/>
      <c r="B15" s="864"/>
      <c r="C15" s="2516"/>
      <c r="D15" s="2517"/>
      <c r="E15" s="2517"/>
      <c r="F15" s="2518"/>
      <c r="H15" s="853"/>
    </row>
    <row r="16" spans="1:8" s="288" customFormat="1" ht="51.75" hidden="1" customHeight="1" x14ac:dyDescent="0.2">
      <c r="A16" s="2512" t="s">
        <v>1666</v>
      </c>
      <c r="B16" s="2512"/>
      <c r="C16" s="2512"/>
      <c r="D16" s="2512"/>
      <c r="E16" s="251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4" t="s">
        <v>660</v>
      </c>
      <c r="B3" s="2535"/>
      <c r="C3" s="2535"/>
      <c r="D3" s="253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5" t="s">
        <v>1487</v>
      </c>
      <c r="D7" s="254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37" t="s">
        <v>1001</v>
      </c>
      <c r="B15" s="2538"/>
      <c r="C15" s="2538"/>
      <c r="D15" s="2539"/>
    </row>
    <row r="16" spans="1:4" s="542" customFormat="1" ht="24" customHeight="1" x14ac:dyDescent="0.2">
      <c r="A16" s="2540" t="s">
        <v>658</v>
      </c>
      <c r="B16" s="2541"/>
      <c r="C16" s="2541"/>
      <c r="D16" s="254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9" t="s">
        <v>311</v>
      </c>
      <c r="D21" s="2550"/>
    </row>
    <row r="22" spans="1:10" ht="12.75" x14ac:dyDescent="0.2">
      <c r="A22" s="918"/>
      <c r="B22" s="919">
        <v>2</v>
      </c>
      <c r="C22" s="2547" t="s">
        <v>1507</v>
      </c>
      <c r="D22" s="254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1" t="s">
        <v>533</v>
      </c>
      <c r="D43" s="255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3" t="s">
        <v>779</v>
      </c>
      <c r="D56" s="254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43" t="s">
        <v>1674</v>
      </c>
      <c r="D70" s="254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3011001026</v>
      </c>
      <c r="E2" s="1542">
        <v>2020</v>
      </c>
      <c r="F2" s="1542">
        <v>1</v>
      </c>
      <c r="G2" s="1898">
        <v>101000300</v>
      </c>
    </row>
    <row r="3" spans="1:7" ht="15" x14ac:dyDescent="0.25">
      <c r="A3" t="s">
        <v>950</v>
      </c>
      <c r="B3" s="135" t="str">
        <f>COVER!A15</f>
        <v>Christian/Montgomery</v>
      </c>
      <c r="E3" s="1830" t="s">
        <v>1971</v>
      </c>
      <c r="F3" s="1830" t="s">
        <v>1970</v>
      </c>
      <c r="G3" s="1898">
        <v>101000400</v>
      </c>
    </row>
    <row r="4" spans="1:7" ht="15" x14ac:dyDescent="0.25">
      <c r="A4" t="s">
        <v>1000</v>
      </c>
      <c r="B4" s="135" t="str">
        <f>COVER!A17</f>
        <v xml:space="preserve"> Morrisonville CUSD 1</v>
      </c>
      <c r="E4" s="1828">
        <v>44119</v>
      </c>
      <c r="F4" s="1829">
        <v>44151</v>
      </c>
      <c r="G4" s="1898">
        <v>101000600</v>
      </c>
    </row>
    <row r="5" spans="1:7" ht="15" x14ac:dyDescent="0.25">
      <c r="A5" t="s">
        <v>699</v>
      </c>
      <c r="B5" s="135" t="str">
        <f>COVER!A38</f>
        <v>Dave Meister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066-003847</v>
      </c>
      <c r="G15" s="1898">
        <v>402100400</v>
      </c>
    </row>
    <row r="16" spans="1:7" ht="15" x14ac:dyDescent="0.25">
      <c r="A16" t="s">
        <v>419</v>
      </c>
      <c r="B16" s="135" t="str">
        <f>COVER!T13</f>
        <v>LMHN, Ltd.</v>
      </c>
      <c r="G16" s="1898">
        <v>402100600</v>
      </c>
    </row>
    <row r="17" spans="1:7" ht="15" x14ac:dyDescent="0.25">
      <c r="A17" t="s">
        <v>878</v>
      </c>
      <c r="B17" s="135" t="str">
        <f>COVER!T15</f>
        <v>M. Adam Mathias</v>
      </c>
      <c r="G17" s="1898">
        <v>402100800</v>
      </c>
    </row>
    <row r="18" spans="1:7" ht="15" x14ac:dyDescent="0.25">
      <c r="A18" t="s">
        <v>1140</v>
      </c>
      <c r="B18" s="135" t="str">
        <f>COVER!T17</f>
        <v>900 N Webster St - PO Box 87</v>
      </c>
      <c r="G18" s="1898">
        <v>102200300</v>
      </c>
    </row>
    <row r="19" spans="1:7" ht="15" x14ac:dyDescent="0.25">
      <c r="A19" t="s">
        <v>880</v>
      </c>
      <c r="B19" s="135" t="str">
        <f>COVER!T25</f>
        <v>lmhncpas@outlook.com</v>
      </c>
      <c r="G19" s="1898">
        <v>102200400</v>
      </c>
    </row>
    <row r="20" spans="1:7" ht="15" x14ac:dyDescent="0.25">
      <c r="A20" t="s">
        <v>881</v>
      </c>
      <c r="B20" s="135" t="str">
        <f>COVER!T19</f>
        <v>Taylorville</v>
      </c>
      <c r="G20" s="1898">
        <v>102200600</v>
      </c>
    </row>
    <row r="21" spans="1:7" ht="15" x14ac:dyDescent="0.25">
      <c r="A21" t="s">
        <v>476</v>
      </c>
      <c r="B21" s="135" t="str">
        <f>COVER!X19</f>
        <v>IL</v>
      </c>
      <c r="G21" s="1898">
        <v>102200800</v>
      </c>
    </row>
    <row r="22" spans="1:7" ht="15" x14ac:dyDescent="0.25">
      <c r="A22" t="s">
        <v>882</v>
      </c>
      <c r="B22" s="135">
        <f>COVER!Z19</f>
        <v>62568</v>
      </c>
      <c r="G22" s="1898">
        <v>102300300</v>
      </c>
    </row>
    <row r="23" spans="1:7" ht="15" x14ac:dyDescent="0.25">
      <c r="A23" t="s">
        <v>1142</v>
      </c>
      <c r="B23" s="135" t="str">
        <f>COVER!T21</f>
        <v>217-824-9661</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319409</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895820</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895820</v>
      </c>
      <c r="D92" s="2" t="str">
        <f t="shared" si="0"/>
        <v>Error?</v>
      </c>
      <c r="G92" s="1898">
        <v>102640600</v>
      </c>
    </row>
    <row r="93" spans="1:7" ht="15" x14ac:dyDescent="0.25">
      <c r="A93" s="5">
        <v>32</v>
      </c>
      <c r="B93" s="1832">
        <f>'Assets-Liab 5-6'!C41</f>
        <v>895820</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75488</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75488</v>
      </c>
      <c r="D123" s="2" t="str">
        <f t="shared" si="0"/>
        <v>Error?</v>
      </c>
      <c r="G123" s="1898">
        <v>203000400</v>
      </c>
    </row>
    <row r="124" spans="1:7" ht="15" x14ac:dyDescent="0.25">
      <c r="A124" s="5">
        <v>63</v>
      </c>
      <c r="B124" s="1832">
        <f>'Assets-Liab 5-6'!D41</f>
        <v>75488</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19453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19453</v>
      </c>
      <c r="D140" s="2" t="str">
        <f t="shared" si="1"/>
        <v>Error?</v>
      </c>
    </row>
    <row r="141" spans="1:7" x14ac:dyDescent="0.2">
      <c r="A141" s="5">
        <v>80</v>
      </c>
      <c r="B141" s="1832">
        <f>'Assets-Liab 5-6'!E41</f>
        <v>19453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139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180592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180592</v>
      </c>
      <c r="D170" s="2" t="str">
        <f t="shared" si="1"/>
        <v>Error?</v>
      </c>
    </row>
    <row r="171" spans="1:4" x14ac:dyDescent="0.2">
      <c r="A171" s="5">
        <v>110</v>
      </c>
      <c r="B171" s="1832">
        <f>'Assets-Liab 5-6'!F41</f>
        <v>180592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193</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88748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26756</v>
      </c>
      <c r="D189" s="2" t="str">
        <f t="shared" si="1"/>
        <v>Error?</v>
      </c>
    </row>
    <row r="190" spans="1:4" x14ac:dyDescent="0.2">
      <c r="A190" s="5">
        <v>129</v>
      </c>
      <c r="B190" s="1832">
        <f>'Assets-Liab 5-6'!G41</f>
        <v>88748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169672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169672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78982</v>
      </c>
      <c r="D273" s="2" t="str">
        <f t="shared" si="3"/>
        <v>Error?</v>
      </c>
    </row>
    <row r="274" spans="1:4" x14ac:dyDescent="0.2">
      <c r="A274" s="5">
        <v>213</v>
      </c>
      <c r="B274" s="1832">
        <f>'Assets-Liab 5-6'!M17</f>
        <v>5395610</v>
      </c>
      <c r="D274" s="2" t="str">
        <f t="shared" si="3"/>
        <v>Error?</v>
      </c>
    </row>
    <row r="275" spans="1:4" x14ac:dyDescent="0.2">
      <c r="A275" s="5">
        <v>214</v>
      </c>
      <c r="B275" s="1832">
        <f>'Assets-Liab 5-6'!M18</f>
        <v>177198</v>
      </c>
      <c r="D275" s="2" t="str">
        <f t="shared" si="3"/>
        <v>Error?</v>
      </c>
    </row>
    <row r="276" spans="1:4" x14ac:dyDescent="0.2">
      <c r="A276" s="5">
        <v>215</v>
      </c>
      <c r="B276" s="1832">
        <f>'Assets-Liab 5-6'!M19</f>
        <v>775761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6429751</v>
      </c>
      <c r="C279" s="2" t="s">
        <v>569</v>
      </c>
      <c r="D279" s="2" t="str">
        <f t="shared" si="3"/>
        <v>Error?</v>
      </c>
    </row>
    <row r="280" spans="1:4" x14ac:dyDescent="0.2">
      <c r="A280" s="5">
        <v>219</v>
      </c>
      <c r="B280" s="1832">
        <f>'Assets-Liab 5-6'!M40</f>
        <v>6429751</v>
      </c>
      <c r="D280" s="2" t="str">
        <f t="shared" si="3"/>
        <v>Error?</v>
      </c>
    </row>
    <row r="281" spans="1:4" x14ac:dyDescent="0.2">
      <c r="A281" s="5">
        <v>220</v>
      </c>
      <c r="B281" s="1832">
        <f>'Assets-Liab 5-6'!M41</f>
        <v>6429751</v>
      </c>
      <c r="C281" s="2" t="s">
        <v>569</v>
      </c>
      <c r="D281" s="2" t="str">
        <f t="shared" si="3"/>
        <v>Error?</v>
      </c>
    </row>
    <row r="282" spans="1:4" x14ac:dyDescent="0.2">
      <c r="A282" s="5">
        <v>221</v>
      </c>
      <c r="B282" s="1832">
        <f>'Assets-Liab 5-6'!N21</f>
        <v>19453</v>
      </c>
      <c r="D282" s="2" t="str">
        <f t="shared" si="3"/>
        <v>Error?</v>
      </c>
    </row>
    <row r="283" spans="1:4" x14ac:dyDescent="0.2">
      <c r="A283" s="5">
        <v>222</v>
      </c>
      <c r="B283" s="1832">
        <f>'Assets-Liab 5-6'!N22</f>
        <v>1408276</v>
      </c>
      <c r="D283" s="2" t="str">
        <f t="shared" si="3"/>
        <v>Error?</v>
      </c>
    </row>
    <row r="284" spans="1:4" x14ac:dyDescent="0.2">
      <c r="A284" s="5">
        <v>223</v>
      </c>
      <c r="B284" s="1832">
        <f>'Assets-Liab 5-6'!N23</f>
        <v>1427729</v>
      </c>
      <c r="C284" s="2" t="s">
        <v>569</v>
      </c>
      <c r="D284" s="2" t="str">
        <f t="shared" si="3"/>
        <v>Error?</v>
      </c>
    </row>
    <row r="285" spans="1:4" x14ac:dyDescent="0.2">
      <c r="A285" s="5">
        <v>224</v>
      </c>
      <c r="B285" s="1832">
        <f>'Assets-Liab 5-6'!N36</f>
        <v>1427729</v>
      </c>
      <c r="D285" s="2" t="str">
        <f t="shared" si="3"/>
        <v>Error?</v>
      </c>
    </row>
    <row r="286" spans="1:4" x14ac:dyDescent="0.2">
      <c r="A286" s="10">
        <v>225</v>
      </c>
      <c r="B286" s="1832"/>
      <c r="D286" s="2" t="str">
        <f t="shared" si="3"/>
        <v>OK</v>
      </c>
    </row>
    <row r="287" spans="1:4" x14ac:dyDescent="0.2">
      <c r="A287" s="5">
        <v>226</v>
      </c>
      <c r="B287" s="1832">
        <f>'Assets-Liab 5-6'!N37</f>
        <v>1427729</v>
      </c>
      <c r="C287" s="2" t="s">
        <v>569</v>
      </c>
      <c r="D287" s="2" t="str">
        <f t="shared" si="3"/>
        <v>Error?</v>
      </c>
    </row>
    <row r="288" spans="1:4" x14ac:dyDescent="0.2">
      <c r="A288" s="5">
        <v>227</v>
      </c>
      <c r="B288" s="1832">
        <f>'Assets-Liab 5-6'!N41</f>
        <v>1427729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1164535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111123</v>
      </c>
      <c r="D717" s="2" t="str">
        <f t="shared" si="10"/>
        <v>Error?</v>
      </c>
    </row>
    <row r="718" spans="1:4" x14ac:dyDescent="0.2">
      <c r="A718" s="5">
        <v>657</v>
      </c>
      <c r="B718" s="1832">
        <f>'Expenditures 15-22'!C14</f>
        <v>48353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1485698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47839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47839</v>
      </c>
      <c r="C727" s="2" t="s">
        <v>569</v>
      </c>
      <c r="D727" s="2" t="str">
        <f t="shared" si="10"/>
        <v>Error?</v>
      </c>
    </row>
    <row r="728" spans="1:4" x14ac:dyDescent="0.2">
      <c r="A728" s="5">
        <v>667</v>
      </c>
      <c r="B728" s="1832">
        <f>'Expenditures 15-22'!C44</f>
        <v>80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80</v>
      </c>
      <c r="C731" s="2" t="s">
        <v>569</v>
      </c>
      <c r="D731" s="2" t="str">
        <f t="shared" si="10"/>
        <v>Error?</v>
      </c>
    </row>
    <row r="732" spans="1:4" x14ac:dyDescent="0.2">
      <c r="A732" s="5">
        <v>671</v>
      </c>
      <c r="B732" s="1832">
        <f>'Expenditures 15-22'!C49</f>
        <v>298</v>
      </c>
      <c r="D732" s="2" t="str">
        <f t="shared" si="10"/>
        <v>Error?</v>
      </c>
    </row>
    <row r="733" spans="1:4" x14ac:dyDescent="0.2">
      <c r="A733" s="5">
        <v>672</v>
      </c>
      <c r="B733" s="1832">
        <f>'Expenditures 15-22'!C50</f>
        <v>80500</v>
      </c>
      <c r="D733" s="2" t="str">
        <f t="shared" si="10"/>
        <v>Error?</v>
      </c>
    </row>
    <row r="734" spans="1:4" x14ac:dyDescent="0.2">
      <c r="A734" s="5">
        <v>673</v>
      </c>
      <c r="B734" s="1832">
        <f>'Expenditures 15-22'!C53</f>
        <v>80798</v>
      </c>
      <c r="C734" s="2" t="s">
        <v>569</v>
      </c>
      <c r="D734" s="2" t="str">
        <f t="shared" si="10"/>
        <v>Error?</v>
      </c>
    </row>
    <row r="735" spans="1:4" x14ac:dyDescent="0.2">
      <c r="A735" s="5">
        <v>674</v>
      </c>
      <c r="B735" s="1832">
        <f>'Expenditures 15-22'!C55</f>
        <v>112651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112651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31218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12230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43448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284816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1770514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210604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16869</v>
      </c>
      <c r="D775" s="2" t="str">
        <f t="shared" si="11"/>
        <v>Error?</v>
      </c>
    </row>
    <row r="776" spans="1:4" x14ac:dyDescent="0.2">
      <c r="A776" s="5">
        <v>715</v>
      </c>
      <c r="B776" s="1832">
        <f>'Expenditures 15-22'!D14</f>
        <v>299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264154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8306</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8306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4</v>
      </c>
      <c r="D790" s="2" t="str">
        <f t="shared" si="11"/>
        <v>Error?</v>
      </c>
    </row>
    <row r="791" spans="1:4" x14ac:dyDescent="0.2">
      <c r="A791" s="5">
        <v>730</v>
      </c>
      <c r="B791" s="1832">
        <f>'Expenditures 15-22'!D50</f>
        <v>1759</v>
      </c>
      <c r="D791" s="2" t="str">
        <f t="shared" si="11"/>
        <v>Error?</v>
      </c>
    </row>
    <row r="792" spans="1:4" x14ac:dyDescent="0.2">
      <c r="A792" s="5">
        <v>731</v>
      </c>
      <c r="B792" s="1832">
        <f>'Expenditures 15-22'!D53</f>
        <v>1763</v>
      </c>
      <c r="C792" s="2" t="s">
        <v>569</v>
      </c>
      <c r="D792" s="2" t="str">
        <f t="shared" si="11"/>
        <v>Error?</v>
      </c>
    </row>
    <row r="793" spans="1:4" x14ac:dyDescent="0.2">
      <c r="A793" s="5">
        <v>732</v>
      </c>
      <c r="B793" s="1832">
        <f>'Expenditures 15-22'!D55</f>
        <v>16440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16440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7512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7707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34216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298370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17105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274</v>
      </c>
      <c r="D833" s="2" t="str">
        <f t="shared" si="12"/>
        <v>Error?</v>
      </c>
    </row>
    <row r="834" spans="1:4" x14ac:dyDescent="0.2">
      <c r="A834" s="5">
        <v>773</v>
      </c>
      <c r="B834" s="1832">
        <f>'Expenditures 15-22'!E14</f>
        <v>12561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35776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2043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2043</v>
      </c>
      <c r="C843" s="2" t="s">
        <v>569</v>
      </c>
      <c r="D843" s="2" t="str">
        <f t="shared" si="12"/>
        <v>Error?</v>
      </c>
    </row>
    <row r="844" spans="1:4" x14ac:dyDescent="0.2">
      <c r="A844" s="5">
        <v>783</v>
      </c>
      <c r="B844" s="1832">
        <f>'Expenditures 15-22'!E44</f>
        <v>3555</v>
      </c>
      <c r="D844" s="2" t="str">
        <f t="shared" si="12"/>
        <v>Error?</v>
      </c>
    </row>
    <row r="845" spans="1:4" x14ac:dyDescent="0.2">
      <c r="A845" s="5">
        <v>784</v>
      </c>
      <c r="B845" s="1832">
        <f>'Expenditures 15-22'!E45</f>
        <v>63219</v>
      </c>
      <c r="D845" s="2" t="str">
        <f t="shared" si="12"/>
        <v>Error?</v>
      </c>
    </row>
    <row r="846" spans="1:4" x14ac:dyDescent="0.2">
      <c r="A846" s="5">
        <v>785</v>
      </c>
      <c r="B846" s="1832">
        <f>'Expenditures 15-22'!E46</f>
        <v>3563</v>
      </c>
      <c r="D846" s="2" t="str">
        <f t="shared" si="12"/>
        <v>Error?</v>
      </c>
    </row>
    <row r="847" spans="1:4" x14ac:dyDescent="0.2">
      <c r="A847" s="5">
        <v>786</v>
      </c>
      <c r="B847" s="1832">
        <f>'Expenditures 15-22'!E47</f>
        <v>70337</v>
      </c>
      <c r="C847" s="2" t="s">
        <v>569</v>
      </c>
      <c r="D847" s="2" t="str">
        <f t="shared" si="12"/>
        <v>Error?</v>
      </c>
    </row>
    <row r="848" spans="1:4" x14ac:dyDescent="0.2">
      <c r="A848" s="5">
        <v>787</v>
      </c>
      <c r="B848" s="1832">
        <f>'Expenditures 15-22'!E49</f>
        <v>15793</v>
      </c>
      <c r="D848" s="2" t="str">
        <f t="shared" si="12"/>
        <v>Error?</v>
      </c>
    </row>
    <row r="849" spans="1:4" x14ac:dyDescent="0.2">
      <c r="A849" s="5">
        <v>788</v>
      </c>
      <c r="B849" s="1832">
        <f>'Expenditures 15-22'!E50</f>
        <v>1030</v>
      </c>
      <c r="D849" s="2" t="str">
        <f t="shared" si="12"/>
        <v>Error?</v>
      </c>
    </row>
    <row r="850" spans="1:4" x14ac:dyDescent="0.2">
      <c r="A850" s="5">
        <v>789</v>
      </c>
      <c r="B850" s="1832">
        <f>'Expenditures 15-22'!E53</f>
        <v>16823</v>
      </c>
      <c r="C850" s="2" t="s">
        <v>569</v>
      </c>
      <c r="D850" s="2" t="str">
        <f t="shared" si="12"/>
        <v>Error?</v>
      </c>
    </row>
    <row r="851" spans="1:4" x14ac:dyDescent="0.2">
      <c r="A851" s="5">
        <v>790</v>
      </c>
      <c r="B851" s="1832">
        <f>'Expenditures 15-22'!E55</f>
        <v>2835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2835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3925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95909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99834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191872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227648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33136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6770</v>
      </c>
      <c r="D891" s="2" t="str">
        <f t="shared" si="12"/>
        <v>Error?</v>
      </c>
    </row>
    <row r="892" spans="1:4" x14ac:dyDescent="0.2">
      <c r="A892" s="5">
        <v>831</v>
      </c>
      <c r="B892" s="1832">
        <f>'Expenditures 15-22'!F14</f>
        <v>2126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49946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16</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v>
      </c>
      <c r="C901" s="2" t="s">
        <v>569</v>
      </c>
      <c r="D901" s="2" t="str">
        <f t="shared" si="13"/>
        <v>Error?</v>
      </c>
    </row>
    <row r="902" spans="1:4" x14ac:dyDescent="0.2">
      <c r="A902" s="5">
        <v>841</v>
      </c>
      <c r="B902" s="1832">
        <f>'Expenditures 15-22'!F44</f>
        <v>30259</v>
      </c>
      <c r="D902" s="2" t="str">
        <f t="shared" si="13"/>
        <v>Error?</v>
      </c>
    </row>
    <row r="903" spans="1:4" x14ac:dyDescent="0.2">
      <c r="A903" s="5">
        <v>842</v>
      </c>
      <c r="B903" s="1832">
        <f>'Expenditures 15-22'!F45</f>
        <v>993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31252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1479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1479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1549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3431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4980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37727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87673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11600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710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24766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11797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11797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3601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3601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15398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40164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391</v>
      </c>
      <c r="D1007" s="2" t="str">
        <f t="shared" si="14"/>
        <v>Error?</v>
      </c>
    </row>
    <row r="1008" spans="1:4" x14ac:dyDescent="0.2">
      <c r="A1008" s="5">
        <v>947</v>
      </c>
      <c r="B1008" s="1832">
        <f>'Expenditures 15-22'!H14</f>
        <v>1785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175241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1752</v>
      </c>
      <c r="D1022" s="2" t="str">
        <f t="shared" si="14"/>
        <v>Error?</v>
      </c>
    </row>
    <row r="1023" spans="1:4" x14ac:dyDescent="0.2">
      <c r="A1023" s="5">
        <v>962</v>
      </c>
      <c r="B1023" s="1832">
        <f>'Expenditures 15-22'!H50</f>
        <v>945</v>
      </c>
      <c r="D1023" s="2" t="str">
        <f t="shared" ref="D1023:D1086" si="15">IF(ISBLANK(B1023),"OK",IF(A1023-B1023=0,"OK","Error?"))</f>
        <v>Error?</v>
      </c>
    </row>
    <row r="1024" spans="1:4" x14ac:dyDescent="0.2">
      <c r="A1024" s="5">
        <v>963</v>
      </c>
      <c r="B1024" s="1832">
        <f>'Expenditures 15-22'!H53</f>
        <v>2697</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2697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230942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408880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1436980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136137</v>
      </c>
      <c r="C1105" s="2" t="s">
        <v>569</v>
      </c>
      <c r="D1105" s="2" t="str">
        <f t="shared" si="16"/>
        <v>Error?</v>
      </c>
    </row>
    <row r="1106" spans="1:4" x14ac:dyDescent="0.2">
      <c r="A1106" s="5">
        <v>1045</v>
      </c>
      <c r="B1106" s="1832">
        <f>'Expenditures 15-22'!K14</f>
        <v>65124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2035581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56161</v>
      </c>
      <c r="C1110" s="2" t="s">
        <v>569</v>
      </c>
      <c r="D1110" s="2" t="str">
        <f t="shared" si="16"/>
        <v>Error?</v>
      </c>
    </row>
    <row r="1111" spans="1:4" x14ac:dyDescent="0.2">
      <c r="A1111" s="5">
        <v>1050</v>
      </c>
      <c r="B1111" s="1832">
        <f>'Expenditures 15-22'!K38</f>
        <v>2043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58204</v>
      </c>
      <c r="C1115" s="2" t="s">
        <v>569</v>
      </c>
      <c r="D1115" s="2" t="str">
        <f t="shared" si="16"/>
        <v>Error?</v>
      </c>
    </row>
    <row r="1116" spans="1:4" x14ac:dyDescent="0.2">
      <c r="A1116" s="5">
        <v>1055</v>
      </c>
      <c r="B1116" s="1832">
        <f>'Expenditures 15-22'!K44</f>
        <v>33894</v>
      </c>
      <c r="C1116" s="2" t="s">
        <v>569</v>
      </c>
      <c r="D1116" s="2" t="str">
        <f t="shared" si="16"/>
        <v>Error?</v>
      </c>
    </row>
    <row r="1117" spans="1:4" x14ac:dyDescent="0.2">
      <c r="A1117" s="5">
        <v>1056</v>
      </c>
      <c r="B1117" s="1832">
        <f>'Expenditures 15-22'!K45</f>
        <v>76009</v>
      </c>
      <c r="C1117" s="2" t="s">
        <v>569</v>
      </c>
      <c r="D1117" s="2" t="str">
        <f t="shared" si="16"/>
        <v>Error?</v>
      </c>
    </row>
    <row r="1118" spans="1:4" x14ac:dyDescent="0.2">
      <c r="A1118" s="5">
        <v>1057</v>
      </c>
      <c r="B1118" s="1832">
        <f>'Expenditures 15-22'!K46</f>
        <v>3563</v>
      </c>
      <c r="C1118" s="2" t="s">
        <v>569</v>
      </c>
      <c r="D1118" s="2" t="str">
        <f t="shared" si="16"/>
        <v>Error?</v>
      </c>
    </row>
    <row r="1119" spans="1:4" x14ac:dyDescent="0.2">
      <c r="A1119" s="5">
        <v>1058</v>
      </c>
      <c r="B1119" s="1832">
        <f>'Expenditures 15-22'!K47</f>
        <v>113466</v>
      </c>
      <c r="C1119" s="2" t="s">
        <v>569</v>
      </c>
      <c r="D1119" s="2" t="str">
        <f t="shared" si="16"/>
        <v>Error?</v>
      </c>
    </row>
    <row r="1120" spans="1:4" x14ac:dyDescent="0.2">
      <c r="A1120" s="5">
        <v>1059</v>
      </c>
      <c r="B1120" s="1832">
        <f>'Expenditures 15-22'!K49</f>
        <v>17847</v>
      </c>
      <c r="C1120" s="2" t="s">
        <v>569</v>
      </c>
      <c r="D1120" s="2" t="str">
        <f t="shared" si="16"/>
        <v>Error?</v>
      </c>
    </row>
    <row r="1121" spans="1:4" x14ac:dyDescent="0.2">
      <c r="A1121" s="5">
        <v>1060</v>
      </c>
      <c r="B1121" s="1832">
        <f>'Expenditures 15-22'!K50</f>
        <v>84234</v>
      </c>
      <c r="C1121" s="2" t="s">
        <v>569</v>
      </c>
      <c r="D1121" s="2" t="str">
        <f t="shared" si="16"/>
        <v>Error?</v>
      </c>
    </row>
    <row r="1122" spans="1:4" x14ac:dyDescent="0.2">
      <c r="A1122" s="5">
        <v>1061</v>
      </c>
      <c r="B1122" s="1832">
        <f>'Expenditures 15-22'!K53</f>
        <v>102081</v>
      </c>
      <c r="C1122" s="2" t="s">
        <v>569</v>
      </c>
      <c r="D1122" s="2" t="str">
        <f t="shared" si="16"/>
        <v>Error?</v>
      </c>
    </row>
    <row r="1123" spans="1:4" x14ac:dyDescent="0.2">
      <c r="A1123" s="5">
        <v>1062</v>
      </c>
      <c r="B1123" s="1832">
        <f>'Expenditures 15-22'!K55</f>
        <v>133405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133405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36887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122683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159570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566726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230942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2833249</v>
      </c>
      <c r="C1152" s="2" t="s">
        <v>569</v>
      </c>
      <c r="D1152" s="2" t="str">
        <f t="shared" si="17"/>
        <v>Error?</v>
      </c>
    </row>
    <row r="1153" spans="1:4" x14ac:dyDescent="0.2">
      <c r="A1153" s="5">
        <v>1092</v>
      </c>
      <c r="B1153" s="1832">
        <f>'Expenditures 15-22'!K115</f>
        <v>336403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114587</v>
      </c>
      <c r="D1221" s="2" t="str">
        <f t="shared" si="18"/>
        <v>Error?</v>
      </c>
    </row>
    <row r="1222" spans="1:4" x14ac:dyDescent="0.2">
      <c r="A1222" s="10">
        <v>1161</v>
      </c>
      <c r="B1222" s="1832"/>
      <c r="D1222" s="2" t="str">
        <f t="shared" si="18"/>
        <v>OK</v>
      </c>
    </row>
    <row r="1223" spans="1:4" x14ac:dyDescent="0.2">
      <c r="A1223" s="5">
        <v>1162</v>
      </c>
      <c r="B1223" s="1832">
        <f>'Expenditures 15-22'!C127</f>
        <v>114587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114587</v>
      </c>
      <c r="C1225" s="2" t="s">
        <v>569</v>
      </c>
      <c r="D1225" s="2" t="str">
        <f t="shared" si="18"/>
        <v>Error?</v>
      </c>
    </row>
    <row r="1226" spans="1:4" x14ac:dyDescent="0.2">
      <c r="A1226" s="5">
        <v>1165</v>
      </c>
      <c r="B1226" s="1832">
        <f>'Expenditures 15-22'!C151</f>
        <v>114587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30044</v>
      </c>
      <c r="D1229" s="2" t="str">
        <f t="shared" si="18"/>
        <v>Error?</v>
      </c>
    </row>
    <row r="1230" spans="1:4" x14ac:dyDescent="0.2">
      <c r="A1230" s="10">
        <v>1169</v>
      </c>
      <c r="B1230" s="1832"/>
      <c r="D1230" s="2" t="str">
        <f t="shared" si="18"/>
        <v>OK</v>
      </c>
    </row>
    <row r="1231" spans="1:4" x14ac:dyDescent="0.2">
      <c r="A1231" s="5">
        <v>1170</v>
      </c>
      <c r="B1231" s="1832">
        <f>'Expenditures 15-22'!D127</f>
        <v>30044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30044</v>
      </c>
      <c r="C1233" s="2" t="s">
        <v>569</v>
      </c>
      <c r="D1233" s="2" t="str">
        <f t="shared" si="18"/>
        <v>Error?</v>
      </c>
    </row>
    <row r="1234" spans="1:4" x14ac:dyDescent="0.2">
      <c r="A1234" s="5">
        <v>1173</v>
      </c>
      <c r="B1234" s="1832">
        <f>'Expenditures 15-22'!D151</f>
        <v>30044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34771</v>
      </c>
      <c r="D1237" s="2" t="str">
        <f t="shared" si="18"/>
        <v>Error?</v>
      </c>
    </row>
    <row r="1238" spans="1:4" x14ac:dyDescent="0.2">
      <c r="A1238" s="10">
        <v>1177</v>
      </c>
      <c r="B1238" s="1832"/>
      <c r="D1238" s="2" t="str">
        <f t="shared" si="18"/>
        <v>OK</v>
      </c>
    </row>
    <row r="1239" spans="1:4" x14ac:dyDescent="0.2">
      <c r="A1239" s="5">
        <v>1178</v>
      </c>
      <c r="B1239" s="1832">
        <f>'Expenditures 15-22'!E127</f>
        <v>34771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34771</v>
      </c>
      <c r="C1241" s="2" t="s">
        <v>569</v>
      </c>
      <c r="D1241" s="2" t="str">
        <f t="shared" si="18"/>
        <v>Error?</v>
      </c>
    </row>
    <row r="1242" spans="1:4" x14ac:dyDescent="0.2">
      <c r="A1242" s="5">
        <v>1181</v>
      </c>
      <c r="B1242" s="1832">
        <f>'Expenditures 15-22'!E151</f>
        <v>34771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87692</v>
      </c>
      <c r="D1245" s="2" t="str">
        <f t="shared" si="18"/>
        <v>Error?</v>
      </c>
    </row>
    <row r="1246" spans="1:4" x14ac:dyDescent="0.2">
      <c r="A1246" s="10">
        <v>1185</v>
      </c>
      <c r="B1246" s="1832"/>
      <c r="D1246" s="2" t="str">
        <f t="shared" si="18"/>
        <v>OK</v>
      </c>
    </row>
    <row r="1247" spans="1:4" x14ac:dyDescent="0.2">
      <c r="A1247" s="5">
        <v>1186</v>
      </c>
      <c r="B1247" s="1832">
        <f>'Expenditures 15-22'!F127</f>
        <v>87692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87692</v>
      </c>
      <c r="C1249" s="2" t="s">
        <v>569</v>
      </c>
      <c r="D1249" s="2" t="str">
        <f t="shared" si="18"/>
        <v>Error?</v>
      </c>
    </row>
    <row r="1250" spans="1:4" x14ac:dyDescent="0.2">
      <c r="A1250" s="5">
        <v>1189</v>
      </c>
      <c r="B1250" s="1832">
        <f>'Expenditures 15-22'!F151</f>
        <v>87692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5334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5334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5334</v>
      </c>
      <c r="C1258" s="2" t="s">
        <v>569</v>
      </c>
      <c r="D1258" s="2" t="str">
        <f t="shared" si="18"/>
        <v>Error?</v>
      </c>
    </row>
    <row r="1259" spans="1:4" x14ac:dyDescent="0.2">
      <c r="A1259" s="5">
        <v>1198</v>
      </c>
      <c r="B1259" s="1832">
        <f>'Expenditures 15-22'!G151</f>
        <v>5334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272428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272428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272428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272428</v>
      </c>
      <c r="C1288" s="2" t="s">
        <v>569</v>
      </c>
      <c r="D1288" s="2" t="str">
        <f t="shared" si="19"/>
        <v>Error?</v>
      </c>
    </row>
    <row r="1289" spans="1:4" x14ac:dyDescent="0.2">
      <c r="A1289" s="5">
        <v>1228</v>
      </c>
      <c r="B1289" s="1832">
        <f>'Expenditures 15-22'!K152</f>
        <v>41852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61601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251601</v>
      </c>
      <c r="C1317" s="2" t="s">
        <v>569</v>
      </c>
      <c r="D1317" s="2" t="str">
        <f t="shared" si="19"/>
        <v>Error?</v>
      </c>
    </row>
    <row r="1318" spans="1:4" x14ac:dyDescent="0.2">
      <c r="A1318" s="5">
        <v>1257</v>
      </c>
      <c r="B1318" s="1832">
        <f>'Expenditures 15-22'!H174</f>
        <v>251601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61601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251601</v>
      </c>
      <c r="C1331" s="2" t="s">
        <v>569</v>
      </c>
      <c r="D1331" s="2" t="str">
        <f t="shared" si="19"/>
        <v>Error?</v>
      </c>
    </row>
    <row r="1332" spans="1:4" x14ac:dyDescent="0.2">
      <c r="A1332" s="5">
        <v>1271</v>
      </c>
      <c r="B1332" s="1832">
        <f>'Expenditures 15-22'!K174</f>
        <v>251601</v>
      </c>
      <c r="C1332" s="2" t="s">
        <v>569</v>
      </c>
      <c r="D1332" s="2" t="str">
        <f t="shared" si="19"/>
        <v>Error?</v>
      </c>
    </row>
    <row r="1333" spans="1:4" x14ac:dyDescent="0.2">
      <c r="A1333" s="5">
        <v>1272</v>
      </c>
      <c r="B1333" s="1832">
        <f>'Expenditures 15-22'!K175</f>
        <v>-41414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94420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94420</v>
      </c>
      <c r="C1339" s="2" t="s">
        <v>569</v>
      </c>
      <c r="D1339" s="2" t="str">
        <f t="shared" si="19"/>
        <v>Error?</v>
      </c>
    </row>
    <row r="1340" spans="1:4" x14ac:dyDescent="0.2">
      <c r="A1340" s="5">
        <v>1279</v>
      </c>
      <c r="B1340" s="1832">
        <f>'Expenditures 15-22'!C210</f>
        <v>94420</v>
      </c>
      <c r="C1340" s="2" t="s">
        <v>569</v>
      </c>
      <c r="D1340" s="2" t="str">
        <f t="shared" si="19"/>
        <v>Error?</v>
      </c>
    </row>
    <row r="1341" spans="1:4" x14ac:dyDescent="0.2">
      <c r="A1341" s="5">
        <v>1280</v>
      </c>
      <c r="B1341" s="1832">
        <f>'Expenditures 15-22'!D182</f>
        <v>7874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7874</v>
      </c>
      <c r="C1345" s="2" t="s">
        <v>569</v>
      </c>
      <c r="D1345" s="2" t="str">
        <f t="shared" si="20"/>
        <v>Error?</v>
      </c>
    </row>
    <row r="1346" spans="1:4" x14ac:dyDescent="0.2">
      <c r="A1346" s="5">
        <v>1285</v>
      </c>
      <c r="B1346" s="1832">
        <f>'Expenditures 15-22'!D210</f>
        <v>7874</v>
      </c>
      <c r="C1346" s="2" t="s">
        <v>569</v>
      </c>
      <c r="D1346" s="2" t="str">
        <f t="shared" si="20"/>
        <v>Error?</v>
      </c>
    </row>
    <row r="1347" spans="1:4" x14ac:dyDescent="0.2">
      <c r="A1347" s="5">
        <v>1286</v>
      </c>
      <c r="B1347" s="1832">
        <f>'Expenditures 15-22'!E182</f>
        <v>5159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5159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5159</v>
      </c>
      <c r="C1353" s="2" t="s">
        <v>569</v>
      </c>
      <c r="D1353" s="2" t="str">
        <f t="shared" si="20"/>
        <v>Error?</v>
      </c>
    </row>
    <row r="1354" spans="1:4" x14ac:dyDescent="0.2">
      <c r="A1354" s="5">
        <v>1293</v>
      </c>
      <c r="B1354" s="1832">
        <f>'Expenditures 15-22'!F182</f>
        <v>23512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23512</v>
      </c>
      <c r="C1358" s="2" t="s">
        <v>569</v>
      </c>
      <c r="D1358" s="2" t="str">
        <f t="shared" si="20"/>
        <v>Error?</v>
      </c>
    </row>
    <row r="1359" spans="1:4" x14ac:dyDescent="0.2">
      <c r="A1359" s="5">
        <v>1298</v>
      </c>
      <c r="B1359" s="1832">
        <f>'Expenditures 15-22'!F210</f>
        <v>23512</v>
      </c>
      <c r="C1359" s="2" t="s">
        <v>569</v>
      </c>
      <c r="D1359" s="2" t="str">
        <f t="shared" si="20"/>
        <v>Error?</v>
      </c>
    </row>
    <row r="1360" spans="1:4" x14ac:dyDescent="0.2">
      <c r="A1360" s="5">
        <v>1299</v>
      </c>
      <c r="B1360" s="1832">
        <f>'Expenditures 15-22'!G182</f>
        <v>45000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45000</v>
      </c>
      <c r="C1364" s="2" t="s">
        <v>569</v>
      </c>
      <c r="D1364" s="2" t="str">
        <f t="shared" si="20"/>
        <v>Error?</v>
      </c>
    </row>
    <row r="1365" spans="1:4" x14ac:dyDescent="0.2">
      <c r="A1365" s="5">
        <v>1304</v>
      </c>
      <c r="B1365" s="1832">
        <f>'Expenditures 15-22'!G210</f>
        <v>45000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28294</v>
      </c>
      <c r="C1375" s="2" t="s">
        <v>569</v>
      </c>
      <c r="D1375" s="2" t="str">
        <f t="shared" si="20"/>
        <v>Error?</v>
      </c>
    </row>
    <row r="1376" spans="1:4" x14ac:dyDescent="0.2">
      <c r="A1376" s="5">
        <v>1315</v>
      </c>
      <c r="B1376" s="1832">
        <f>'Expenditures 15-22'!H210</f>
        <v>28294</v>
      </c>
      <c r="C1376" s="2" t="s">
        <v>569</v>
      </c>
      <c r="D1376" s="2" t="str">
        <f t="shared" si="20"/>
        <v>Error?</v>
      </c>
    </row>
    <row r="1377" spans="1:4" x14ac:dyDescent="0.2">
      <c r="A1377" s="5">
        <v>1316</v>
      </c>
      <c r="B1377" s="1832">
        <f>'Expenditures 15-22'!K182</f>
        <v>175965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175965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28294</v>
      </c>
      <c r="C1387" s="2" t="s">
        <v>569</v>
      </c>
      <c r="D1387" s="2" t="str">
        <f t="shared" si="20"/>
        <v>Error?</v>
      </c>
    </row>
    <row r="1388" spans="1:4" x14ac:dyDescent="0.2">
      <c r="A1388" s="5">
        <v>1327</v>
      </c>
      <c r="B1388" s="1832">
        <f>'Expenditures 15-22'!K210</f>
        <v>204259</v>
      </c>
      <c r="C1388" s="2" t="s">
        <v>569</v>
      </c>
      <c r="D1388" s="2" t="str">
        <f t="shared" si="20"/>
        <v>Error?</v>
      </c>
    </row>
    <row r="1389" spans="1:4" x14ac:dyDescent="0.2">
      <c r="A1389" s="5">
        <v>1328</v>
      </c>
      <c r="B1389" s="1832">
        <f>'Expenditures 15-22'!K211</f>
        <v>-3459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1611</v>
      </c>
      <c r="D1407" s="2" t="str">
        <f t="shared" ref="D1407:D1470" si="21">IF(ISBLANK(B1407),"OK",IF(A1407-B1407=0,"OK","Error?"))</f>
        <v>Error?</v>
      </c>
    </row>
    <row r="1408" spans="1:4" x14ac:dyDescent="0.2">
      <c r="A1408" s="5">
        <v>1347</v>
      </c>
      <c r="B1408" s="1832">
        <f>'Expenditures 15-22'!D223</f>
        <v>2376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42323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694</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694</v>
      </c>
      <c r="C1417" s="2" t="s">
        <v>569</v>
      </c>
      <c r="D1417" s="2" t="str">
        <f t="shared" si="21"/>
        <v>Error?</v>
      </c>
    </row>
    <row r="1418" spans="1:4" x14ac:dyDescent="0.2">
      <c r="A1418" s="5">
        <v>1357</v>
      </c>
      <c r="B1418" s="1832">
        <f>'Expenditures 15-22'!D240</f>
        <v>1</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v>
      </c>
      <c r="C1421" s="2" t="s">
        <v>569</v>
      </c>
      <c r="D1421" s="2" t="str">
        <f t="shared" si="21"/>
        <v>Error?</v>
      </c>
    </row>
    <row r="1422" spans="1:4" x14ac:dyDescent="0.2">
      <c r="A1422" s="5">
        <v>1361</v>
      </c>
      <c r="B1422" s="1832">
        <f>'Expenditures 15-22'!D245</f>
        <v>54</v>
      </c>
      <c r="D1422" s="2" t="str">
        <f t="shared" si="21"/>
        <v>Error?</v>
      </c>
    </row>
    <row r="1423" spans="1:4" x14ac:dyDescent="0.2">
      <c r="A1423" s="5">
        <v>1362</v>
      </c>
      <c r="B1423" s="1832">
        <f>'Expenditures 15-22'!D246</f>
        <v>1668</v>
      </c>
      <c r="D1423" s="2" t="str">
        <f t="shared" si="21"/>
        <v>Error?</v>
      </c>
    </row>
    <row r="1424" spans="1:4" x14ac:dyDescent="0.2">
      <c r="A1424" s="5">
        <v>1363</v>
      </c>
      <c r="B1424" s="1832">
        <f>'Expenditures 15-22'!D257</f>
        <v>1722</v>
      </c>
      <c r="C1424" s="2" t="s">
        <v>569</v>
      </c>
      <c r="D1424" s="2" t="str">
        <f t="shared" si="21"/>
        <v>Error?</v>
      </c>
    </row>
    <row r="1425" spans="1:4" x14ac:dyDescent="0.2">
      <c r="A1425" s="5">
        <v>1364</v>
      </c>
      <c r="B1425" s="1832">
        <f>'Expenditures 15-22'!D259</f>
        <v>8738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8738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5702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23680</v>
      </c>
      <c r="D1431" s="2" t="str">
        <f t="shared" si="21"/>
        <v>Error?</v>
      </c>
    </row>
    <row r="1432" spans="1:4" x14ac:dyDescent="0.2">
      <c r="A1432" s="5">
        <v>1371</v>
      </c>
      <c r="B1432" s="1832">
        <f>'Expenditures 15-22'!D267</f>
        <v>19041</v>
      </c>
      <c r="D1432" s="2" t="str">
        <f t="shared" si="21"/>
        <v>Error?</v>
      </c>
    </row>
    <row r="1433" spans="1:4" x14ac:dyDescent="0.2">
      <c r="A1433" s="5">
        <v>1372</v>
      </c>
      <c r="B1433" s="1832">
        <f>'Expenditures 15-22'!D268</f>
        <v>2235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50658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61813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104136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1611</v>
      </c>
      <c r="C1471" s="2" t="s">
        <v>569</v>
      </c>
      <c r="D1471" s="2" t="str">
        <f t="shared" ref="D1471:D1534" si="22">IF(ISBLANK(B1471),"OK",IF(A1471-B1471=0,"OK","Error?"))</f>
        <v>Error?</v>
      </c>
    </row>
    <row r="1472" spans="1:4" x14ac:dyDescent="0.2">
      <c r="A1472" s="5">
        <v>1411</v>
      </c>
      <c r="B1472" s="1832">
        <f>'Expenditures 15-22'!K223</f>
        <v>2376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42323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694</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694</v>
      </c>
      <c r="C1481" s="2" t="s">
        <v>569</v>
      </c>
      <c r="D1481" s="2" t="str">
        <f t="shared" si="22"/>
        <v>Error?</v>
      </c>
    </row>
    <row r="1482" spans="1:4" x14ac:dyDescent="0.2">
      <c r="A1482" s="5">
        <v>1421</v>
      </c>
      <c r="B1482" s="1832">
        <f>'Expenditures 15-22'!K240</f>
        <v>1</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v>
      </c>
      <c r="C1485" s="2" t="s">
        <v>569</v>
      </c>
      <c r="D1485" s="2" t="str">
        <f t="shared" si="22"/>
        <v>Error?</v>
      </c>
    </row>
    <row r="1486" spans="1:4" x14ac:dyDescent="0.2">
      <c r="A1486" s="5">
        <v>1425</v>
      </c>
      <c r="B1486" s="1832">
        <f>'Expenditures 15-22'!K245</f>
        <v>54</v>
      </c>
      <c r="C1486" s="2" t="s">
        <v>569</v>
      </c>
      <c r="D1486" s="2" t="str">
        <f t="shared" si="22"/>
        <v>Error?</v>
      </c>
    </row>
    <row r="1487" spans="1:4" x14ac:dyDescent="0.2">
      <c r="A1487" s="5">
        <v>1426</v>
      </c>
      <c r="B1487" s="1832">
        <f>'Expenditures 15-22'!K246</f>
        <v>1668</v>
      </c>
      <c r="C1487" s="2" t="s">
        <v>569</v>
      </c>
      <c r="D1487" s="2" t="str">
        <f t="shared" si="22"/>
        <v>Error?</v>
      </c>
    </row>
    <row r="1488" spans="1:4" x14ac:dyDescent="0.2">
      <c r="A1488" s="5">
        <v>1427</v>
      </c>
      <c r="B1488" s="1832">
        <f>'Expenditures 15-22'!K257</f>
        <v>1722</v>
      </c>
      <c r="C1488" s="2" t="s">
        <v>569</v>
      </c>
      <c r="D1488" s="2" t="str">
        <f t="shared" si="22"/>
        <v>Error?</v>
      </c>
    </row>
    <row r="1489" spans="1:4" x14ac:dyDescent="0.2">
      <c r="A1489" s="5">
        <v>1428</v>
      </c>
      <c r="B1489" s="1832">
        <f>'Expenditures 15-22'!K259</f>
        <v>8738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8738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5702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23680</v>
      </c>
      <c r="C1495" s="2" t="s">
        <v>569</v>
      </c>
      <c r="D1495" s="2" t="str">
        <f t="shared" si="22"/>
        <v>Error?</v>
      </c>
    </row>
    <row r="1496" spans="1:4" x14ac:dyDescent="0.2">
      <c r="A1496" s="5">
        <v>1435</v>
      </c>
      <c r="B1496" s="1832">
        <f>'Expenditures 15-22'!K267</f>
        <v>19041</v>
      </c>
      <c r="C1496" s="2" t="s">
        <v>569</v>
      </c>
      <c r="D1496" s="2" t="str">
        <f t="shared" si="22"/>
        <v>Error?</v>
      </c>
    </row>
    <row r="1497" spans="1:4" x14ac:dyDescent="0.2">
      <c r="A1497" s="5">
        <v>1436</v>
      </c>
      <c r="B1497" s="1832">
        <f>'Expenditures 15-22'!K268</f>
        <v>2235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50658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61813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104136</v>
      </c>
      <c r="C1517" s="2" t="s">
        <v>569</v>
      </c>
      <c r="D1517" s="2" t="str">
        <f t="shared" si="22"/>
        <v>Error?</v>
      </c>
    </row>
    <row r="1518" spans="1:4" x14ac:dyDescent="0.2">
      <c r="A1518" s="5">
        <v>1457</v>
      </c>
      <c r="B1518" s="1832">
        <f>'Expenditures 15-22'!K296</f>
        <v>2785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3160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3160</v>
      </c>
      <c r="C1535" s="2" t="s">
        <v>569</v>
      </c>
      <c r="D1535" s="2" t="str">
        <f t="shared" ref="D1535:D1598" si="23">IF(ISBLANK(B1535),"OK",IF(A1535-B1535=0,"OK","Error?"))</f>
        <v>Error?</v>
      </c>
    </row>
    <row r="1536" spans="1:4" x14ac:dyDescent="0.2">
      <c r="A1536" s="5">
        <v>1475</v>
      </c>
      <c r="B1536" s="1832">
        <f>'Expenditures 15-22'!E312</f>
        <v>3160</v>
      </c>
      <c r="C1536" s="2" t="s">
        <v>569</v>
      </c>
      <c r="D1536" s="2" t="str">
        <f t="shared" si="23"/>
        <v>Error?</v>
      </c>
    </row>
    <row r="1537" spans="1:4" x14ac:dyDescent="0.2">
      <c r="A1537" s="5">
        <v>1476</v>
      </c>
      <c r="B1537" s="1832">
        <f>'Expenditures 15-22'!F301</f>
        <v>4061</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4061</v>
      </c>
      <c r="C1541" s="2" t="s">
        <v>569</v>
      </c>
      <c r="D1541" s="2" t="str">
        <f t="shared" si="23"/>
        <v>Error?</v>
      </c>
    </row>
    <row r="1542" spans="1:4" x14ac:dyDescent="0.2">
      <c r="A1542" s="5">
        <v>1481</v>
      </c>
      <c r="B1542" s="1832">
        <f>'Expenditures 15-22'!F312</f>
        <v>4061</v>
      </c>
      <c r="C1542" s="2" t="s">
        <v>569</v>
      </c>
      <c r="D1542" s="2" t="str">
        <f t="shared" si="23"/>
        <v>Error?</v>
      </c>
    </row>
    <row r="1543" spans="1:4" x14ac:dyDescent="0.2">
      <c r="A1543" s="5">
        <v>1482</v>
      </c>
      <c r="B1543" s="1832">
        <f>'Expenditures 15-22'!G301</f>
        <v>43451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43451</v>
      </c>
      <c r="C1547" s="2" t="s">
        <v>569</v>
      </c>
      <c r="D1547" s="2" t="str">
        <f t="shared" si="23"/>
        <v>Error?</v>
      </c>
    </row>
    <row r="1548" spans="1:4" x14ac:dyDescent="0.2">
      <c r="A1548" s="5">
        <v>1487</v>
      </c>
      <c r="B1548" s="1832">
        <f>'Expenditures 15-22'!G312</f>
        <v>43451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50672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50672</v>
      </c>
      <c r="C1559" s="2" t="s">
        <v>569</v>
      </c>
      <c r="D1559" s="2" t="str">
        <f t="shared" si="23"/>
        <v>Error?</v>
      </c>
    </row>
    <row r="1560" spans="1:4" x14ac:dyDescent="0.2">
      <c r="A1560" s="5">
        <v>1499</v>
      </c>
      <c r="B1560" s="1832">
        <f>'Expenditures 15-22'!K312</f>
        <v>50672</v>
      </c>
      <c r="C1560" s="2" t="s">
        <v>569</v>
      </c>
      <c r="D1560" s="2" t="str">
        <f t="shared" si="23"/>
        <v>Error?</v>
      </c>
    </row>
    <row r="1561" spans="1:4" x14ac:dyDescent="0.2">
      <c r="A1561" s="5">
        <v>1500</v>
      </c>
      <c r="B1561" s="1832">
        <f>'Expenditures 15-22'!K313</f>
        <v>93510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559417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895820</v>
      </c>
      <c r="C1630" s="2" t="s">
        <v>569</v>
      </c>
      <c r="D1630" s="2" t="str">
        <f t="shared" si="24"/>
        <v>Error?</v>
      </c>
    </row>
    <row r="1631" spans="1:4" x14ac:dyDescent="0.2">
      <c r="A1631" s="5">
        <v>1570</v>
      </c>
      <c r="B1631" s="1832">
        <f>'Acct Summary 7-8'!D79</f>
        <v>11636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75488</v>
      </c>
      <c r="C1644" s="2" t="s">
        <v>569</v>
      </c>
      <c r="D1644" s="2" t="str">
        <f t="shared" si="24"/>
        <v>Error?</v>
      </c>
    </row>
    <row r="1645" spans="1:4" x14ac:dyDescent="0.2">
      <c r="A1645" s="5">
        <v>1584</v>
      </c>
      <c r="B1645" s="1832">
        <f>'Acct Summary 7-8'!E79</f>
        <v>60867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19453</v>
      </c>
      <c r="C1658" s="2" t="s">
        <v>569</v>
      </c>
      <c r="D1658" s="2" t="str">
        <f t="shared" si="24"/>
        <v>Error?</v>
      </c>
    </row>
    <row r="1659" spans="1:4" x14ac:dyDescent="0.2">
      <c r="A1659" s="5">
        <v>1598</v>
      </c>
      <c r="B1659" s="1832">
        <f>'Acct Summary 7-8'!F79</f>
        <v>138426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180592</v>
      </c>
      <c r="C1672" s="2" t="s">
        <v>569</v>
      </c>
      <c r="D1672" s="2" t="str">
        <f t="shared" si="25"/>
        <v>Error?</v>
      </c>
    </row>
    <row r="1673" spans="1:4" x14ac:dyDescent="0.2">
      <c r="A1673" s="5">
        <v>1612</v>
      </c>
      <c r="B1673" s="1832">
        <f>'Acct Summary 7-8'!G79</f>
        <v>85963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88748</v>
      </c>
      <c r="C1686" s="2" t="s">
        <v>569</v>
      </c>
      <c r="D1686" s="2" t="str">
        <f t="shared" si="25"/>
        <v>Error?</v>
      </c>
    </row>
    <row r="1687" spans="1:4" x14ac:dyDescent="0.2">
      <c r="A1687" s="5">
        <v>1626</v>
      </c>
      <c r="B1687" s="1832">
        <f>'Acct Summary 7-8'!H79</f>
        <v>76162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169672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1417681</v>
      </c>
      <c r="C1744" s="2" t="s">
        <v>569</v>
      </c>
      <c r="D1744" s="2" t="str">
        <f t="shared" si="26"/>
        <v>Error?</v>
      </c>
    </row>
    <row r="1745" spans="1:5" x14ac:dyDescent="0.2">
      <c r="A1745" s="5">
        <v>1684</v>
      </c>
      <c r="B1745" s="1832">
        <f>'Tax Sched 23'!B5</f>
        <v>236280</v>
      </c>
      <c r="C1745" s="2" t="s">
        <v>569</v>
      </c>
      <c r="D1745" s="2" t="str">
        <f t="shared" si="26"/>
        <v>Error?</v>
      </c>
    </row>
    <row r="1746" spans="1:5" x14ac:dyDescent="0.2">
      <c r="A1746" s="5">
        <v>1685</v>
      </c>
      <c r="B1746" s="1832">
        <f>'Tax Sched 23'!B6</f>
        <v>210187</v>
      </c>
      <c r="C1746" s="2" t="s">
        <v>569</v>
      </c>
      <c r="D1746" s="2" t="str">
        <f t="shared" si="26"/>
        <v>Error?</v>
      </c>
    </row>
    <row r="1747" spans="1:5" x14ac:dyDescent="0.2">
      <c r="A1747" s="5">
        <v>1686</v>
      </c>
      <c r="B1747" s="1832">
        <f>'Tax Sched 23'!B7</f>
        <v>94512</v>
      </c>
      <c r="C1747" s="2" t="s">
        <v>569</v>
      </c>
      <c r="D1747" s="2" t="str">
        <f t="shared" si="26"/>
        <v>Error?</v>
      </c>
    </row>
    <row r="1748" spans="1:5" x14ac:dyDescent="0.2">
      <c r="A1748" s="5">
        <v>1687</v>
      </c>
      <c r="B1748" s="1832">
        <f>'Tax Sched 23'!B8</f>
        <v>29856</v>
      </c>
      <c r="C1748" s="2" t="s">
        <v>569</v>
      </c>
      <c r="D1748" s="2" t="str">
        <f t="shared" si="26"/>
        <v>Error?</v>
      </c>
    </row>
    <row r="1749" spans="1:5" x14ac:dyDescent="0.2">
      <c r="A1749" s="5">
        <v>1688</v>
      </c>
      <c r="B1749" s="1832">
        <f>'Tax Sched 23'!B10</f>
        <v>23628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179122</v>
      </c>
      <c r="C1752" s="2" t="s">
        <v>569</v>
      </c>
      <c r="D1752" s="2" t="str">
        <f t="shared" si="26"/>
        <v>Error?</v>
      </c>
    </row>
    <row r="1753" spans="1:5" x14ac:dyDescent="0.2">
      <c r="A1753" s="5">
        <v>1692</v>
      </c>
      <c r="B1753" s="1832">
        <f>'Tax Sched 23'!B12</f>
        <v>23628</v>
      </c>
      <c r="C1753" s="2" t="s">
        <v>569</v>
      </c>
      <c r="D1753" s="2" t="str">
        <f t="shared" si="26"/>
        <v>Error?</v>
      </c>
    </row>
    <row r="1754" spans="1:5" x14ac:dyDescent="0.2">
      <c r="A1754" s="5">
        <v>1693</v>
      </c>
      <c r="B1754" s="1832">
        <f>'Tax Sched 23'!B14</f>
        <v>18902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2332305</v>
      </c>
      <c r="C1759" s="2" t="s">
        <v>569</v>
      </c>
      <c r="D1759" s="2" t="str">
        <f t="shared" si="26"/>
        <v>Error?</v>
      </c>
    </row>
    <row r="1760" spans="1:5" x14ac:dyDescent="0.2">
      <c r="A1760" s="5">
        <v>1699</v>
      </c>
      <c r="B1760" s="1832">
        <f>'Tax Sched 23'!D4</f>
        <v>1417681</v>
      </c>
      <c r="C1760" s="2" t="s">
        <v>569</v>
      </c>
      <c r="D1760" s="2" t="str">
        <f t="shared" si="26"/>
        <v>Error?</v>
      </c>
    </row>
    <row r="1761" spans="1:7" x14ac:dyDescent="0.2">
      <c r="A1761" s="5">
        <v>1700</v>
      </c>
      <c r="B1761" s="1832">
        <f>'Tax Sched 23'!D5</f>
        <v>236280</v>
      </c>
      <c r="C1761" s="2" t="s">
        <v>569</v>
      </c>
      <c r="D1761" s="2" t="str">
        <f t="shared" si="26"/>
        <v>Error?</v>
      </c>
    </row>
    <row r="1762" spans="1:7" s="8" customFormat="1" x14ac:dyDescent="0.2">
      <c r="A1762" s="5">
        <v>1701</v>
      </c>
      <c r="B1762" s="1832">
        <f>'Tax Sched 23'!D6</f>
        <v>210187</v>
      </c>
      <c r="C1762" s="2" t="s">
        <v>569</v>
      </c>
      <c r="D1762" s="2" t="str">
        <f t="shared" si="26"/>
        <v>Error?</v>
      </c>
      <c r="E1762" s="9"/>
      <c r="G1762"/>
    </row>
    <row r="1763" spans="1:7" x14ac:dyDescent="0.2">
      <c r="A1763" s="5">
        <v>1702</v>
      </c>
      <c r="B1763" s="1832">
        <f>'Tax Sched 23'!D7</f>
        <v>94512</v>
      </c>
      <c r="C1763" s="2" t="s">
        <v>569</v>
      </c>
      <c r="D1763" s="2" t="str">
        <f t="shared" si="26"/>
        <v>Error?</v>
      </c>
    </row>
    <row r="1764" spans="1:7" x14ac:dyDescent="0.2">
      <c r="A1764" s="5">
        <v>1703</v>
      </c>
      <c r="B1764" s="1832">
        <f>'Tax Sched 23'!D8</f>
        <v>29856</v>
      </c>
      <c r="C1764" s="2" t="s">
        <v>569</v>
      </c>
      <c r="D1764" s="2" t="str">
        <f t="shared" si="26"/>
        <v>Error?</v>
      </c>
    </row>
    <row r="1765" spans="1:7" x14ac:dyDescent="0.2">
      <c r="A1765" s="5">
        <v>1704</v>
      </c>
      <c r="B1765" s="1832">
        <f>'Tax Sched 23'!D10</f>
        <v>23628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179122</v>
      </c>
      <c r="C1768" s="2" t="s">
        <v>569</v>
      </c>
      <c r="D1768" s="2" t="str">
        <f t="shared" si="26"/>
        <v>Error?</v>
      </c>
    </row>
    <row r="1769" spans="1:7" x14ac:dyDescent="0.2">
      <c r="A1769" s="5">
        <v>1708</v>
      </c>
      <c r="B1769" s="1832">
        <f>'Tax Sched 23'!D12</f>
        <v>23628</v>
      </c>
      <c r="C1769" s="2" t="s">
        <v>569</v>
      </c>
      <c r="D1769" s="2" t="str">
        <f t="shared" si="26"/>
        <v>Error?</v>
      </c>
    </row>
    <row r="1770" spans="1:7" x14ac:dyDescent="0.2">
      <c r="A1770" s="5">
        <v>1709</v>
      </c>
      <c r="B1770" s="1832">
        <f>'Tax Sched 23'!D14</f>
        <v>18902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2332305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1510002</v>
      </c>
      <c r="C1792" s="2" t="s">
        <v>569</v>
      </c>
      <c r="D1792" s="2" t="str">
        <f t="shared" si="27"/>
        <v>Error?</v>
      </c>
    </row>
    <row r="1793" spans="1:4" x14ac:dyDescent="0.2">
      <c r="A1793" s="5">
        <v>1732</v>
      </c>
      <c r="B1793" s="1832">
        <f>'Tax Sched 23'!F5</f>
        <v>252001</v>
      </c>
      <c r="C1793" s="2" t="s">
        <v>569</v>
      </c>
      <c r="D1793" s="2" t="str">
        <f t="shared" si="27"/>
        <v>Error?</v>
      </c>
    </row>
    <row r="1794" spans="1:4" x14ac:dyDescent="0.2">
      <c r="A1794" s="5">
        <v>1733</v>
      </c>
      <c r="B1794" s="1832">
        <f>'Tax Sched 23'!F6</f>
        <v>219606</v>
      </c>
      <c r="C1794" s="2" t="s">
        <v>569</v>
      </c>
      <c r="D1794" s="2" t="str">
        <f t="shared" si="27"/>
        <v>Error?</v>
      </c>
    </row>
    <row r="1795" spans="1:4" x14ac:dyDescent="0.2">
      <c r="A1795" s="5">
        <v>1734</v>
      </c>
      <c r="B1795" s="1832">
        <f>'Tax Sched 23'!F7</f>
        <v>100855</v>
      </c>
      <c r="C1795" s="2" t="s">
        <v>569</v>
      </c>
      <c r="D1795" s="2" t="str">
        <f t="shared" si="27"/>
        <v>Error?</v>
      </c>
    </row>
    <row r="1796" spans="1:4" x14ac:dyDescent="0.2">
      <c r="A1796" s="5">
        <v>1735</v>
      </c>
      <c r="B1796" s="1832">
        <f>'Tax Sched 23'!F8</f>
        <v>25002</v>
      </c>
      <c r="C1796" s="2" t="s">
        <v>569</v>
      </c>
      <c r="D1796" s="2" t="str">
        <f t="shared" si="27"/>
        <v>Error?</v>
      </c>
    </row>
    <row r="1797" spans="1:4" x14ac:dyDescent="0.2">
      <c r="A1797" s="5">
        <v>1736</v>
      </c>
      <c r="B1797" s="1832">
        <f>'Tax Sched 23'!F10</f>
        <v>25204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180000</v>
      </c>
      <c r="C1800" s="2" t="s">
        <v>569</v>
      </c>
      <c r="D1800" s="2" t="str">
        <f t="shared" si="27"/>
        <v>Error?</v>
      </c>
    </row>
    <row r="1801" spans="1:4" x14ac:dyDescent="0.2">
      <c r="A1801" s="5">
        <v>1740</v>
      </c>
      <c r="B1801" s="1832">
        <f>'Tax Sched 23'!F12</f>
        <v>25214</v>
      </c>
      <c r="C1801" s="2" t="s">
        <v>569</v>
      </c>
      <c r="D1801" s="2" t="str">
        <f t="shared" si="27"/>
        <v>Error?</v>
      </c>
    </row>
    <row r="1802" spans="1:4" x14ac:dyDescent="0.2">
      <c r="A1802" s="5">
        <v>1741</v>
      </c>
      <c r="B1802" s="1832">
        <f>'Tax Sched 23'!F14</f>
        <v>20171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2453272</v>
      </c>
      <c r="C1807" s="2" t="s">
        <v>569</v>
      </c>
      <c r="D1807" s="2" t="str">
        <f t="shared" si="27"/>
        <v>Error?</v>
      </c>
    </row>
    <row r="1808" spans="1:4" x14ac:dyDescent="0.2">
      <c r="A1808" s="5">
        <v>1747</v>
      </c>
      <c r="B1808" s="1832">
        <f>'Tax Sched 23'!E4</f>
        <v>1510002</v>
      </c>
      <c r="D1808" s="2" t="str">
        <f t="shared" si="27"/>
        <v>Error?</v>
      </c>
    </row>
    <row r="1809" spans="1:4" x14ac:dyDescent="0.2">
      <c r="A1809" s="5">
        <v>1748</v>
      </c>
      <c r="B1809" s="1832">
        <f>'Tax Sched 23'!E5</f>
        <v>252001</v>
      </c>
      <c r="D1809" s="2" t="str">
        <f t="shared" si="27"/>
        <v>Error?</v>
      </c>
    </row>
    <row r="1810" spans="1:4" x14ac:dyDescent="0.2">
      <c r="A1810" s="5">
        <v>1749</v>
      </c>
      <c r="B1810" s="1832">
        <f>'Tax Sched 23'!E6</f>
        <v>219606</v>
      </c>
      <c r="D1810" s="2" t="str">
        <f t="shared" si="27"/>
        <v>Error?</v>
      </c>
    </row>
    <row r="1811" spans="1:4" x14ac:dyDescent="0.2">
      <c r="A1811" s="5">
        <v>1750</v>
      </c>
      <c r="B1811" s="1832">
        <f>'Tax Sched 23'!E7</f>
        <v>100855</v>
      </c>
      <c r="D1811" s="2" t="str">
        <f t="shared" si="27"/>
        <v>Error?</v>
      </c>
    </row>
    <row r="1812" spans="1:4" x14ac:dyDescent="0.2">
      <c r="A1812" s="5">
        <v>1751</v>
      </c>
      <c r="B1812" s="1832">
        <f>'Tax Sched 23'!E8</f>
        <v>25002</v>
      </c>
      <c r="D1812" s="2" t="str">
        <f t="shared" si="27"/>
        <v>Error?</v>
      </c>
    </row>
    <row r="1813" spans="1:4" x14ac:dyDescent="0.2">
      <c r="A1813" s="5">
        <v>1752</v>
      </c>
      <c r="B1813" s="1832">
        <f>'Tax Sched 23'!E10</f>
        <v>25204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180000</v>
      </c>
      <c r="D1816" s="2" t="str">
        <f t="shared" si="27"/>
        <v>Error?</v>
      </c>
    </row>
    <row r="1817" spans="1:4" x14ac:dyDescent="0.2">
      <c r="A1817" s="5">
        <v>1756</v>
      </c>
      <c r="B1817" s="1832">
        <f>'Tax Sched 23'!E12</f>
        <v>25214</v>
      </c>
      <c r="D1817" s="2" t="str">
        <f t="shared" si="27"/>
        <v>Error?</v>
      </c>
    </row>
    <row r="1818" spans="1:4" x14ac:dyDescent="0.2">
      <c r="A1818" s="5">
        <v>1757</v>
      </c>
      <c r="B1818" s="1832">
        <f>'Tax Sched 23'!E14</f>
        <v>20171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2453272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1599687</v>
      </c>
      <c r="C1939" s="2" t="s">
        <v>569</v>
      </c>
      <c r="D1939" s="2" t="str">
        <f t="shared" si="29"/>
        <v>Error?</v>
      </c>
    </row>
    <row r="1940" spans="1:5" x14ac:dyDescent="0.2">
      <c r="A1940" s="5">
        <v>1879</v>
      </c>
      <c r="B1940" s="1832">
        <f>'Short-Term Long-Term Debt 24'!F49</f>
        <v>45000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18902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18902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18902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5395610</v>
      </c>
      <c r="D2009" s="2" t="str">
        <f t="shared" si="30"/>
        <v>Error?</v>
      </c>
    </row>
    <row r="2010" spans="1:4" x14ac:dyDescent="0.2">
      <c r="A2010" s="5">
        <v>1949</v>
      </c>
      <c r="B2010" s="1832">
        <f>'Cap Outlay Deprec 26'!C10</f>
        <v>156037</v>
      </c>
      <c r="D2010" s="2" t="str">
        <f t="shared" si="30"/>
        <v>Error?</v>
      </c>
    </row>
    <row r="2011" spans="1:4" x14ac:dyDescent="0.2">
      <c r="A2011" s="5">
        <v>1950</v>
      </c>
      <c r="B2011" s="1832">
        <f>'Cap Outlay Deprec 26'!C12</f>
        <v>457246</v>
      </c>
      <c r="D2011" s="2" t="str">
        <f t="shared" si="30"/>
        <v>Error?</v>
      </c>
    </row>
    <row r="2012" spans="1:4" x14ac:dyDescent="0.2">
      <c r="A2012" s="5">
        <v>1951</v>
      </c>
      <c r="B2012" s="1832">
        <f>'Cap Outlay Deprec 26'!C13</f>
        <v>201622</v>
      </c>
      <c r="D2012" s="2" t="str">
        <f t="shared" si="30"/>
        <v>Error?</v>
      </c>
    </row>
    <row r="2013" spans="1:4" x14ac:dyDescent="0.2">
      <c r="A2013" s="5">
        <v>1952</v>
      </c>
      <c r="B2013" s="1832">
        <f>'Cap Outlay Deprec 26'!C16</f>
        <v>6291697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21161</v>
      </c>
      <c r="D2016" s="2" t="str">
        <f t="shared" si="30"/>
        <v>Error?</v>
      </c>
    </row>
    <row r="2017" spans="1:4" x14ac:dyDescent="0.2">
      <c r="A2017" s="5">
        <v>1956</v>
      </c>
      <c r="B2017" s="1832">
        <f>'Cap Outlay Deprec 26'!D12</f>
        <v>52631</v>
      </c>
      <c r="D2017" s="2" t="str">
        <f t="shared" si="30"/>
        <v>Error?</v>
      </c>
    </row>
    <row r="2018" spans="1:4" x14ac:dyDescent="0.2">
      <c r="A2018" s="5">
        <v>1957</v>
      </c>
      <c r="B2018" s="1832">
        <f>'Cap Outlay Deprec 26'!D13</f>
        <v>64262</v>
      </c>
      <c r="D2018" s="2" t="str">
        <f t="shared" si="30"/>
        <v>Error?</v>
      </c>
    </row>
    <row r="2019" spans="1:4" x14ac:dyDescent="0.2">
      <c r="A2019" s="5">
        <v>1958</v>
      </c>
      <c r="B2019" s="1832">
        <f>'Cap Outlay Deprec 26'!D16</f>
        <v>138054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5395610</v>
      </c>
      <c r="C2027" s="2" t="s">
        <v>569</v>
      </c>
      <c r="D2027" s="2" t="str">
        <f t="shared" si="30"/>
        <v>Error?</v>
      </c>
    </row>
    <row r="2028" spans="1:4" x14ac:dyDescent="0.2">
      <c r="A2028" s="5">
        <v>1967</v>
      </c>
      <c r="B2028" s="1832">
        <f>'Cap Outlay Deprec 26'!F10</f>
        <v>177198</v>
      </c>
      <c r="C2028" s="2" t="s">
        <v>569</v>
      </c>
      <c r="D2028" s="2" t="str">
        <f t="shared" si="30"/>
        <v>Error?</v>
      </c>
    </row>
    <row r="2029" spans="1:4" x14ac:dyDescent="0.2">
      <c r="A2029" s="5">
        <v>1968</v>
      </c>
      <c r="B2029" s="1832">
        <f>'Cap Outlay Deprec 26'!F12</f>
        <v>509877</v>
      </c>
      <c r="C2029" s="2" t="s">
        <v>569</v>
      </c>
      <c r="D2029" s="2" t="str">
        <f t="shared" si="30"/>
        <v>Error?</v>
      </c>
    </row>
    <row r="2030" spans="1:4" x14ac:dyDescent="0.2">
      <c r="A2030" s="5">
        <v>1969</v>
      </c>
      <c r="B2030" s="1832">
        <f>'Cap Outlay Deprec 26'!F13</f>
        <v>265884</v>
      </c>
      <c r="C2030" s="2" t="s">
        <v>569</v>
      </c>
      <c r="D2030" s="2" t="str">
        <f t="shared" si="30"/>
        <v>Error?</v>
      </c>
    </row>
    <row r="2031" spans="1:4" x14ac:dyDescent="0.2">
      <c r="A2031" s="5">
        <v>1970</v>
      </c>
      <c r="B2031" s="1832">
        <f>'Cap Outlay Deprec 26'!F16</f>
        <v>6429751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2409347</v>
      </c>
      <c r="D2033" s="2" t="str">
        <f t="shared" si="30"/>
        <v>Error?</v>
      </c>
    </row>
    <row r="2034" spans="1:4" x14ac:dyDescent="0.2">
      <c r="A2034" s="5">
        <v>1973</v>
      </c>
      <c r="B2034" s="1832">
        <f>'Cap Outlay Deprec 26'!H10</f>
        <v>33140</v>
      </c>
      <c r="D2034" s="2" t="str">
        <f t="shared" si="30"/>
        <v>Error?</v>
      </c>
    </row>
    <row r="2035" spans="1:4" x14ac:dyDescent="0.2">
      <c r="A2035" s="5">
        <v>1974</v>
      </c>
      <c r="B2035" s="1832">
        <f>'Cap Outlay Deprec 26'!H12</f>
        <v>335950</v>
      </c>
      <c r="D2035" s="2" t="str">
        <f t="shared" si="30"/>
        <v>Error?</v>
      </c>
    </row>
    <row r="2036" spans="1:4" x14ac:dyDescent="0.2">
      <c r="A2036" s="5">
        <v>1975</v>
      </c>
      <c r="B2036" s="1832">
        <f>'Cap Outlay Deprec 26'!H13</f>
        <v>137539</v>
      </c>
      <c r="D2036" s="2" t="str">
        <f t="shared" si="30"/>
        <v>Error?</v>
      </c>
    </row>
    <row r="2037" spans="1:4" x14ac:dyDescent="0.2">
      <c r="A2037" s="5">
        <v>1976</v>
      </c>
      <c r="B2037" s="1832">
        <f>'Cap Outlay Deprec 26'!H16</f>
        <v>2915976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108104</v>
      </c>
      <c r="D2039" s="2" t="str">
        <f t="shared" si="30"/>
        <v>Error?</v>
      </c>
    </row>
    <row r="2040" spans="1:4" x14ac:dyDescent="0.2">
      <c r="A2040" s="5">
        <v>1979</v>
      </c>
      <c r="B2040" s="1832">
        <f>'Cap Outlay Deprec 26'!I10</f>
        <v>7623</v>
      </c>
      <c r="D2040" s="2" t="str">
        <f t="shared" si="30"/>
        <v>Error?</v>
      </c>
    </row>
    <row r="2041" spans="1:4" x14ac:dyDescent="0.2">
      <c r="A2041" s="5">
        <v>1980</v>
      </c>
      <c r="B2041" s="1832">
        <f>'Cap Outlay Deprec 26'!I12</f>
        <v>22581</v>
      </c>
      <c r="D2041" s="2" t="str">
        <f t="shared" si="30"/>
        <v>Error?</v>
      </c>
    </row>
    <row r="2042" spans="1:4" x14ac:dyDescent="0.2">
      <c r="A2042" s="5">
        <v>1981</v>
      </c>
      <c r="B2042" s="1832">
        <f>'Cap Outlay Deprec 26'!I13</f>
        <v>26474</v>
      </c>
      <c r="D2042" s="2" t="str">
        <f t="shared" si="30"/>
        <v>Error?</v>
      </c>
    </row>
    <row r="2043" spans="1:4" x14ac:dyDescent="0.2">
      <c r="A2043" s="5">
        <v>1982</v>
      </c>
      <c r="B2043" s="1832">
        <f>'Cap Outlay Deprec 26'!I16</f>
        <v>164782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2517451</v>
      </c>
      <c r="C2051" s="2" t="s">
        <v>569</v>
      </c>
      <c r="D2051" s="2" t="str">
        <f t="shared" si="31"/>
        <v>Error?</v>
      </c>
    </row>
    <row r="2052" spans="1:4" x14ac:dyDescent="0.2">
      <c r="A2052" s="5">
        <v>1991</v>
      </c>
      <c r="B2052" s="1832">
        <f>'Cap Outlay Deprec 26'!K10</f>
        <v>40763</v>
      </c>
      <c r="C2052" s="2" t="s">
        <v>569</v>
      </c>
      <c r="D2052" s="2" t="str">
        <f t="shared" si="31"/>
        <v>Error?</v>
      </c>
    </row>
    <row r="2053" spans="1:4" x14ac:dyDescent="0.2">
      <c r="A2053" s="5">
        <v>1992</v>
      </c>
      <c r="B2053" s="1832">
        <f>'Cap Outlay Deprec 26'!K12</f>
        <v>358531</v>
      </c>
      <c r="C2053" s="2" t="s">
        <v>569</v>
      </c>
      <c r="D2053" s="2" t="str">
        <f t="shared" si="31"/>
        <v>Error?</v>
      </c>
    </row>
    <row r="2054" spans="1:4" x14ac:dyDescent="0.2">
      <c r="A2054" s="5">
        <v>1993</v>
      </c>
      <c r="B2054" s="1832">
        <f>'Cap Outlay Deprec 26'!K13</f>
        <v>164013</v>
      </c>
      <c r="C2054" s="2" t="s">
        <v>569</v>
      </c>
      <c r="D2054" s="2" t="str">
        <f t="shared" si="31"/>
        <v>Error?</v>
      </c>
    </row>
    <row r="2055" spans="1:4" x14ac:dyDescent="0.2">
      <c r="A2055" s="5">
        <v>1994</v>
      </c>
      <c r="B2055" s="1832">
        <f>'Cap Outlay Deprec 26'!K16</f>
        <v>3080758</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2878159</v>
      </c>
      <c r="C2057" s="2" t="s">
        <v>569</v>
      </c>
      <c r="D2057" s="2" t="str">
        <f t="shared" si="31"/>
        <v>Error?</v>
      </c>
    </row>
    <row r="2058" spans="1:4" x14ac:dyDescent="0.2">
      <c r="A2058" s="5">
        <v>1997</v>
      </c>
      <c r="B2058" s="1832">
        <f>'Cap Outlay Deprec 26'!L10</f>
        <v>136435</v>
      </c>
      <c r="C2058" s="2" t="s">
        <v>569</v>
      </c>
      <c r="D2058" s="2" t="str">
        <f t="shared" si="31"/>
        <v>Error?</v>
      </c>
    </row>
    <row r="2059" spans="1:4" x14ac:dyDescent="0.2">
      <c r="A2059" s="5">
        <v>1998</v>
      </c>
      <c r="B2059" s="1832">
        <f>'Cap Outlay Deprec 26'!L12</f>
        <v>151346</v>
      </c>
      <c r="C2059" s="2" t="s">
        <v>569</v>
      </c>
      <c r="D2059" s="2" t="str">
        <f t="shared" si="31"/>
        <v>Error?</v>
      </c>
    </row>
    <row r="2060" spans="1:4" x14ac:dyDescent="0.2">
      <c r="A2060" s="5">
        <v>1999</v>
      </c>
      <c r="B2060" s="1832">
        <f>'Cap Outlay Deprec 26'!L13</f>
        <v>101871</v>
      </c>
      <c r="C2060" s="2" t="s">
        <v>569</v>
      </c>
      <c r="D2060" s="2" t="str">
        <f t="shared" si="31"/>
        <v>Error?</v>
      </c>
    </row>
    <row r="2061" spans="1:4" x14ac:dyDescent="0.2">
      <c r="A2061" s="5">
        <v>2000</v>
      </c>
      <c r="B2061" s="1832">
        <f>'Cap Outlay Deprec 26'!L16</f>
        <v>3348993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230942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230942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22000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61992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169672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1682027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1081317</v>
      </c>
      <c r="C2553" s="2" t="s">
        <v>569</v>
      </c>
      <c r="D2553" s="2" t="str">
        <f t="shared" si="38"/>
        <v>Error?</v>
      </c>
    </row>
    <row r="2554" spans="1:4" x14ac:dyDescent="0.2">
      <c r="A2554" s="5">
        <v>2493</v>
      </c>
      <c r="B2554" s="1832">
        <f>'Acct Summary 7-8'!C7</f>
        <v>406308</v>
      </c>
      <c r="C2554" s="2" t="s">
        <v>569</v>
      </c>
      <c r="D2554" s="2" t="str">
        <f t="shared" si="38"/>
        <v>Error?</v>
      </c>
    </row>
    <row r="2555" spans="1:4" x14ac:dyDescent="0.2">
      <c r="A2555" s="5">
        <v>2494</v>
      </c>
      <c r="B2555" s="1832">
        <f>'Acct Summary 7-8'!C8</f>
        <v>3169652</v>
      </c>
      <c r="C2555" s="2" t="s">
        <v>569</v>
      </c>
      <c r="D2555" s="2" t="str">
        <f t="shared" si="38"/>
        <v>Error?</v>
      </c>
    </row>
    <row r="2556" spans="1:4" x14ac:dyDescent="0.2">
      <c r="A2556" s="5">
        <v>2495</v>
      </c>
      <c r="B2556" s="1832">
        <f>'Acct Summary 7-8'!C12</f>
        <v>2035581</v>
      </c>
      <c r="C2556" s="2" t="s">
        <v>569</v>
      </c>
      <c r="D2556" s="2" t="str">
        <f t="shared" si="38"/>
        <v>Error?</v>
      </c>
    </row>
    <row r="2557" spans="1:4" x14ac:dyDescent="0.2">
      <c r="A2557" s="5">
        <v>2496</v>
      </c>
      <c r="B2557" s="1832">
        <f>'Acct Summary 7-8'!C13</f>
        <v>566726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230942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2833249</v>
      </c>
      <c r="C2561" s="2" t="s">
        <v>569</v>
      </c>
      <c r="D2561" s="2" t="str">
        <f t="shared" si="39"/>
        <v>Error?</v>
      </c>
    </row>
    <row r="2562" spans="1:4" x14ac:dyDescent="0.2">
      <c r="A2562" s="5">
        <v>2501</v>
      </c>
      <c r="B2562" s="1832">
        <f>'Acct Summary 7-8'!C20</f>
        <v>336403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236280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78000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314280</v>
      </c>
      <c r="C2568" s="2" t="s">
        <v>569</v>
      </c>
      <c r="D2568" s="2" t="str">
        <f t="shared" si="39"/>
        <v>Error?</v>
      </c>
    </row>
    <row r="2569" spans="1:4" x14ac:dyDescent="0.2">
      <c r="A2569" s="5">
        <v>2508</v>
      </c>
      <c r="B2569" s="1832">
        <f>'Acct Summary 7-8'!D13</f>
        <v>272428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272428</v>
      </c>
      <c r="C2573" s="2" t="s">
        <v>569</v>
      </c>
      <c r="D2573" s="2" t="str">
        <f t="shared" si="39"/>
        <v>Error?</v>
      </c>
    </row>
    <row r="2574" spans="1:4" x14ac:dyDescent="0.2">
      <c r="A2574" s="5">
        <v>2513</v>
      </c>
      <c r="B2574" s="1832">
        <f>'Acct Summary 7-8'!D20</f>
        <v>41852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94764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106036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200800</v>
      </c>
      <c r="C2595" s="2" t="s">
        <v>569</v>
      </c>
      <c r="D2595" s="2" t="str">
        <f t="shared" si="39"/>
        <v>Error?</v>
      </c>
    </row>
    <row r="2596" spans="1:4" x14ac:dyDescent="0.2">
      <c r="A2596" s="5">
        <v>2535</v>
      </c>
      <c r="B2596" s="1832">
        <f>'Acct Summary 7-8'!F13</f>
        <v>175965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28294</v>
      </c>
      <c r="C2599" s="2" t="s">
        <v>569</v>
      </c>
      <c r="D2599" s="2" t="str">
        <f t="shared" si="39"/>
        <v>Error?</v>
      </c>
    </row>
    <row r="2600" spans="1:4" x14ac:dyDescent="0.2">
      <c r="A2600" s="5">
        <v>2539</v>
      </c>
      <c r="B2600" s="1832">
        <f>'Acct Summary 7-8'!F17</f>
        <v>204259</v>
      </c>
      <c r="C2600" s="2" t="s">
        <v>569</v>
      </c>
      <c r="D2600" s="2" t="str">
        <f t="shared" si="39"/>
        <v>Error?</v>
      </c>
    </row>
    <row r="2601" spans="1:4" x14ac:dyDescent="0.2">
      <c r="A2601" s="5">
        <v>2540</v>
      </c>
      <c r="B2601" s="1832">
        <f>'Acct Summary 7-8'!F20</f>
        <v>-3459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106921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106921</v>
      </c>
      <c r="C2606" s="2" t="s">
        <v>569</v>
      </c>
      <c r="D2606" s="2" t="str">
        <f t="shared" si="39"/>
        <v>Error?</v>
      </c>
    </row>
    <row r="2607" spans="1:4" x14ac:dyDescent="0.2">
      <c r="A2607" s="5">
        <v>2546</v>
      </c>
      <c r="B2607" s="1832">
        <f>'Acct Summary 7-8'!G12</f>
        <v>42323</v>
      </c>
      <c r="C2607" s="2" t="s">
        <v>569</v>
      </c>
      <c r="D2607" s="2" t="str">
        <f t="shared" si="39"/>
        <v>Error?</v>
      </c>
    </row>
    <row r="2608" spans="1:4" x14ac:dyDescent="0.2">
      <c r="A2608" s="5">
        <v>2547</v>
      </c>
      <c r="B2608" s="1832">
        <f>'Acct Summary 7-8'!G13</f>
        <v>61813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104136</v>
      </c>
      <c r="C2612" s="2" t="s">
        <v>569</v>
      </c>
      <c r="D2612" s="2" t="str">
        <f t="shared" si="39"/>
        <v>Error?</v>
      </c>
    </row>
    <row r="2613" spans="1:4" x14ac:dyDescent="0.2">
      <c r="A2613" s="5">
        <v>2552</v>
      </c>
      <c r="B2613" s="1832">
        <f>'Acct Summary 7-8'!G20</f>
        <v>2785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210187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210187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251601</v>
      </c>
      <c r="C2634" s="2" t="s">
        <v>569</v>
      </c>
      <c r="D2634" s="2" t="str">
        <f t="shared" si="40"/>
        <v>Error?</v>
      </c>
    </row>
    <row r="2635" spans="1:4" x14ac:dyDescent="0.2">
      <c r="A2635" s="5">
        <v>2574</v>
      </c>
      <c r="B2635" s="1832">
        <f>'Acct Summary 7-8'!E17</f>
        <v>251601</v>
      </c>
      <c r="C2635" s="2" t="s">
        <v>569</v>
      </c>
      <c r="D2635" s="2" t="str">
        <f t="shared" si="40"/>
        <v>Error?</v>
      </c>
    </row>
    <row r="2636" spans="1:4" x14ac:dyDescent="0.2">
      <c r="A2636" s="5">
        <v>2575</v>
      </c>
      <c r="B2636" s="1832">
        <f>'Acct Summary 7-8'!E20</f>
        <v>-41414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144182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144182</v>
      </c>
      <c r="C2658" s="2" t="s">
        <v>569</v>
      </c>
      <c r="D2658" s="2" t="str">
        <f t="shared" si="40"/>
        <v>Error?</v>
      </c>
    </row>
    <row r="2659" spans="1:4" x14ac:dyDescent="0.2">
      <c r="A2659" s="5">
        <v>2598</v>
      </c>
      <c r="B2659" s="1832">
        <f>'Acct Summary 7-8'!H13</f>
        <v>50672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50672</v>
      </c>
      <c r="C2661" s="2" t="s">
        <v>569</v>
      </c>
      <c r="D2661" s="2" t="str">
        <f t="shared" si="40"/>
        <v>Error?</v>
      </c>
    </row>
    <row r="2662" spans="1:4" x14ac:dyDescent="0.2">
      <c r="A2662" s="5">
        <v>2601</v>
      </c>
      <c r="B2662" s="1832">
        <f>'Acct Summary 7-8'!H20</f>
        <v>93510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2200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212718</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279649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2913</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88924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279649</v>
      </c>
      <c r="D2912" s="2" t="str">
        <f t="shared" si="44"/>
        <v>Error?</v>
      </c>
    </row>
    <row r="2913" spans="1:4" x14ac:dyDescent="0.2">
      <c r="A2913" s="5">
        <v>2852</v>
      </c>
      <c r="B2913" s="1832">
        <f>'Assets-Liab 5-6'!I41</f>
        <v>279649</v>
      </c>
      <c r="C2913" s="2" t="s">
        <v>569</v>
      </c>
      <c r="D2913" s="2" t="str">
        <f t="shared" si="44"/>
        <v>Error?</v>
      </c>
    </row>
    <row r="2914" spans="1:4" x14ac:dyDescent="0.2">
      <c r="A2914" s="5">
        <v>2853</v>
      </c>
      <c r="B2914" s="1832">
        <f>'Assets-Liab 5-6'!L33</f>
        <v>88924</v>
      </c>
      <c r="D2914" s="2" t="str">
        <f t="shared" si="44"/>
        <v>Error?</v>
      </c>
    </row>
    <row r="2915" spans="1:4" x14ac:dyDescent="0.2">
      <c r="A2915" s="10">
        <v>2854</v>
      </c>
      <c r="B2915" s="1832"/>
      <c r="D2915" s="2" t="str">
        <f t="shared" si="44"/>
        <v>OK</v>
      </c>
    </row>
    <row r="2916" spans="1:4" x14ac:dyDescent="0.2">
      <c r="A2916" s="5">
        <v>2855</v>
      </c>
      <c r="B2916" s="1832">
        <f>'Assets-Liab 5-6'!L34</f>
        <v>88924</v>
      </c>
      <c r="C2916" s="2" t="s">
        <v>569</v>
      </c>
      <c r="D2916" s="2" t="str">
        <f t="shared" si="44"/>
        <v>Error?</v>
      </c>
    </row>
    <row r="2917" spans="1:4" x14ac:dyDescent="0.2">
      <c r="A2917" s="5">
        <v>2856</v>
      </c>
      <c r="B2917" s="1832">
        <f>'Assets-Liab 5-6'!L41</f>
        <v>88924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157592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73350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157592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73350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35255</v>
      </c>
      <c r="D3055" s="2" t="str">
        <f t="shared" si="46"/>
        <v>Error?</v>
      </c>
    </row>
    <row r="3056" spans="1:4" x14ac:dyDescent="0.2">
      <c r="A3056" s="5">
        <v>2995</v>
      </c>
      <c r="B3056" s="1832">
        <f>'Expenditures 15-22'!D10</f>
        <v>4744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552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40551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2218</v>
      </c>
      <c r="D3064" s="2" t="str">
        <f t="shared" si="46"/>
        <v>Error?</v>
      </c>
    </row>
    <row r="3065" spans="1:4" x14ac:dyDescent="0.2">
      <c r="A3065" s="5">
        <v>3004</v>
      </c>
      <c r="B3065" s="1832">
        <f>'Expenditures 15-22'!K219</f>
        <v>2218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24000</v>
      </c>
      <c r="C3225" s="2" t="s">
        <v>569</v>
      </c>
      <c r="D3225" s="2" t="str">
        <f t="shared" si="49"/>
        <v>Error?</v>
      </c>
    </row>
    <row r="3226" spans="1:4" x14ac:dyDescent="0.2">
      <c r="A3226" s="5">
        <v>3165</v>
      </c>
      <c r="B3226" s="1832">
        <f>'Acct Summary 7-8'!I8</f>
        <v>24000</v>
      </c>
      <c r="C3226" s="2" t="s">
        <v>569</v>
      </c>
      <c r="D3226" s="2" t="str">
        <f t="shared" si="49"/>
        <v>Error?</v>
      </c>
    </row>
    <row r="3227" spans="1:4" x14ac:dyDescent="0.2">
      <c r="A3227" s="5">
        <v>3166</v>
      </c>
      <c r="B3227" s="1832">
        <f>'Acct Summary 7-8'!I20</f>
        <v>24000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336403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22000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22000</v>
      </c>
      <c r="C3238" s="2" t="s">
        <v>569</v>
      </c>
      <c r="D3238" s="2" t="str">
        <f t="shared" si="49"/>
        <v>Error?</v>
      </c>
    </row>
    <row r="3239" spans="1:4" x14ac:dyDescent="0.2">
      <c r="A3239" s="5">
        <v>3178</v>
      </c>
      <c r="B3239" s="1832">
        <f>'Acct Summary 7-8'!D78</f>
        <v>63852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45000</v>
      </c>
      <c r="D3251" s="2" t="str">
        <f t="shared" si="49"/>
        <v>Error?</v>
      </c>
    </row>
    <row r="3252" spans="1:4" x14ac:dyDescent="0.2">
      <c r="A3252" s="5">
        <v>3191</v>
      </c>
      <c r="B3252" s="1832">
        <f>'Acct Summary 7-8'!F44</f>
        <v>45625</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45625</v>
      </c>
      <c r="C3255" s="2" t="s">
        <v>569</v>
      </c>
      <c r="D3255" s="2" t="str">
        <f t="shared" si="49"/>
        <v>Error?</v>
      </c>
    </row>
    <row r="3256" spans="1:4" x14ac:dyDescent="0.2">
      <c r="A3256" s="5">
        <v>3195</v>
      </c>
      <c r="B3256" s="1832">
        <f>'Acct Summary 7-8'!F78</f>
        <v>42166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2785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-41414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93510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22000</v>
      </c>
      <c r="C3318" s="2" t="s">
        <v>569</v>
      </c>
      <c r="D3318" s="2" t="str">
        <f t="shared" si="50"/>
        <v>Error?</v>
      </c>
    </row>
    <row r="3319" spans="1:4" x14ac:dyDescent="0.2">
      <c r="A3319" s="5">
        <v>3258</v>
      </c>
      <c r="B3319" s="1832">
        <f>'Acct Summary 7-8'!I77</f>
        <v>-22000</v>
      </c>
      <c r="C3319" s="2" t="s">
        <v>569</v>
      </c>
      <c r="D3319" s="2" t="str">
        <f t="shared" si="50"/>
        <v>Error?</v>
      </c>
    </row>
    <row r="3320" spans="1:4" x14ac:dyDescent="0.2">
      <c r="A3320" s="5">
        <v>3259</v>
      </c>
      <c r="B3320" s="1832">
        <f>'Acct Summary 7-8'!I78</f>
        <v>2000</v>
      </c>
      <c r="C3320" s="2" t="s">
        <v>569</v>
      </c>
      <c r="D3320" s="2" t="str">
        <f t="shared" si="50"/>
        <v>Error?</v>
      </c>
    </row>
    <row r="3321" spans="1:4" x14ac:dyDescent="0.2">
      <c r="A3321" s="5">
        <v>3260</v>
      </c>
      <c r="B3321" s="1832">
        <f>'Acct Summary 7-8'!I79</f>
        <v>277649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279649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57814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23445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674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81933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22502</v>
      </c>
      <c r="D3387" s="2" t="str">
        <f t="shared" si="51"/>
        <v>Error?</v>
      </c>
    </row>
    <row r="3388" spans="1:4" x14ac:dyDescent="0.2">
      <c r="A3388" s="5">
        <v>3327</v>
      </c>
      <c r="B3388" s="1832">
        <f>'Expenditures 15-22'!D217</f>
        <v>10366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22502</v>
      </c>
      <c r="C3390" s="2" t="s">
        <v>569</v>
      </c>
      <c r="D3390" s="2" t="str">
        <f t="shared" si="51"/>
        <v>Error?</v>
      </c>
    </row>
    <row r="3391" spans="1:4" x14ac:dyDescent="0.2">
      <c r="A3391" s="5">
        <v>3330</v>
      </c>
      <c r="B3391" s="1832">
        <f>'Expenditures 15-22'!K217</f>
        <v>10366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576411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75488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19452</v>
      </c>
      <c r="D3417" s="2" t="str">
        <f t="shared" si="52"/>
        <v>Error?</v>
      </c>
    </row>
    <row r="3418" spans="1:4" x14ac:dyDescent="0.2">
      <c r="A3418" s="10">
        <v>3357</v>
      </c>
      <c r="B3418" s="1832"/>
      <c r="D3418" s="2" t="str">
        <f t="shared" si="52"/>
        <v>OK</v>
      </c>
    </row>
    <row r="3419" spans="1:4" x14ac:dyDescent="0.2">
      <c r="A3419" s="5">
        <v>3358</v>
      </c>
      <c r="B3419" s="1832">
        <f>'Assets-Liab 5-6'!F4</f>
        <v>180453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88555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169672</v>
      </c>
      <c r="D3425" s="2" t="str">
        <f t="shared" si="52"/>
        <v>Error?</v>
      </c>
    </row>
    <row r="3426" spans="1:4" x14ac:dyDescent="0.2">
      <c r="A3426" s="10">
        <v>3365</v>
      </c>
      <c r="B3426" s="1832"/>
      <c r="D3426" s="2" t="str">
        <f t="shared" si="52"/>
        <v>OK</v>
      </c>
    </row>
    <row r="3427" spans="1:4" x14ac:dyDescent="0.2">
      <c r="A3427" s="5">
        <v>3366</v>
      </c>
      <c r="B3427" s="1832">
        <f>'Assets-Liab 5-6'!I4</f>
        <v>66931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86011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74635</v>
      </c>
      <c r="C3446" s="2" t="s">
        <v>569</v>
      </c>
      <c r="D3446" s="2" t="str">
        <f t="shared" si="52"/>
        <v>Error?</v>
      </c>
    </row>
    <row r="3447" spans="1:4" x14ac:dyDescent="0.2">
      <c r="A3447" s="5">
        <v>3386</v>
      </c>
      <c r="B3447" s="1832">
        <f>'Tax Sched 23'!D16</f>
        <v>74635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70003</v>
      </c>
      <c r="C3449" s="2" t="s">
        <v>569</v>
      </c>
      <c r="D3449" s="2" t="str">
        <f t="shared" si="52"/>
        <v>Error?</v>
      </c>
    </row>
    <row r="3450" spans="1:4" x14ac:dyDescent="0.2">
      <c r="A3450" s="5">
        <v>3389</v>
      </c>
      <c r="B3450" s="1832">
        <f>'Tax Sched 23'!E16</f>
        <v>70003</v>
      </c>
      <c r="D3450" s="2" t="str">
        <f t="shared" si="52"/>
        <v>Error?</v>
      </c>
    </row>
    <row r="3451" spans="1:4" x14ac:dyDescent="0.2">
      <c r="A3451" s="5">
        <v>3390</v>
      </c>
      <c r="B3451" s="1832">
        <f>'Cap Outlay Deprec 26'!C15</f>
        <v>2200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2200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2200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625</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39680</v>
      </c>
      <c r="D3546" s="2" t="str">
        <f t="shared" si="54"/>
        <v>Error?</v>
      </c>
    </row>
    <row r="3547" spans="1:4" x14ac:dyDescent="0.2">
      <c r="A3547" s="10">
        <v>3486</v>
      </c>
      <c r="B3547" s="1832"/>
      <c r="D3547" s="2" t="str">
        <f t="shared" si="54"/>
        <v>OK</v>
      </c>
    </row>
    <row r="3548" spans="1:4" x14ac:dyDescent="0.2">
      <c r="A3548" s="5">
        <v>3487</v>
      </c>
      <c r="B3548" s="1832" t="str">
        <f>'Assets-Liab 5-6'!K6</f>
        <v xml:space="preserve"> </v>
      </c>
      <c r="D3548" s="2" t="e">
        <f t="shared" si="54"/>
        <v>#VALUE!</v>
      </c>
    </row>
    <row r="3549" spans="1:4" x14ac:dyDescent="0.2">
      <c r="A3549" s="5">
        <v>3488</v>
      </c>
      <c r="B3549" s="1832">
        <f>'Assets-Liab 5-6'!K10</f>
        <v>0</v>
      </c>
      <c r="D3549" s="2" t="str">
        <f t="shared" si="54"/>
        <v>Error?</v>
      </c>
    </row>
    <row r="3550" spans="1:4" x14ac:dyDescent="0.2">
      <c r="A3550" s="5">
        <v>3489</v>
      </c>
      <c r="B3550" s="1832">
        <f>'Assets-Liab 5-6'!K5</f>
        <v>11948</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51628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51628</v>
      </c>
      <c r="D3567" s="2" t="str">
        <f t="shared" si="54"/>
        <v>Error?</v>
      </c>
    </row>
    <row r="3568" spans="1:4" x14ac:dyDescent="0.2">
      <c r="A3568" s="5">
        <v>3507</v>
      </c>
      <c r="B3568" s="1832">
        <f>'Assets-Liab 5-6'!K41</f>
        <v>51628</v>
      </c>
      <c r="C3568" s="2" t="s">
        <v>569</v>
      </c>
      <c r="D3568" s="2" t="str">
        <f t="shared" si="54"/>
        <v>Error?</v>
      </c>
    </row>
    <row r="3569" spans="1:4" x14ac:dyDescent="0.2">
      <c r="A3569" s="5">
        <v>3508</v>
      </c>
      <c r="B3569" s="1832">
        <f>'Acct Summary 7-8'!K4</f>
        <v>23725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23725</v>
      </c>
      <c r="C3571" s="2" t="s">
        <v>569</v>
      </c>
      <c r="D3571" s="2" t="str">
        <f t="shared" si="54"/>
        <v>Error?</v>
      </c>
    </row>
    <row r="3572" spans="1:4" x14ac:dyDescent="0.2">
      <c r="A3572" s="5">
        <v>3511</v>
      </c>
      <c r="B3572" s="1832">
        <f>'Acct Summary 7-8'!K13</f>
        <v>3087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3087</v>
      </c>
      <c r="C3575" s="2" t="s">
        <v>569</v>
      </c>
      <c r="D3575" s="2" t="str">
        <f t="shared" si="54"/>
        <v>Error?</v>
      </c>
    </row>
    <row r="3576" spans="1:4" x14ac:dyDescent="0.2">
      <c r="A3576" s="5">
        <v>3515</v>
      </c>
      <c r="B3576" s="1832">
        <f>'Acct Summary 7-8'!K20</f>
        <v>20638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20638</v>
      </c>
      <c r="C3588" s="2" t="s">
        <v>569</v>
      </c>
      <c r="D3588" s="2" t="str">
        <f t="shared" si="55"/>
        <v>Error?</v>
      </c>
    </row>
    <row r="3589" spans="1:4" x14ac:dyDescent="0.2">
      <c r="A3589" s="5">
        <v>3528</v>
      </c>
      <c r="B3589" s="1832">
        <f>'Acct Summary 7-8'!K79</f>
        <v>30990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51628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952</v>
      </c>
      <c r="D3632" s="2" t="str">
        <f t="shared" si="55"/>
        <v>Error?</v>
      </c>
    </row>
    <row r="3633" spans="1:4" x14ac:dyDescent="0.2">
      <c r="A3633" s="5">
        <v>3572</v>
      </c>
      <c r="B3633" s="1832">
        <f>'Expenditures 15-22'!E350</f>
        <v>952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952</v>
      </c>
      <c r="C3635" s="2" t="s">
        <v>569</v>
      </c>
      <c r="D3635" s="2" t="str">
        <f t="shared" si="55"/>
        <v>Error?</v>
      </c>
    </row>
    <row r="3636" spans="1:4" x14ac:dyDescent="0.2">
      <c r="A3636" s="5">
        <v>3575</v>
      </c>
      <c r="B3636" s="1832">
        <f>'Expenditures 15-22'!E367</f>
        <v>952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2135</v>
      </c>
      <c r="D3646" s="2" t="str">
        <f t="shared" si="55"/>
        <v>Error?</v>
      </c>
    </row>
    <row r="3647" spans="1:4" x14ac:dyDescent="0.2">
      <c r="A3647" s="5">
        <v>3586</v>
      </c>
      <c r="B3647" s="1832">
        <f>'Expenditures 15-22'!G350</f>
        <v>2135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2135</v>
      </c>
      <c r="C3649" s="2" t="s">
        <v>569</v>
      </c>
      <c r="D3649" s="2" t="str">
        <f t="shared" si="56"/>
        <v>Error?</v>
      </c>
    </row>
    <row r="3650" spans="1:4" x14ac:dyDescent="0.2">
      <c r="A3650" s="5">
        <v>3589</v>
      </c>
      <c r="B3650" s="1832">
        <f>'Expenditures 15-22'!G367</f>
        <v>2135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3087</v>
      </c>
      <c r="C3669" s="2" t="s">
        <v>569</v>
      </c>
      <c r="D3669" s="2" t="str">
        <f t="shared" si="56"/>
        <v>Error?</v>
      </c>
    </row>
    <row r="3670" spans="1:4" x14ac:dyDescent="0.2">
      <c r="A3670" s="5">
        <v>3609</v>
      </c>
      <c r="B3670" s="1832">
        <f>'Expenditures 15-22'!K350</f>
        <v>3087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3087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3087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20638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23874</v>
      </c>
      <c r="C3725" s="2" t="s">
        <v>569</v>
      </c>
      <c r="D3725" s="2" t="str">
        <f t="shared" si="57"/>
        <v>Error?</v>
      </c>
    </row>
    <row r="3726" spans="1:4" x14ac:dyDescent="0.2">
      <c r="A3726" s="5">
        <v>3665</v>
      </c>
      <c r="B3726" s="1832">
        <f>'Tax Sched 23'!D13</f>
        <v>23874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25214</v>
      </c>
      <c r="C3728" s="2" t="s">
        <v>569</v>
      </c>
      <c r="D3728" s="2" t="str">
        <f t="shared" si="57"/>
        <v>Error?</v>
      </c>
    </row>
    <row r="3729" spans="1:4" x14ac:dyDescent="0.2">
      <c r="A3729" s="5">
        <v>3668</v>
      </c>
      <c r="B3729" s="1832">
        <f>'Tax Sched 23'!E13</f>
        <v>25214</v>
      </c>
      <c r="D3729" s="2" t="str">
        <f t="shared" si="57"/>
        <v>Error?</v>
      </c>
    </row>
    <row r="3730" spans="1:4" x14ac:dyDescent="0.2">
      <c r="A3730" s="5">
        <v>3669</v>
      </c>
      <c r="B3730" s="1832">
        <f>'ICR Computation 30'!E10</f>
        <v>89749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1154487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4324139</v>
      </c>
      <c r="C4122" s="2" t="s">
        <v>569</v>
      </c>
      <c r="D4122" s="2" t="str">
        <f t="shared" si="63"/>
        <v>Error?</v>
      </c>
    </row>
    <row r="4123" spans="1:4" x14ac:dyDescent="0.2">
      <c r="A4123" s="5">
        <v>4062</v>
      </c>
      <c r="B4123" s="1832">
        <f>'Acct Summary 7-8'!D10</f>
        <v>314280</v>
      </c>
      <c r="C4123" s="2" t="s">
        <v>569</v>
      </c>
      <c r="D4123" s="2" t="str">
        <f t="shared" si="63"/>
        <v>Error?</v>
      </c>
    </row>
    <row r="4124" spans="1:4" x14ac:dyDescent="0.2">
      <c r="A4124" s="5">
        <v>4063</v>
      </c>
      <c r="B4124" s="1832">
        <f>'Acct Summary 7-8'!E10</f>
        <v>210187</v>
      </c>
      <c r="C4124" s="2" t="s">
        <v>569</v>
      </c>
      <c r="D4124" s="2" t="str">
        <f t="shared" si="63"/>
        <v>Error?</v>
      </c>
    </row>
    <row r="4125" spans="1:4" x14ac:dyDescent="0.2">
      <c r="A4125" s="5">
        <v>4064</v>
      </c>
      <c r="B4125" s="1832">
        <f>'Acct Summary 7-8'!F10</f>
        <v>200800</v>
      </c>
      <c r="C4125" s="2" t="s">
        <v>569</v>
      </c>
      <c r="D4125" s="2" t="str">
        <f t="shared" si="63"/>
        <v>Error?</v>
      </c>
    </row>
    <row r="4126" spans="1:4" x14ac:dyDescent="0.2">
      <c r="A4126" s="5">
        <v>4065</v>
      </c>
      <c r="B4126" s="1832">
        <f>'Acct Summary 7-8'!G10</f>
        <v>106921</v>
      </c>
      <c r="C4126" s="2" t="s">
        <v>569</v>
      </c>
      <c r="D4126" s="2" t="str">
        <f t="shared" si="63"/>
        <v>Error?</v>
      </c>
    </row>
    <row r="4127" spans="1:4" x14ac:dyDescent="0.2">
      <c r="A4127" s="5">
        <v>4066</v>
      </c>
      <c r="B4127" s="1832">
        <f>'Acct Summary 7-8'!H10</f>
        <v>144182</v>
      </c>
      <c r="C4127" s="2" t="s">
        <v>569</v>
      </c>
      <c r="D4127" s="2" t="str">
        <f t="shared" si="63"/>
        <v>Error?</v>
      </c>
    </row>
    <row r="4128" spans="1:4" x14ac:dyDescent="0.2">
      <c r="A4128" s="5">
        <v>4067</v>
      </c>
      <c r="B4128" s="1832">
        <f>'Acct Summary 7-8'!I10</f>
        <v>24000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23725</v>
      </c>
      <c r="C4130" s="2" t="s">
        <v>569</v>
      </c>
      <c r="D4130" s="2" t="str">
        <f t="shared" si="63"/>
        <v>Error?</v>
      </c>
    </row>
    <row r="4131" spans="1:4" x14ac:dyDescent="0.2">
      <c r="A4131" s="5">
        <v>4070</v>
      </c>
      <c r="B4131" s="1832">
        <f>'Acct Summary 7-8'!C18</f>
        <v>1154487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3987736</v>
      </c>
      <c r="C4136" s="2" t="s">
        <v>569</v>
      </c>
      <c r="D4136" s="2" t="str">
        <f t="shared" si="63"/>
        <v>Error?</v>
      </c>
    </row>
    <row r="4137" spans="1:4" x14ac:dyDescent="0.2">
      <c r="A4137" s="5">
        <v>4076</v>
      </c>
      <c r="B4137" s="1832">
        <f>'Acct Summary 7-8'!D19</f>
        <v>272428</v>
      </c>
      <c r="C4137" s="2" t="s">
        <v>569</v>
      </c>
      <c r="D4137" s="2" t="str">
        <f t="shared" si="63"/>
        <v>Error?</v>
      </c>
    </row>
    <row r="4138" spans="1:4" x14ac:dyDescent="0.2">
      <c r="A4138" s="5">
        <v>4077</v>
      </c>
      <c r="B4138" s="1832">
        <f>'Acct Summary 7-8'!E19</f>
        <v>251601</v>
      </c>
      <c r="C4138" s="2" t="s">
        <v>569</v>
      </c>
      <c r="D4138" s="2" t="str">
        <f t="shared" si="63"/>
        <v>Error?</v>
      </c>
    </row>
    <row r="4139" spans="1:4" x14ac:dyDescent="0.2">
      <c r="A4139" s="5">
        <v>4078</v>
      </c>
      <c r="B4139" s="1832">
        <f>'Acct Summary 7-8'!F19</f>
        <v>204259</v>
      </c>
      <c r="C4139" s="2" t="s">
        <v>569</v>
      </c>
      <c r="D4139" s="2" t="str">
        <f t="shared" si="63"/>
        <v>Error?</v>
      </c>
    </row>
    <row r="4140" spans="1:4" x14ac:dyDescent="0.2">
      <c r="A4140" s="5">
        <v>4079</v>
      </c>
      <c r="B4140" s="1832">
        <f>'Acct Summary 7-8'!G19</f>
        <v>104136</v>
      </c>
      <c r="C4140" s="2" t="s">
        <v>569</v>
      </c>
      <c r="D4140" s="2" t="str">
        <f t="shared" si="63"/>
        <v>Error?</v>
      </c>
    </row>
    <row r="4141" spans="1:4" x14ac:dyDescent="0.2">
      <c r="A4141" s="5">
        <v>4080</v>
      </c>
      <c r="B4141" s="1832">
        <f>'Acct Summary 7-8'!H19</f>
        <v>50672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3087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1427729</v>
      </c>
      <c r="C4171" s="2" t="s">
        <v>569</v>
      </c>
      <c r="D4171" s="2" t="str">
        <f t="shared" si="64"/>
        <v>Error?</v>
      </c>
    </row>
    <row r="4172" spans="1:4" x14ac:dyDescent="0.2">
      <c r="A4172" s="5">
        <v>4111</v>
      </c>
      <c r="B4172" s="1832">
        <f>'Short-Term Long-Term Debt 24'!J49</f>
        <v>1408276</v>
      </c>
      <c r="C4172" s="2" t="s">
        <v>569</v>
      </c>
      <c r="D4172" s="2" t="str">
        <f t="shared" si="64"/>
        <v>Error?</v>
      </c>
    </row>
    <row r="4173" spans="1:4" x14ac:dyDescent="0.2">
      <c r="A4173" s="5">
        <v>4112</v>
      </c>
      <c r="B4173" s="1832">
        <f>'Short-Term Long-Term Debt 24'!H49</f>
        <v>216958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26958</v>
      </c>
      <c r="D4210" s="2" t="str">
        <f t="shared" si="64"/>
        <v>Error?</v>
      </c>
    </row>
    <row r="4211" spans="1:4" x14ac:dyDescent="0.2">
      <c r="A4211" s="5">
        <v>4150</v>
      </c>
      <c r="B4211" s="1832">
        <f>'Expenditures 15-22'!K206</f>
        <v>26958</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2999.5</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3700</v>
      </c>
      <c r="C4268" s="2" t="s">
        <v>569</v>
      </c>
      <c r="D4268" s="2" t="str">
        <f t="shared" si="65"/>
        <v>Error?</v>
      </c>
    </row>
    <row r="4269" spans="1:5" x14ac:dyDescent="0.2">
      <c r="A4269" s="12">
        <v>4208</v>
      </c>
      <c r="B4269" s="1832">
        <f>'FP Info 3'!J16</f>
        <v>1431549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215136</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39205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39205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9879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10435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50339096</v>
      </c>
      <c r="D4995" s="2" t="str">
        <f t="shared" si="77"/>
        <v>Error?</v>
      </c>
    </row>
    <row r="4996" spans="1:4" x14ac:dyDescent="0.2">
      <c r="A4996" s="12">
        <v>4935</v>
      </c>
      <c r="B4996" s="1832">
        <f>'FP Info 3'!H31</f>
        <v>6946795.2480000006</v>
      </c>
      <c r="D4996" s="2" t="str">
        <f t="shared" si="77"/>
        <v>Error?</v>
      </c>
    </row>
    <row r="4997" spans="1:4" x14ac:dyDescent="0.2">
      <c r="A4997" s="12">
        <v>4936</v>
      </c>
      <c r="B4997" s="1832">
        <f>'FP Info 3'!H37</f>
        <v>1427729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23874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1417681</v>
      </c>
      <c r="D5061" s="2" t="str">
        <f t="shared" si="78"/>
        <v>Error?</v>
      </c>
    </row>
    <row r="5062" spans="1:4" x14ac:dyDescent="0.2">
      <c r="A5062" s="10">
        <v>5001</v>
      </c>
      <c r="B5062" s="1832"/>
      <c r="D5062" s="2" t="str">
        <f t="shared" si="78"/>
        <v>OK</v>
      </c>
    </row>
    <row r="5063" spans="1:4" x14ac:dyDescent="0.2">
      <c r="A5063" s="5">
        <v>5002</v>
      </c>
      <c r="B5063" s="1832">
        <f>'Revenues 9-14'!C7</f>
        <v>18902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1460457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76074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76074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36654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36654</v>
      </c>
      <c r="C5090" s="2" t="s">
        <v>569</v>
      </c>
      <c r="D5090" s="2" t="str">
        <f t="shared" si="78"/>
        <v>Error?</v>
      </c>
    </row>
    <row r="5091" spans="1:4" x14ac:dyDescent="0.2">
      <c r="A5091" s="5">
        <v>5030</v>
      </c>
      <c r="B5091" s="1832">
        <f>'Revenues 9-14'!C70</f>
        <v>3508</v>
      </c>
      <c r="D5091" s="2" t="str">
        <f t="shared" si="78"/>
        <v>Error?</v>
      </c>
    </row>
    <row r="5092" spans="1:4" x14ac:dyDescent="0.2">
      <c r="A5092" s="5">
        <v>5031</v>
      </c>
      <c r="B5092" s="1832">
        <f>'Revenues 9-14'!C71</f>
        <v>6454</v>
      </c>
      <c r="D5092" s="2" t="str">
        <f t="shared" si="78"/>
        <v>Error?</v>
      </c>
    </row>
    <row r="5093" spans="1:4" x14ac:dyDescent="0.2">
      <c r="A5093" s="5">
        <v>5032</v>
      </c>
      <c r="B5093" s="1832">
        <f>'Revenues 9-14'!C72</f>
        <v>75</v>
      </c>
      <c r="D5093" s="2" t="str">
        <f t="shared" si="78"/>
        <v>Error?</v>
      </c>
    </row>
    <row r="5094" spans="1:4" x14ac:dyDescent="0.2">
      <c r="A5094" s="5">
        <v>5033</v>
      </c>
      <c r="B5094" s="1832">
        <f>'Revenues 9-14'!C73</f>
        <v>2027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34113</v>
      </c>
      <c r="C5096" s="2" t="s">
        <v>569</v>
      </c>
      <c r="D5096" s="2" t="str">
        <f t="shared" si="78"/>
        <v>Error?</v>
      </c>
    </row>
    <row r="5097" spans="1:4" x14ac:dyDescent="0.2">
      <c r="A5097" s="5">
        <v>5036</v>
      </c>
      <c r="B5097" s="1832">
        <f>'Revenues 9-14'!C77</f>
        <v>11891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3124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6365</v>
      </c>
      <c r="D5101" s="2" t="str">
        <f t="shared" si="78"/>
        <v>Error?</v>
      </c>
    </row>
    <row r="5102" spans="1:4" x14ac:dyDescent="0.2">
      <c r="A5102" s="5">
        <v>5041</v>
      </c>
      <c r="B5102" s="1832">
        <f>'Revenues 9-14'!C82</f>
        <v>21380</v>
      </c>
      <c r="C5102" s="2" t="s">
        <v>569</v>
      </c>
      <c r="D5102" s="2" t="str">
        <f t="shared" si="78"/>
        <v>Error?</v>
      </c>
    </row>
    <row r="5103" spans="1:4" x14ac:dyDescent="0.2">
      <c r="A5103" s="5">
        <v>5042</v>
      </c>
      <c r="B5103" s="1832">
        <f>'Revenues 9-14'!C84</f>
        <v>12204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12204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26220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13800</v>
      </c>
      <c r="D5119" s="2" t="str">
        <f t="shared" ref="D5119:D5182" si="79">IF(ISBLANK(B5119),"OK",IF(A5119-B5119=0,"OK","Error?"))</f>
        <v>Error?</v>
      </c>
    </row>
    <row r="5120" spans="1:4" x14ac:dyDescent="0.2">
      <c r="A5120" s="5">
        <v>5059</v>
      </c>
      <c r="B5120" s="1832">
        <f>'Revenues 9-14'!C108</f>
        <v>41145</v>
      </c>
      <c r="C5120" s="2" t="s">
        <v>569</v>
      </c>
      <c r="D5120" s="2" t="str">
        <f t="shared" si="79"/>
        <v>Error?</v>
      </c>
    </row>
    <row r="5121" spans="1:4" x14ac:dyDescent="0.2">
      <c r="A5121" s="5">
        <v>5060</v>
      </c>
      <c r="B5121" s="1832">
        <f>'Revenues 9-14'!C109</f>
        <v>1682027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786586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786586</v>
      </c>
      <c r="C5132" s="2" t="s">
        <v>569</v>
      </c>
      <c r="D5132" s="2" t="str">
        <f t="shared" si="79"/>
        <v>Error?</v>
      </c>
    </row>
    <row r="5133" spans="1:4" x14ac:dyDescent="0.2">
      <c r="A5133" s="5">
        <v>5072</v>
      </c>
      <c r="B5133" s="1832">
        <f>'Revenues 9-14'!C125</f>
        <v>30213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106936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137149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15814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634</v>
      </c>
      <c r="D5167" s="2" t="str">
        <f t="shared" si="79"/>
        <v>Error?</v>
      </c>
    </row>
    <row r="5168" spans="1:4" x14ac:dyDescent="0.2">
      <c r="A5168" s="5">
        <v>5107</v>
      </c>
      <c r="B5168" s="1832">
        <f>'Revenues 9-14'!C148</f>
        <v>2497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128202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294731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1081317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32497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12688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45185</v>
      </c>
      <c r="C5246" s="2" t="s">
        <v>569</v>
      </c>
      <c r="D5246" s="2" t="str">
        <f t="shared" si="80"/>
        <v>Error?</v>
      </c>
    </row>
    <row r="5247" spans="1:4" x14ac:dyDescent="0.2">
      <c r="A5247" s="5">
        <v>5186</v>
      </c>
      <c r="B5247" s="1832">
        <f>'Revenues 9-14'!C200</f>
        <v>41295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256431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55608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55608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406308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406308</v>
      </c>
      <c r="C5326" s="2" t="s">
        <v>569</v>
      </c>
      <c r="D5326" s="2" t="str">
        <f t="shared" si="82"/>
        <v>Error?</v>
      </c>
    </row>
    <row r="5327" spans="1:5" x14ac:dyDescent="0.2">
      <c r="A5327" s="5">
        <v>5266</v>
      </c>
      <c r="B5327" s="1832">
        <f>'Revenues 9-14'!C268</f>
        <v>3169652</v>
      </c>
      <c r="C5327" s="2" t="s">
        <v>569</v>
      </c>
      <c r="D5327" s="2" t="str">
        <f t="shared" si="82"/>
        <v>Error?</v>
      </c>
    </row>
    <row r="5328" spans="1:5" x14ac:dyDescent="0.2">
      <c r="A5328" s="5">
        <v>5267</v>
      </c>
      <c r="B5328" s="1832">
        <f>'Revenues 9-14'!D5</f>
        <v>236280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236280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236280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28000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28000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78000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314280</v>
      </c>
      <c r="C5508" s="2" t="s">
        <v>569</v>
      </c>
      <c r="D5508" s="2" t="str">
        <f t="shared" si="85"/>
        <v>Error?</v>
      </c>
    </row>
    <row r="5509" spans="1:4" x14ac:dyDescent="0.2">
      <c r="A5509" s="5">
        <v>5448</v>
      </c>
      <c r="B5509" s="1832">
        <f>'Revenues 9-14'!E5</f>
        <v>210187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210187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210187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210187</v>
      </c>
      <c r="C5552" s="2" t="s">
        <v>569</v>
      </c>
      <c r="D5552" s="2" t="str">
        <f t="shared" si="85"/>
        <v>Error?</v>
      </c>
    </row>
    <row r="5553" spans="1:4" x14ac:dyDescent="0.2">
      <c r="A5553" s="5">
        <v>5492</v>
      </c>
      <c r="B5553" s="1832">
        <f>'Revenues 9-14'!F5</f>
        <v>94512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94512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250</v>
      </c>
      <c r="D5586" s="2" t="str">
        <f t="shared" si="86"/>
        <v>Error?</v>
      </c>
    </row>
    <row r="5587" spans="1:4" x14ac:dyDescent="0.2">
      <c r="A5587" s="5">
        <v>5526</v>
      </c>
      <c r="B5587" s="1832">
        <f>'Revenues 9-14'!F108</f>
        <v>250</v>
      </c>
      <c r="C5587" s="2" t="s">
        <v>569</v>
      </c>
      <c r="D5587" s="2" t="str">
        <f t="shared" si="86"/>
        <v>Error?</v>
      </c>
    </row>
    <row r="5588" spans="1:4" x14ac:dyDescent="0.2">
      <c r="A5588" s="5">
        <v>5527</v>
      </c>
      <c r="B5588" s="1832">
        <f>'Revenues 9-14'!F109</f>
        <v>94764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13000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13000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34776</v>
      </c>
      <c r="D5615" s="2" t="str">
        <f t="shared" si="86"/>
        <v>Error?</v>
      </c>
    </row>
    <row r="5616" spans="1:4" x14ac:dyDescent="0.2">
      <c r="A5616" s="10">
        <v>5555</v>
      </c>
      <c r="B5616" s="1832"/>
      <c r="D5616" s="2" t="str">
        <f t="shared" si="86"/>
        <v>OK</v>
      </c>
    </row>
    <row r="5617" spans="1:5" x14ac:dyDescent="0.2">
      <c r="A5617" s="5">
        <v>5556</v>
      </c>
      <c r="B5617" s="1832">
        <f>'Revenues 9-14'!F153</f>
        <v>48048</v>
      </c>
      <c r="D5617" s="2" t="str">
        <f t="shared" si="86"/>
        <v>Error?</v>
      </c>
    </row>
    <row r="5618" spans="1:5" x14ac:dyDescent="0.2">
      <c r="A5618" s="5">
        <v>5557</v>
      </c>
      <c r="B5618" s="1832">
        <f>'Revenues 9-14'!F155</f>
        <v>82824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10212</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93036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106036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200800</v>
      </c>
      <c r="C5720" s="2" t="s">
        <v>569</v>
      </c>
      <c r="D5720" s="2" t="str">
        <f t="shared" si="88"/>
        <v>Error?</v>
      </c>
    </row>
    <row r="5721" spans="1:4" x14ac:dyDescent="0.2">
      <c r="A5721" s="5">
        <v>5660</v>
      </c>
      <c r="B5721" s="1832">
        <f>'Revenues 9-14'!G5</f>
        <v>29856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74635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104491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2427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2427</v>
      </c>
      <c r="C5730" s="2" t="s">
        <v>569</v>
      </c>
      <c r="D5730" s="2" t="str">
        <f t="shared" si="88"/>
        <v>Error?</v>
      </c>
    </row>
    <row r="5731" spans="1:4" x14ac:dyDescent="0.2">
      <c r="A5731" s="5">
        <v>5670</v>
      </c>
      <c r="B5731" s="1832">
        <f>'Revenues 9-14'!G65</f>
        <v>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106921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144182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144182</v>
      </c>
      <c r="C5915" s="2" t="s">
        <v>569</v>
      </c>
      <c r="D5915" s="2" t="str">
        <f t="shared" si="91"/>
        <v>Error?</v>
      </c>
    </row>
    <row r="5916" spans="1:4" x14ac:dyDescent="0.2">
      <c r="A5916" s="5">
        <v>5855</v>
      </c>
      <c r="B5916" s="1832">
        <f>'Revenues 9-14'!I5</f>
        <v>23628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23628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372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372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24000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23628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23628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23725</v>
      </c>
      <c r="C6023" s="2" t="s">
        <v>569</v>
      </c>
      <c r="D6023" s="2" t="str">
        <f t="shared" si="93"/>
        <v>Error?</v>
      </c>
    </row>
    <row r="6024" spans="1:5" x14ac:dyDescent="0.2">
      <c r="A6024" s="5">
        <v>5963</v>
      </c>
      <c r="B6024" s="1832">
        <f>'Revenues 9-14'!G109</f>
        <v>106921</v>
      </c>
      <c r="C6024" s="2" t="s">
        <v>569</v>
      </c>
      <c r="D6024" s="2" t="str">
        <f t="shared" si="93"/>
        <v>Error?</v>
      </c>
    </row>
    <row r="6025" spans="1:5" x14ac:dyDescent="0.2">
      <c r="A6025" s="5">
        <v>5964</v>
      </c>
      <c r="B6025" s="1832">
        <f>'Revenues 9-14'!H109</f>
        <v>144182</v>
      </c>
      <c r="C6025" s="2" t="s">
        <v>569</v>
      </c>
      <c r="D6025" s="2" t="str">
        <f t="shared" si="93"/>
        <v>Error?</v>
      </c>
    </row>
    <row r="6026" spans="1:5" x14ac:dyDescent="0.2">
      <c r="A6026" s="5">
        <v>5965</v>
      </c>
      <c r="B6026" s="1832">
        <f>'Revenues 9-14'!I109</f>
        <v>24000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23725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22049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40331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252.7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161914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161914</v>
      </c>
      <c r="D6215" s="2" t="str">
        <f t="shared" si="96"/>
        <v>Error?</v>
      </c>
      <c r="E6215" s="2" t="s">
        <v>189</v>
      </c>
    </row>
    <row r="6216" spans="1:5" x14ac:dyDescent="0.2">
      <c r="A6216">
        <v>6155</v>
      </c>
      <c r="B6216" s="1832">
        <f>'Assets-Liab 5-6'!J41</f>
        <v>161914</v>
      </c>
      <c r="D6216" s="2" t="str">
        <f t="shared" si="96"/>
        <v>Error?</v>
      </c>
      <c r="E6216" s="2" t="s">
        <v>189</v>
      </c>
    </row>
    <row r="6217" spans="1:5" x14ac:dyDescent="0.2">
      <c r="A6217">
        <v>6156</v>
      </c>
      <c r="B6217" s="1832">
        <f>'Assets-Liab 5-6'!J4</f>
        <v>161914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179122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179122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179122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158244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158244</v>
      </c>
      <c r="D6229" s="2" t="str">
        <f t="shared" si="96"/>
        <v>Error?</v>
      </c>
      <c r="E6229" s="2" t="s">
        <v>189</v>
      </c>
    </row>
    <row r="6230" spans="1:5" x14ac:dyDescent="0.2">
      <c r="A6230">
        <v>6169</v>
      </c>
      <c r="B6230" s="1832">
        <f>'Acct Summary 7-8'!J20</f>
        <v>20878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20878</v>
      </c>
      <c r="D6263" s="2" t="str">
        <f t="shared" si="96"/>
        <v>Error?</v>
      </c>
      <c r="E6263" s="2" t="s">
        <v>189</v>
      </c>
    </row>
    <row r="6264" spans="1:5" x14ac:dyDescent="0.2">
      <c r="A6264">
        <v>6203</v>
      </c>
      <c r="B6264" s="1832">
        <f>'Acct Summary 7-8'!J79</f>
        <v>141036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161914</v>
      </c>
      <c r="D6266" s="2" t="str">
        <f t="shared" si="96"/>
        <v>Error?</v>
      </c>
      <c r="E6266" s="2" t="s">
        <v>189</v>
      </c>
    </row>
    <row r="6267" spans="1:5" x14ac:dyDescent="0.2">
      <c r="A6267">
        <v>6206</v>
      </c>
      <c r="B6267" s="1832">
        <f>'Acct Summary 7-8'!C82</f>
        <v>336403</v>
      </c>
      <c r="D6267" s="2" t="str">
        <f t="shared" si="96"/>
        <v>Error?</v>
      </c>
      <c r="E6267" s="2" t="s">
        <v>189</v>
      </c>
    </row>
    <row r="6268" spans="1:5" x14ac:dyDescent="0.2">
      <c r="A6268">
        <v>6207</v>
      </c>
      <c r="B6268" s="1832">
        <f>'Acct Summary 7-8'!D82</f>
        <v>63852</v>
      </c>
      <c r="D6268" s="2" t="str">
        <f t="shared" si="96"/>
        <v>Error?</v>
      </c>
      <c r="E6268" s="2" t="s">
        <v>189</v>
      </c>
    </row>
    <row r="6269" spans="1:5" x14ac:dyDescent="0.2">
      <c r="A6269">
        <v>6208</v>
      </c>
      <c r="B6269" s="1832">
        <f>'Acct Summary 7-8'!E82</f>
        <v>-41414</v>
      </c>
      <c r="D6269" s="2" t="str">
        <f t="shared" si="96"/>
        <v>Error?</v>
      </c>
      <c r="E6269" s="2" t="s">
        <v>189</v>
      </c>
    </row>
    <row r="6270" spans="1:5" x14ac:dyDescent="0.2">
      <c r="A6270">
        <v>6209</v>
      </c>
      <c r="B6270" s="1832">
        <f>'Acct Summary 7-8'!F82</f>
        <v>42166</v>
      </c>
      <c r="D6270" s="2" t="str">
        <f t="shared" si="96"/>
        <v>Error?</v>
      </c>
      <c r="E6270" s="2" t="s">
        <v>189</v>
      </c>
    </row>
    <row r="6271" spans="1:5" x14ac:dyDescent="0.2">
      <c r="A6271">
        <v>6210</v>
      </c>
      <c r="B6271" s="1832">
        <f>'Acct Summary 7-8'!G82</f>
        <v>2785</v>
      </c>
      <c r="D6271" s="2" t="str">
        <f t="shared" ref="D6271:D6334" si="97">IF(ISBLANK(B6271),"OK",IF(A6271-B6271=0,"OK","Error?"))</f>
        <v>Error?</v>
      </c>
      <c r="E6271" s="2" t="s">
        <v>189</v>
      </c>
    </row>
    <row r="6272" spans="1:5" x14ac:dyDescent="0.2">
      <c r="A6272">
        <v>6211</v>
      </c>
      <c r="B6272" s="1832">
        <f>'Acct Summary 7-8'!H82</f>
        <v>93510</v>
      </c>
      <c r="D6272" s="2" t="str">
        <f t="shared" si="97"/>
        <v>Error?</v>
      </c>
      <c r="E6272" s="2" t="s">
        <v>189</v>
      </c>
    </row>
    <row r="6273" spans="1:5" x14ac:dyDescent="0.2">
      <c r="A6273">
        <v>6212</v>
      </c>
      <c r="B6273" s="1832">
        <f>'Acct Summary 7-8'!I82</f>
        <v>2000</v>
      </c>
      <c r="D6273" s="2" t="str">
        <f t="shared" si="97"/>
        <v>Error?</v>
      </c>
      <c r="E6273" s="2" t="s">
        <v>189</v>
      </c>
    </row>
    <row r="6274" spans="1:5" x14ac:dyDescent="0.2">
      <c r="A6274">
        <v>6213</v>
      </c>
      <c r="B6274" s="1832">
        <f>'Acct Summary 7-8'!J82</f>
        <v>20878</v>
      </c>
      <c r="D6274" s="2" t="str">
        <f t="shared" si="97"/>
        <v>Error?</v>
      </c>
      <c r="E6274" s="2" t="s">
        <v>189</v>
      </c>
    </row>
    <row r="6275" spans="1:5" x14ac:dyDescent="0.2">
      <c r="A6275">
        <v>6214</v>
      </c>
      <c r="B6275" s="1832">
        <f>'Acct Summary 7-8'!K82</f>
        <v>20638</v>
      </c>
      <c r="D6275" s="2" t="str">
        <f t="shared" si="97"/>
        <v>Error?</v>
      </c>
      <c r="E6275" s="2" t="s">
        <v>189</v>
      </c>
    </row>
    <row r="6276" spans="1:5" x14ac:dyDescent="0.2">
      <c r="A6276">
        <v>6215</v>
      </c>
      <c r="B6276" s="1832">
        <f>'Acct Summary 7-8'!C83</f>
        <v>0.37552521711951059</v>
      </c>
      <c r="D6276" s="2" t="str">
        <f t="shared" si="97"/>
        <v>Error?</v>
      </c>
      <c r="E6276" s="2" t="s">
        <v>189</v>
      </c>
    </row>
    <row r="6277" spans="1:5" x14ac:dyDescent="0.2">
      <c r="A6277">
        <v>6216</v>
      </c>
      <c r="B6277" s="1832">
        <f>'Acct Summary 7-8'!D83</f>
        <v>0.84585629504027127</v>
      </c>
      <c r="D6277" s="2" t="str">
        <f t="shared" si="97"/>
        <v>Error?</v>
      </c>
      <c r="E6277" s="2" t="s">
        <v>189</v>
      </c>
    </row>
    <row r="6278" spans="1:5" x14ac:dyDescent="0.2">
      <c r="A6278">
        <v>6217</v>
      </c>
      <c r="B6278" s="1832">
        <f>'Acct Summary 7-8'!E83</f>
        <v>-2.1289261296458131</v>
      </c>
      <c r="D6278" s="2" t="str">
        <f t="shared" si="97"/>
        <v>Error?</v>
      </c>
      <c r="E6278" s="2" t="s">
        <v>189</v>
      </c>
    </row>
    <row r="6279" spans="1:5" x14ac:dyDescent="0.2">
      <c r="A6279">
        <v>6218</v>
      </c>
      <c r="B6279" s="1832">
        <f>'Acct Summary 7-8'!F83</f>
        <v>0.23348764064853372</v>
      </c>
      <c r="D6279" s="2" t="str">
        <f t="shared" si="97"/>
        <v>Error?</v>
      </c>
      <c r="E6279" s="2" t="s">
        <v>189</v>
      </c>
    </row>
    <row r="6280" spans="1:5" x14ac:dyDescent="0.2">
      <c r="A6280">
        <v>6219</v>
      </c>
      <c r="B6280" s="1832">
        <f>'Acct Summary 7-8'!G83</f>
        <v>3.1380988867354756E-2</v>
      </c>
      <c r="D6280" s="2" t="str">
        <f t="shared" si="97"/>
        <v>Error?</v>
      </c>
      <c r="E6280" s="2" t="s">
        <v>189</v>
      </c>
    </row>
    <row r="6281" spans="1:5" x14ac:dyDescent="0.2">
      <c r="A6281">
        <v>6220</v>
      </c>
      <c r="B6281" s="1832">
        <f>'Acct Summary 7-8'!H83</f>
        <v>0.5511221651185817</v>
      </c>
      <c r="D6281" s="2" t="str">
        <f t="shared" si="97"/>
        <v>Error?</v>
      </c>
      <c r="E6281" s="2" t="s">
        <v>189</v>
      </c>
    </row>
    <row r="6282" spans="1:5" x14ac:dyDescent="0.2">
      <c r="A6282">
        <v>6221</v>
      </c>
      <c r="B6282" s="1832">
        <f>'Acct Summary 7-8'!I83</f>
        <v>7.1518224631591746E-3</v>
      </c>
      <c r="D6282" s="2" t="str">
        <f t="shared" si="97"/>
        <v>Error?</v>
      </c>
      <c r="E6282" s="2" t="s">
        <v>189</v>
      </c>
    </row>
    <row r="6283" spans="1:5" x14ac:dyDescent="0.2">
      <c r="A6283">
        <v>6222</v>
      </c>
      <c r="B6283" s="1832">
        <f>'Acct Summary 7-8'!J83</f>
        <v>0.12894499549143373</v>
      </c>
      <c r="D6283" s="2" t="str">
        <f t="shared" si="97"/>
        <v>Error?</v>
      </c>
      <c r="E6283" s="2" t="s">
        <v>189</v>
      </c>
    </row>
    <row r="6284" spans="1:5" x14ac:dyDescent="0.2">
      <c r="A6284">
        <v>6223</v>
      </c>
      <c r="B6284" s="1832">
        <f>'Acct Summary 7-8'!K83</f>
        <v>0.39974432478500038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179122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179122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1125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179122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15814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56118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88888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12903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173065</v>
      </c>
      <c r="D6880" s="2" t="str">
        <f t="shared" si="106"/>
        <v>Error?</v>
      </c>
    </row>
    <row r="6881" spans="1:4" x14ac:dyDescent="0.2">
      <c r="A6881">
        <v>6820</v>
      </c>
      <c r="B6881" s="1832">
        <f>'Expenditures 15-22'!K22</f>
        <v>173065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158244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179122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1336</v>
      </c>
      <c r="D7067" s="2" t="str">
        <f t="shared" si="109"/>
        <v>Error?</v>
      </c>
    </row>
    <row r="7068" spans="1:4" x14ac:dyDescent="0.2">
      <c r="A7068">
        <v>7007</v>
      </c>
      <c r="B7068" s="1832">
        <f>'Expenditures 15-22'!K205</f>
        <v>1336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3250</v>
      </c>
      <c r="D7073" s="2" t="str">
        <f t="shared" si="109"/>
        <v>Error?</v>
      </c>
    </row>
    <row r="7074" spans="1:4" x14ac:dyDescent="0.2">
      <c r="A7074">
        <v>7013</v>
      </c>
      <c r="B7074" s="1832">
        <f>'Expenditures 15-22'!K216</f>
        <v>3250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13370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13370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44019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44019</v>
      </c>
      <c r="D7153" s="2" t="str">
        <f t="shared" si="110"/>
        <v>Error?</v>
      </c>
    </row>
    <row r="7154" spans="1:4" x14ac:dyDescent="0.2">
      <c r="A7154">
        <v>7093</v>
      </c>
      <c r="B7154" s="1832">
        <f>'Expenditures 15-22'!C323</f>
        <v>95696</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95696</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5159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5159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95696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62548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158244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95696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62548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158244</v>
      </c>
      <c r="D7224" s="2" t="str">
        <f t="shared" si="111"/>
        <v>Error?</v>
      </c>
    </row>
    <row r="7225" spans="1:4" x14ac:dyDescent="0.2">
      <c r="A7225">
        <v>7164</v>
      </c>
      <c r="B7225" s="1832">
        <f>'Expenditures 15-22'!K343</f>
        <v>20878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8193</v>
      </c>
      <c r="D7246" s="2" t="str">
        <f t="shared" si="112"/>
        <v>Error?</v>
      </c>
    </row>
    <row r="7247" spans="1:4" x14ac:dyDescent="0.2">
      <c r="A7247">
        <f t="shared" si="113"/>
        <v>7186</v>
      </c>
      <c r="B7247" s="1832">
        <f>'Expenditures 15-22'!E7</f>
        <v>5087</v>
      </c>
      <c r="D7247" s="2" t="str">
        <f t="shared" si="112"/>
        <v>Error?</v>
      </c>
    </row>
    <row r="7248" spans="1:4" x14ac:dyDescent="0.2">
      <c r="A7248">
        <f t="shared" si="113"/>
        <v>7187</v>
      </c>
      <c r="B7248" s="1832">
        <f>'Expenditures 15-22'!F7</f>
        <v>7034</v>
      </c>
      <c r="D7248" s="2" t="str">
        <f t="shared" si="112"/>
        <v>Error?</v>
      </c>
    </row>
    <row r="7249" spans="1:4" x14ac:dyDescent="0.2">
      <c r="A7249">
        <f t="shared" si="113"/>
        <v>7188</v>
      </c>
      <c r="B7249" s="1832">
        <f>'Expenditures 15-22'!G7</f>
        <v>12456</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12500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75</v>
      </c>
      <c r="D7265" s="2" t="str">
        <f t="shared" si="112"/>
        <v>Error?</v>
      </c>
    </row>
    <row r="7266" spans="1:5" x14ac:dyDescent="0.2">
      <c r="A7266">
        <f t="shared" si="113"/>
        <v>7205</v>
      </c>
      <c r="B7266" s="1832">
        <f>'Expenditures 15-22'!F17</f>
        <v>328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78982</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78982</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78982</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164782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76162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1125</v>
      </c>
      <c r="D7712" s="2" t="str">
        <f t="shared" si="126"/>
        <v>Error?</v>
      </c>
      <c r="E7712" s="2" t="s">
        <v>822</v>
      </c>
    </row>
    <row r="7713" spans="1:6" x14ac:dyDescent="0.2">
      <c r="A7713">
        <v>7652</v>
      </c>
      <c r="B7713" s="1832">
        <f>'Rest Tax Levies-Tort Im 25'!J8</f>
        <v>144182</v>
      </c>
      <c r="D7713" s="2" t="str">
        <f t="shared" si="126"/>
        <v>Error?</v>
      </c>
      <c r="E7713" s="2" t="s">
        <v>822</v>
      </c>
    </row>
    <row r="7714" spans="1:6" x14ac:dyDescent="0.2">
      <c r="A7714">
        <v>7653</v>
      </c>
      <c r="B7714" s="1832">
        <f>'Rest Tax Levies-Tort Im 25'!K9</f>
        <v>2497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144182</v>
      </c>
      <c r="D7718" s="2" t="str">
        <f t="shared" si="126"/>
        <v>Error?</v>
      </c>
      <c r="E7718" s="2" t="s">
        <v>822</v>
      </c>
    </row>
    <row r="7719" spans="1:6" x14ac:dyDescent="0.2">
      <c r="A7719">
        <v>7658</v>
      </c>
      <c r="B7719" s="1832">
        <f>'Rest Tax Levies-Tort Im 25'!K12</f>
        <v>3622</v>
      </c>
      <c r="D7719" s="2" t="str">
        <f t="shared" si="126"/>
        <v>Error?</v>
      </c>
      <c r="E7719" s="2" t="s">
        <v>822</v>
      </c>
    </row>
    <row r="7720" spans="1:6" x14ac:dyDescent="0.2">
      <c r="A7720">
        <v>7659</v>
      </c>
      <c r="B7720" s="1832">
        <f>'Rest Tax Levies-Tort Im 25'!H14</f>
        <v>18902</v>
      </c>
      <c r="D7720" s="2" t="str">
        <f t="shared" si="126"/>
        <v>Error?</v>
      </c>
      <c r="E7720" s="2" t="s">
        <v>822</v>
      </c>
    </row>
    <row r="7721" spans="1:6" x14ac:dyDescent="0.2">
      <c r="A7721">
        <v>7660</v>
      </c>
      <c r="B7721" s="1832">
        <f>'Rest Tax Levies-Tort Im 25'!K14</f>
        <v>3622</v>
      </c>
      <c r="D7721" s="2" t="str">
        <f t="shared" si="126"/>
        <v>Error?</v>
      </c>
      <c r="E7721" s="2" t="s">
        <v>822</v>
      </c>
    </row>
    <row r="7722" spans="1:6" x14ac:dyDescent="0.2">
      <c r="A7722">
        <v>7661</v>
      </c>
      <c r="B7722" s="1832">
        <f>'Rest Tax Levies-Tort Im 25'!J15</f>
        <v>50672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50672</v>
      </c>
      <c r="D7730" s="2" t="str">
        <f t="shared" si="126"/>
        <v>Error?</v>
      </c>
      <c r="E7730" s="2" t="s">
        <v>822</v>
      </c>
    </row>
    <row r="7731" spans="1:6" x14ac:dyDescent="0.2">
      <c r="A7731">
        <v>7670</v>
      </c>
      <c r="B7731" s="1832">
        <f>'Revenues 9-14'!H103</f>
        <v>144182</v>
      </c>
      <c r="D7731" s="2" t="str">
        <f t="shared" si="126"/>
        <v>Error?</v>
      </c>
      <c r="E7731" s="2" t="s">
        <v>822</v>
      </c>
    </row>
    <row r="7732" spans="1:6" x14ac:dyDescent="0.2">
      <c r="A7732">
        <v>7671</v>
      </c>
      <c r="B7732" s="1832">
        <f>'Rest Tax Levies-Tort Im 25'!J24</f>
        <v>169672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169672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22000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3622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1875200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-69900</v>
      </c>
      <c r="D7820" s="2" t="str">
        <f t="shared" si="128"/>
        <v>Error?</v>
      </c>
    </row>
    <row r="7821" spans="1:5" x14ac:dyDescent="0.2">
      <c r="A7821">
        <v>7760</v>
      </c>
      <c r="B7821" s="1832">
        <f>'ICR Computation 30'!G40</f>
        <v>-69900</v>
      </c>
      <c r="D7821" s="2" t="str">
        <f t="shared" si="128"/>
        <v>Error?</v>
      </c>
    </row>
    <row r="7822" spans="1:5" x14ac:dyDescent="0.2">
      <c r="A7822" s="1">
        <v>7761</v>
      </c>
      <c r="B7822" s="1832">
        <f>'PCTC-OEPP 27-28'!F14</f>
        <v>3823917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76432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791145</v>
      </c>
      <c r="D7834" s="2" t="str">
        <f t="shared" si="129"/>
        <v>Error?</v>
      </c>
      <c r="E7834" s="4" t="s">
        <v>1998</v>
      </c>
    </row>
    <row r="7835" spans="1:5" x14ac:dyDescent="0.2">
      <c r="A7835">
        <v>7774</v>
      </c>
      <c r="B7835" s="1832">
        <f>'PCTC-OEPP 27-28'!F78</f>
        <v>3032772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12001.472101305897</v>
      </c>
      <c r="D7837" s="2" t="str">
        <f t="shared" si="129"/>
        <v>Error?</v>
      </c>
      <c r="E7837" s="4" t="s">
        <v>1998</v>
      </c>
    </row>
    <row r="7838" spans="1:5" x14ac:dyDescent="0.2">
      <c r="A7838">
        <v>7777</v>
      </c>
      <c r="B7838" s="1832">
        <f>'PCTC-OEPP 27-28'!F96</f>
        <v>21380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137149</v>
      </c>
      <c r="D7842" s="2" t="str">
        <f t="shared" si="129"/>
        <v>Error?</v>
      </c>
      <c r="E7842" s="4" t="s">
        <v>1998</v>
      </c>
    </row>
    <row r="7843" spans="1:5" x14ac:dyDescent="0.2">
      <c r="A7843">
        <v>7782</v>
      </c>
      <c r="B7843" s="1832">
        <f>'PCTC-OEPP 27-28'!F107</f>
        <v>15814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2497</v>
      </c>
      <c r="D7846" s="2" t="str">
        <f t="shared" si="129"/>
        <v>Error?</v>
      </c>
      <c r="E7846" s="4" t="s">
        <v>1998</v>
      </c>
    </row>
    <row r="7847" spans="1:5" x14ac:dyDescent="0.2">
      <c r="A7847">
        <v>7786</v>
      </c>
      <c r="B7847" s="1832">
        <f>'PCTC-OEPP 27-28'!F112</f>
        <v>82824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10435</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39205</v>
      </c>
      <c r="D7857" s="2" t="str">
        <f t="shared" si="129"/>
        <v>Error?</v>
      </c>
      <c r="E7857" s="4" t="s">
        <v>1998</v>
      </c>
    </row>
    <row r="7858" spans="1:5" x14ac:dyDescent="0.2">
      <c r="A7858">
        <v>7797</v>
      </c>
      <c r="B7858" s="1832">
        <f>'PCTC-OEPP 27-28'!F126</f>
        <v>45185</v>
      </c>
      <c r="D7858" s="2" t="str">
        <f t="shared" si="129"/>
        <v>Error?</v>
      </c>
      <c r="E7858" s="4" t="s">
        <v>1998</v>
      </c>
    </row>
    <row r="7859" spans="1:5" x14ac:dyDescent="0.2">
      <c r="A7859">
        <v>7798</v>
      </c>
      <c r="B7859" s="1832">
        <f>'PCTC-OEPP 27-28'!F127</f>
        <v>256431</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55608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9879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773358</v>
      </c>
      <c r="D7877" s="2" t="str">
        <f t="shared" si="129"/>
        <v>Error?</v>
      </c>
      <c r="E7877" s="4" t="s">
        <v>1998</v>
      </c>
    </row>
    <row r="7878" spans="1:5" x14ac:dyDescent="0.2">
      <c r="A7878">
        <v>7817</v>
      </c>
      <c r="B7878" s="1832">
        <f>'PCTC-OEPP 27-28'!F176</f>
        <v>2259414</v>
      </c>
      <c r="D7878" s="2" t="str">
        <f t="shared" si="129"/>
        <v>Error?</v>
      </c>
      <c r="E7878" s="4" t="s">
        <v>1998</v>
      </c>
    </row>
    <row r="7879" spans="1:5" x14ac:dyDescent="0.2">
      <c r="A7879">
        <v>7818</v>
      </c>
      <c r="B7879" s="1832">
        <f>'PCTC-OEPP 27-28'!F178</f>
        <v>2424196</v>
      </c>
      <c r="D7879" s="2" t="str">
        <f t="shared" si="129"/>
        <v>Error?</v>
      </c>
      <c r="E7879" s="4" t="s">
        <v>1998</v>
      </c>
    </row>
    <row r="7880" spans="1:5" x14ac:dyDescent="0.2">
      <c r="A7880">
        <v>7819</v>
      </c>
      <c r="B7880" s="1832">
        <f>'PCTC-OEPP 27-28'!F180</f>
        <v>9593.1776810447172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3" t="s">
        <v>1181</v>
      </c>
      <c r="B2" s="2553"/>
      <c r="C2" s="2553"/>
      <c r="D2" s="2553"/>
      <c r="E2" s="2553"/>
      <c r="F2" s="2553"/>
      <c r="G2" s="2553"/>
      <c r="H2" s="2553"/>
      <c r="I2" s="2553"/>
      <c r="J2" s="2553"/>
      <c r="K2" s="2553"/>
      <c r="L2" s="2553"/>
    </row>
    <row r="3" spans="1:29" ht="13.5" customHeight="1" x14ac:dyDescent="0.2">
      <c r="A3" s="2585" t="s">
        <v>1180</v>
      </c>
      <c r="B3" s="2585"/>
      <c r="C3" s="2585"/>
      <c r="D3" s="2585"/>
      <c r="E3" s="2585"/>
      <c r="F3" s="2585"/>
      <c r="G3" s="2585"/>
      <c r="H3" s="2585"/>
      <c r="I3" s="2585"/>
      <c r="J3" s="2585"/>
      <c r="K3" s="2585"/>
      <c r="L3" s="2585"/>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76" t="str">
        <f>COVER!A17</f>
        <v xml:space="preserve"> Morrisonville CUSD 1</v>
      </c>
      <c r="B7" s="2577"/>
      <c r="C7" s="2577"/>
      <c r="D7" s="2578"/>
      <c r="E7" s="2579">
        <f>COVER!A13</f>
        <v>3011001026</v>
      </c>
      <c r="F7" s="2580"/>
      <c r="G7" s="2586" t="str">
        <f>COVER!T23</f>
        <v>066-003847</v>
      </c>
      <c r="H7" s="2587"/>
      <c r="I7" s="2587"/>
      <c r="J7" s="2587"/>
      <c r="K7" s="2587"/>
      <c r="L7" s="258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89"/>
      <c r="B9" s="2590"/>
      <c r="C9" s="2590"/>
      <c r="D9" s="2590"/>
      <c r="E9" s="2590"/>
      <c r="F9" s="2591"/>
      <c r="G9" s="2559" t="str">
        <f>COVER!T13</f>
        <v>LMHN, Ltd.</v>
      </c>
      <c r="H9" s="2592"/>
      <c r="I9" s="2592"/>
      <c r="J9" s="2592"/>
      <c r="K9" s="2592"/>
      <c r="L9" s="2593"/>
    </row>
    <row r="10" spans="1:29" ht="13.5" customHeight="1" x14ac:dyDescent="0.2">
      <c r="A10" s="2565" t="str">
        <f>COVER!A38</f>
        <v>Dave Meister</v>
      </c>
      <c r="B10" s="2566"/>
      <c r="C10" s="2566"/>
      <c r="D10" s="2566"/>
      <c r="E10" s="2566"/>
      <c r="F10" s="2567"/>
      <c r="G10" s="2559" t="str">
        <f>COVER!T17</f>
        <v>900 N Webster St - PO Box 87</v>
      </c>
      <c r="H10" s="2560"/>
      <c r="I10" s="2560"/>
      <c r="J10" s="2560"/>
      <c r="K10" s="2560"/>
      <c r="L10" s="2561"/>
    </row>
    <row r="11" spans="1:29" ht="13.5" customHeight="1" x14ac:dyDescent="0.2">
      <c r="A11" s="963" t="s">
        <v>1502</v>
      </c>
      <c r="B11" s="964"/>
      <c r="C11" s="965"/>
      <c r="D11" s="970"/>
      <c r="E11" s="965"/>
      <c r="F11" s="969"/>
      <c r="G11" s="2559" t="str">
        <f>COVER!T19</f>
        <v>Taylorville</v>
      </c>
      <c r="H11" s="2560"/>
      <c r="I11" s="2560"/>
      <c r="J11" s="2560"/>
      <c r="K11" s="2560"/>
      <c r="L11" s="2561"/>
    </row>
    <row r="12" spans="1:29" ht="13.5" customHeight="1" x14ac:dyDescent="0.2">
      <c r="A12" s="2568" t="s">
        <v>1501</v>
      </c>
      <c r="B12" s="2569"/>
      <c r="C12" s="2569"/>
      <c r="D12" s="2569"/>
      <c r="E12" s="2569"/>
      <c r="F12" s="2570"/>
      <c r="G12" s="2562"/>
      <c r="H12" s="2563"/>
      <c r="I12" s="2563"/>
      <c r="J12" s="2563"/>
      <c r="K12" s="2563"/>
      <c r="L12" s="2564"/>
    </row>
    <row r="13" spans="1:29" ht="13.5" customHeight="1" x14ac:dyDescent="0.2">
      <c r="A13" s="2559"/>
      <c r="B13" s="2560"/>
      <c r="C13" s="2560"/>
      <c r="D13" s="2560"/>
      <c r="E13" s="2560"/>
      <c r="F13" s="2561"/>
      <c r="G13" s="2554" t="s">
        <v>1503</v>
      </c>
      <c r="H13" s="2555"/>
      <c r="I13" s="2571" t="str">
        <f>COVER!T25</f>
        <v>lmhncpas@outlook.com</v>
      </c>
      <c r="J13" s="2572"/>
      <c r="K13" s="2572"/>
      <c r="L13" s="2573"/>
    </row>
    <row r="14" spans="1:29" ht="13.5" customHeight="1" x14ac:dyDescent="0.2">
      <c r="A14" s="2559" t="str">
        <f>COVER!A19</f>
        <v>301 School Street</v>
      </c>
      <c r="B14" s="2560"/>
      <c r="C14" s="2560"/>
      <c r="D14" s="2560"/>
      <c r="E14" s="2560"/>
      <c r="F14" s="2561"/>
      <c r="G14" s="974" t="s">
        <v>1175</v>
      </c>
      <c r="H14" s="972"/>
      <c r="I14" s="972"/>
      <c r="J14" s="972"/>
      <c r="K14" s="972"/>
      <c r="L14" s="973"/>
    </row>
    <row r="15" spans="1:29" ht="13.5" customHeight="1" x14ac:dyDescent="0.2">
      <c r="A15" s="2559" t="str">
        <f>COVER!A21</f>
        <v>Morrisonville</v>
      </c>
      <c r="B15" s="2560"/>
      <c r="C15" s="2560"/>
      <c r="D15" s="2560"/>
      <c r="E15" s="2560"/>
      <c r="F15" s="2561"/>
      <c r="G15" s="2556" t="str">
        <f>COVER!T15</f>
        <v>M. Adam Mathias</v>
      </c>
      <c r="H15" s="2557"/>
      <c r="I15" s="2557"/>
      <c r="J15" s="2557"/>
      <c r="K15" s="2557"/>
      <c r="L15" s="2558"/>
    </row>
    <row r="16" spans="1:29" ht="12.2" customHeight="1" x14ac:dyDescent="0.2">
      <c r="A16" s="2582">
        <f>COVER!A25</f>
        <v>62546</v>
      </c>
      <c r="B16" s="2583"/>
      <c r="C16" s="2583"/>
      <c r="D16" s="2583"/>
      <c r="E16" s="2583"/>
      <c r="F16" s="2584"/>
      <c r="G16" s="2594"/>
      <c r="H16" s="2595"/>
      <c r="I16" s="2595"/>
      <c r="J16" s="2595"/>
      <c r="K16" s="2595"/>
      <c r="L16" s="2596"/>
    </row>
    <row r="17" spans="1:13" ht="12.2" customHeight="1" x14ac:dyDescent="0.2">
      <c r="A17" s="2597"/>
      <c r="B17" s="2583"/>
      <c r="C17" s="2583"/>
      <c r="D17" s="2583"/>
      <c r="E17" s="2583"/>
      <c r="F17" s="2584"/>
      <c r="G17" s="974" t="s">
        <v>1174</v>
      </c>
      <c r="H17" s="972"/>
      <c r="I17" s="972"/>
      <c r="J17" s="972"/>
      <c r="K17" s="976" t="s">
        <v>1173</v>
      </c>
      <c r="L17" s="969"/>
      <c r="M17" s="962"/>
    </row>
    <row r="18" spans="1:13" ht="12.2" customHeight="1" x14ac:dyDescent="0.2">
      <c r="A18" s="2565"/>
      <c r="B18" s="2566"/>
      <c r="C18" s="2566"/>
      <c r="D18" s="2566"/>
      <c r="E18" s="2566"/>
      <c r="F18" s="2567"/>
      <c r="G18" s="2576" t="str">
        <f>COVER!T21</f>
        <v>217-824-9661</v>
      </c>
      <c r="H18" s="2577"/>
      <c r="I18" s="2577"/>
      <c r="J18" s="2577"/>
      <c r="K18" s="2576" t="str">
        <f>COVER!X21</f>
        <v>217-824-2415</v>
      </c>
      <c r="L18" s="258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8" t="str">
        <f>'Single Audit Cover'!A7</f>
        <v xml:space="preserve"> Morrisonville CUSD 1</v>
      </c>
      <c r="B1" s="2599"/>
      <c r="C1" s="2599"/>
      <c r="D1" s="2599"/>
    </row>
    <row r="2" spans="1:11" s="991" customFormat="1" ht="12.75" x14ac:dyDescent="0.2">
      <c r="A2" s="2600">
        <f>'Single Audit Cover'!E7</f>
        <v>3011001026</v>
      </c>
      <c r="B2" s="2601"/>
      <c r="C2" s="2601"/>
      <c r="D2" s="2601"/>
    </row>
    <row r="3" spans="1:11" s="991" customFormat="1" ht="12.75" x14ac:dyDescent="0.2">
      <c r="A3" s="2598" t="s">
        <v>1496</v>
      </c>
      <c r="B3" s="2599"/>
      <c r="C3" s="2599"/>
      <c r="D3" s="259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3" t="str">
        <f>'Single Audit Cover'!A7</f>
        <v xml:space="preserve"> Morrisonville CUSD 1</v>
      </c>
      <c r="B1" s="2603"/>
      <c r="C1" s="2603"/>
      <c r="D1" s="2603"/>
      <c r="E1" s="2603"/>
    </row>
    <row r="2" spans="1:5" x14ac:dyDescent="0.2">
      <c r="A2" s="2604">
        <f>'Single Audit Cover'!E7</f>
        <v>3011001026</v>
      </c>
      <c r="B2" s="2604"/>
      <c r="C2" s="2604"/>
      <c r="D2" s="2604"/>
      <c r="E2" s="2604"/>
    </row>
    <row r="3" spans="1:5" ht="4.5" customHeight="1" x14ac:dyDescent="0.2"/>
    <row r="4" spans="1:5" x14ac:dyDescent="0.2">
      <c r="A4" s="2603" t="s">
        <v>1234</v>
      </c>
      <c r="B4" s="2603"/>
      <c r="C4" s="2603"/>
      <c r="D4" s="2603"/>
      <c r="E4" s="2603"/>
    </row>
    <row r="5" spans="1:5" x14ac:dyDescent="0.2">
      <c r="A5" s="2606" t="str">
        <f>'Single Audit Cover'!A4</f>
        <v>Year Ending June 30, 2020</v>
      </c>
      <c r="B5" s="2606"/>
      <c r="C5" s="2606"/>
      <c r="D5" s="2606"/>
      <c r="E5" s="2606"/>
    </row>
    <row r="6" spans="1:5" x14ac:dyDescent="0.2">
      <c r="A6" s="2603" t="s">
        <v>1233</v>
      </c>
      <c r="B6" s="2603"/>
      <c r="C6" s="2603"/>
      <c r="D6" s="2603"/>
      <c r="E6" s="2603"/>
    </row>
    <row r="8" spans="1:5" x14ac:dyDescent="0.2">
      <c r="A8" s="1036" t="s">
        <v>1232</v>
      </c>
    </row>
    <row r="10" spans="1:5" x14ac:dyDescent="0.2">
      <c r="A10" s="1037" t="s">
        <v>1231</v>
      </c>
      <c r="B10" s="1038" t="s">
        <v>1230</v>
      </c>
      <c r="C10" s="1038"/>
      <c r="D10" s="1039">
        <f>SUM('Acct Summary 7-8'!C7:K7)</f>
        <v>406308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40331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446639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05"/>
      <c r="B24" s="2605"/>
      <c r="D24" s="1044"/>
    </row>
    <row r="25" spans="1:4" x14ac:dyDescent="0.2">
      <c r="A25" s="2602"/>
      <c r="B25" s="2602"/>
      <c r="D25" s="1044"/>
    </row>
    <row r="26" spans="1:4" x14ac:dyDescent="0.2">
      <c r="A26" s="2602"/>
      <c r="B26" s="2602"/>
      <c r="D26" s="1044"/>
    </row>
    <row r="27" spans="1:4" x14ac:dyDescent="0.2">
      <c r="A27" s="2602"/>
      <c r="B27" s="2602"/>
      <c r="D27" s="1044"/>
    </row>
    <row r="28" spans="1:4" x14ac:dyDescent="0.2">
      <c r="A28" s="2602"/>
      <c r="B28" s="2602"/>
      <c r="D28" s="1044"/>
    </row>
    <row r="29" spans="1:4" x14ac:dyDescent="0.2">
      <c r="A29" s="2602"/>
      <c r="B29" s="2602"/>
      <c r="D29" s="1044"/>
    </row>
    <row r="30" spans="1:4" x14ac:dyDescent="0.2">
      <c r="A30" s="2602"/>
      <c r="B30" s="2602"/>
      <c r="D30" s="1044"/>
    </row>
    <row r="32" spans="1:4" x14ac:dyDescent="0.2">
      <c r="A32" s="1036" t="s">
        <v>1222</v>
      </c>
      <c r="D32" s="1039">
        <f>SUM(D19:D30)</f>
        <v>446639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2"/>
      <c r="B40" s="2602"/>
      <c r="D40" s="1044"/>
    </row>
    <row r="41" spans="1:4" x14ac:dyDescent="0.2">
      <c r="A41" s="2602"/>
      <c r="B41" s="2602"/>
      <c r="D41" s="1047"/>
    </row>
    <row r="42" spans="1:4" x14ac:dyDescent="0.2">
      <c r="A42" s="2602"/>
      <c r="B42" s="2602"/>
      <c r="D42" s="1047"/>
    </row>
    <row r="43" spans="1:4" x14ac:dyDescent="0.2">
      <c r="A43" s="2602"/>
      <c r="B43" s="2602"/>
      <c r="D43" s="1047"/>
    </row>
    <row r="44" spans="1:4" x14ac:dyDescent="0.2">
      <c r="A44" s="2602"/>
      <c r="B44" s="2602"/>
      <c r="D44" s="1047"/>
    </row>
    <row r="45" spans="1:4" x14ac:dyDescent="0.2">
      <c r="A45" s="2602"/>
      <c r="B45" s="2602"/>
      <c r="D45" s="1047"/>
    </row>
    <row r="47" spans="1:4" x14ac:dyDescent="0.2">
      <c r="B47" s="1048" t="s">
        <v>1216</v>
      </c>
      <c r="C47" s="1048"/>
      <c r="D47" s="1049">
        <f>SUM(D35:D45)</f>
        <v>0</v>
      </c>
    </row>
    <row r="49" spans="2:4" x14ac:dyDescent="0.2">
      <c r="B49" s="1048" t="s">
        <v>1215</v>
      </c>
      <c r="C49" s="1048"/>
      <c r="D49" s="1049">
        <f>D32-D47</f>
        <v>446639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2"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1" t="s">
        <v>1158</v>
      </c>
      <c r="B2" s="2191"/>
      <c r="C2" s="2191"/>
      <c r="D2" s="2191"/>
      <c r="E2" s="2191"/>
      <c r="F2" s="2191"/>
      <c r="G2" s="2191"/>
      <c r="H2" s="2191"/>
      <c r="I2" s="2191"/>
      <c r="J2" s="219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05" t="s">
        <v>1616</v>
      </c>
      <c r="B35" s="2206"/>
      <c r="C35" s="2206"/>
      <c r="D35" s="2206"/>
      <c r="E35" s="2207"/>
      <c r="F35" s="2207"/>
      <c r="G35" s="2207"/>
      <c r="H35" s="2207"/>
      <c r="I35" s="220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5" t="s">
        <v>310</v>
      </c>
      <c r="B47" s="2208"/>
      <c r="C47" s="2208"/>
      <c r="D47" s="2208"/>
      <c r="E47" s="2209"/>
      <c r="F47" s="2209"/>
      <c r="G47" s="2209"/>
      <c r="H47" s="2209"/>
      <c r="I47" s="220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2"/>
      <c r="C57" s="2213"/>
      <c r="D57" s="2213"/>
      <c r="E57" s="2213"/>
      <c r="F57" s="2213"/>
      <c r="G57" s="2213"/>
      <c r="H57" s="2213"/>
      <c r="I57" s="2213"/>
      <c r="J57" s="2214"/>
    </row>
    <row r="58" spans="1:10" s="176" customFormat="1" x14ac:dyDescent="0.2">
      <c r="A58" s="248"/>
      <c r="B58" s="2215"/>
      <c r="C58" s="2216"/>
      <c r="D58" s="2216"/>
      <c r="E58" s="2216"/>
      <c r="F58" s="2216"/>
      <c r="G58" s="2216"/>
      <c r="H58" s="2216"/>
      <c r="I58" s="2216"/>
      <c r="J58" s="2217"/>
    </row>
    <row r="59" spans="1:10" s="176" customFormat="1" x14ac:dyDescent="0.2">
      <c r="A59" s="248"/>
      <c r="B59" s="2215"/>
      <c r="C59" s="2216"/>
      <c r="D59" s="2216"/>
      <c r="E59" s="2216"/>
      <c r="F59" s="2216"/>
      <c r="G59" s="2216"/>
      <c r="H59" s="2216"/>
      <c r="I59" s="2216"/>
      <c r="J59" s="2217"/>
    </row>
    <row r="60" spans="1:10" s="176" customFormat="1" x14ac:dyDescent="0.2">
      <c r="A60" s="248"/>
      <c r="B60" s="2215"/>
      <c r="C60" s="2216"/>
      <c r="D60" s="2216"/>
      <c r="E60" s="2216"/>
      <c r="F60" s="2216"/>
      <c r="G60" s="2216"/>
      <c r="H60" s="2216"/>
      <c r="I60" s="2216"/>
      <c r="J60" s="2217"/>
    </row>
    <row r="61" spans="1:10" s="176" customFormat="1" x14ac:dyDescent="0.2">
      <c r="A61" s="248"/>
      <c r="B61" s="2215"/>
      <c r="C61" s="2216"/>
      <c r="D61" s="2216"/>
      <c r="E61" s="2216"/>
      <c r="F61" s="2216"/>
      <c r="G61" s="2216"/>
      <c r="H61" s="2216"/>
      <c r="I61" s="2216"/>
      <c r="J61" s="2217"/>
    </row>
    <row r="62" spans="1:10" s="176" customFormat="1" x14ac:dyDescent="0.2">
      <c r="A62" s="248"/>
      <c r="B62" s="2215"/>
      <c r="C62" s="2216"/>
      <c r="D62" s="2216"/>
      <c r="E62" s="2216"/>
      <c r="F62" s="2216"/>
      <c r="G62" s="2216"/>
      <c r="H62" s="2216"/>
      <c r="I62" s="2216"/>
      <c r="J62" s="2217"/>
    </row>
    <row r="63" spans="1:10" s="176" customFormat="1" x14ac:dyDescent="0.2">
      <c r="A63" s="248"/>
      <c r="B63" s="2215"/>
      <c r="C63" s="2216"/>
      <c r="D63" s="2216"/>
      <c r="E63" s="2216"/>
      <c r="F63" s="2216"/>
      <c r="G63" s="2216"/>
      <c r="H63" s="2216"/>
      <c r="I63" s="2216"/>
      <c r="J63" s="2217"/>
    </row>
    <row r="64" spans="1:10" s="176" customFormat="1" x14ac:dyDescent="0.2">
      <c r="A64" s="248"/>
      <c r="B64" s="2215"/>
      <c r="C64" s="2216"/>
      <c r="D64" s="2216"/>
      <c r="E64" s="2216"/>
      <c r="F64" s="2216"/>
      <c r="G64" s="2216"/>
      <c r="H64" s="2216"/>
      <c r="I64" s="2216"/>
      <c r="J64" s="2217"/>
    </row>
    <row r="65" spans="1:11" s="176" customFormat="1" x14ac:dyDescent="0.2">
      <c r="A65" s="248"/>
      <c r="B65" s="2215"/>
      <c r="C65" s="2216"/>
      <c r="D65" s="2216"/>
      <c r="E65" s="2216"/>
      <c r="F65" s="2216"/>
      <c r="G65" s="2216"/>
      <c r="H65" s="2216"/>
      <c r="I65" s="2216"/>
      <c r="J65" s="2217"/>
    </row>
    <row r="66" spans="1:11" s="176" customFormat="1" x14ac:dyDescent="0.2">
      <c r="A66" s="248"/>
      <c r="B66" s="2215"/>
      <c r="C66" s="2216"/>
      <c r="D66" s="2216"/>
      <c r="E66" s="2216"/>
      <c r="F66" s="2216"/>
      <c r="G66" s="2216"/>
      <c r="H66" s="2216"/>
      <c r="I66" s="2216"/>
      <c r="J66" s="2217"/>
    </row>
    <row r="67" spans="1:11" s="176" customFormat="1" ht="9" customHeight="1" x14ac:dyDescent="0.2">
      <c r="A67" s="249"/>
      <c r="B67" s="2218"/>
      <c r="C67" s="2219"/>
      <c r="D67" s="2219"/>
      <c r="E67" s="2219"/>
      <c r="F67" s="2219"/>
      <c r="G67" s="2219"/>
      <c r="H67" s="2219"/>
      <c r="I67" s="2219"/>
      <c r="J67" s="222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5" t="s">
        <v>1312</v>
      </c>
      <c r="B70" s="2208"/>
      <c r="C70" s="2208"/>
      <c r="D70" s="2208"/>
      <c r="E70" s="2209"/>
      <c r="F70" s="2209"/>
      <c r="G70" s="2209"/>
      <c r="H70" s="2209"/>
      <c r="I70" s="220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0" t="s">
        <v>1309</v>
      </c>
      <c r="B83" s="2210"/>
      <c r="C83" s="2210"/>
      <c r="D83" s="221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21" t="s">
        <v>1989</v>
      </c>
      <c r="B85" s="2221"/>
      <c r="C85" s="2221"/>
      <c r="D85" s="2222"/>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23" t="s">
        <v>1989</v>
      </c>
      <c r="B88" s="2224"/>
      <c r="C88" s="2224"/>
      <c r="D88" s="2225"/>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2"/>
      <c r="C102" s="2193"/>
      <c r="D102" s="2193"/>
      <c r="E102" s="2193"/>
      <c r="F102" s="2193"/>
      <c r="G102" s="2193"/>
      <c r="H102" s="2193"/>
      <c r="I102" s="2194"/>
    </row>
    <row r="103" spans="1:9" s="176" customFormat="1" ht="11.25" customHeight="1" x14ac:dyDescent="0.2">
      <c r="A103" s="294"/>
      <c r="B103" s="2195"/>
      <c r="C103" s="2196"/>
      <c r="D103" s="2196"/>
      <c r="E103" s="2196"/>
      <c r="F103" s="2196"/>
      <c r="G103" s="2196"/>
      <c r="H103" s="2196"/>
      <c r="I103" s="2197"/>
    </row>
    <row r="104" spans="1:9" s="176" customFormat="1" ht="11.25" customHeight="1" x14ac:dyDescent="0.2">
      <c r="A104" s="294"/>
      <c r="B104" s="2195"/>
      <c r="C104" s="2196"/>
      <c r="D104" s="2196"/>
      <c r="E104" s="2196"/>
      <c r="F104" s="2196"/>
      <c r="G104" s="2196"/>
      <c r="H104" s="2196"/>
      <c r="I104" s="2197"/>
    </row>
    <row r="105" spans="1:9" s="176" customFormat="1" x14ac:dyDescent="0.2">
      <c r="A105" s="294"/>
      <c r="B105" s="2195"/>
      <c r="C105" s="2196"/>
      <c r="D105" s="2196"/>
      <c r="E105" s="2196"/>
      <c r="F105" s="2196"/>
      <c r="G105" s="2196"/>
      <c r="H105" s="2196"/>
      <c r="I105" s="2197"/>
    </row>
    <row r="106" spans="1:9" s="176" customFormat="1" ht="11.25" customHeight="1" x14ac:dyDescent="0.2">
      <c r="A106" s="294"/>
      <c r="B106" s="2195"/>
      <c r="C106" s="2196"/>
      <c r="D106" s="2196"/>
      <c r="E106" s="2196"/>
      <c r="F106" s="2196"/>
      <c r="G106" s="2196"/>
      <c r="H106" s="2196"/>
      <c r="I106" s="2197"/>
    </row>
    <row r="107" spans="1:9" s="176" customFormat="1" ht="11.25" customHeight="1" x14ac:dyDescent="0.2">
      <c r="A107" s="294"/>
      <c r="B107" s="2195"/>
      <c r="C107" s="2196"/>
      <c r="D107" s="2196"/>
      <c r="E107" s="2196"/>
      <c r="F107" s="2196"/>
      <c r="G107" s="2196"/>
      <c r="H107" s="2196"/>
      <c r="I107" s="2197"/>
    </row>
    <row r="108" spans="1:9" s="176" customFormat="1" ht="11.25" customHeight="1" x14ac:dyDescent="0.2">
      <c r="A108" s="294"/>
      <c r="B108" s="2195"/>
      <c r="C108" s="2196"/>
      <c r="D108" s="2196"/>
      <c r="E108" s="2196"/>
      <c r="F108" s="2196"/>
      <c r="G108" s="2196"/>
      <c r="H108" s="2196"/>
      <c r="I108" s="2197"/>
    </row>
    <row r="109" spans="1:9" s="176" customFormat="1" ht="11.25" customHeight="1" x14ac:dyDescent="0.2">
      <c r="A109" s="294"/>
      <c r="B109" s="2195"/>
      <c r="C109" s="2196"/>
      <c r="D109" s="2196"/>
      <c r="E109" s="2196"/>
      <c r="F109" s="2196"/>
      <c r="G109" s="2196"/>
      <c r="H109" s="2196"/>
      <c r="I109" s="2197"/>
    </row>
    <row r="110" spans="1:9" s="176" customFormat="1" ht="11.25" customHeight="1" x14ac:dyDescent="0.2">
      <c r="A110" s="294"/>
      <c r="B110" s="2195"/>
      <c r="C110" s="2196"/>
      <c r="D110" s="2196"/>
      <c r="E110" s="2196"/>
      <c r="F110" s="2196"/>
      <c r="G110" s="2196"/>
      <c r="H110" s="2196"/>
      <c r="I110" s="2197"/>
    </row>
    <row r="111" spans="1:9" s="176" customFormat="1" ht="11.25" customHeight="1" x14ac:dyDescent="0.2">
      <c r="A111" s="294"/>
      <c r="B111" s="2195"/>
      <c r="C111" s="2196"/>
      <c r="D111" s="2196"/>
      <c r="E111" s="2196"/>
      <c r="F111" s="2196"/>
      <c r="G111" s="2196"/>
      <c r="H111" s="2196"/>
      <c r="I111" s="2197"/>
    </row>
    <row r="112" spans="1:9" s="176" customFormat="1" ht="11.25" customHeight="1" x14ac:dyDescent="0.2">
      <c r="A112" s="294"/>
      <c r="B112" s="2198"/>
      <c r="C112" s="2199"/>
      <c r="D112" s="2199"/>
      <c r="E112" s="2199"/>
      <c r="F112" s="2199"/>
      <c r="G112" s="2199"/>
      <c r="H112" s="2199"/>
      <c r="I112" s="220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1" t="s">
        <v>2051</v>
      </c>
      <c r="D114" s="220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2" t="s">
        <v>1319</v>
      </c>
      <c r="D117" s="2203"/>
      <c r="E117" s="2204"/>
      <c r="F117" s="2204"/>
      <c r="G117" s="2204"/>
      <c r="H117" s="2204"/>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rintOptions horizontalCentered="1"/>
  <pageMargins left="1" right="0.75" top="0.75" bottom="0.75" header="0.5" footer="0.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53</oddFooter>
    <evenFooter>&amp;CReference should be made to auditor's report regarding this information.
54</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5" t="str">
        <f>'Single Audit Cover'!A7</f>
        <v xml:space="preserve"> Morrisonville CUSD 1</v>
      </c>
      <c r="C1" s="2607"/>
      <c r="D1" s="2607"/>
      <c r="E1" s="2607"/>
      <c r="F1" s="2607"/>
      <c r="G1" s="2607"/>
      <c r="H1" s="2607"/>
      <c r="I1" s="2607"/>
      <c r="J1" s="2607"/>
      <c r="K1" s="2607"/>
      <c r="L1" s="2607"/>
      <c r="M1" s="2607"/>
    </row>
    <row r="2" spans="2:14" ht="15" x14ac:dyDescent="0.2">
      <c r="B2" s="2608">
        <f>'Single Audit Cover'!E7</f>
        <v>3011001026</v>
      </c>
      <c r="C2" s="2608"/>
      <c r="D2" s="2608"/>
      <c r="E2" s="2608"/>
      <c r="F2" s="2608"/>
      <c r="G2" s="2608"/>
      <c r="H2" s="2608"/>
      <c r="I2" s="2608"/>
      <c r="J2" s="2608"/>
      <c r="K2" s="2608"/>
      <c r="L2" s="2608"/>
      <c r="M2" s="2608"/>
      <c r="N2" s="1078"/>
    </row>
    <row r="3" spans="2:14" ht="15" x14ac:dyDescent="0.2">
      <c r="B3" s="2609" t="s">
        <v>1208</v>
      </c>
      <c r="C3" s="2609"/>
      <c r="D3" s="2609"/>
      <c r="E3" s="2609"/>
      <c r="F3" s="2609"/>
      <c r="G3" s="2609"/>
      <c r="H3" s="2609"/>
      <c r="I3" s="2609"/>
      <c r="J3" s="2609"/>
      <c r="K3" s="2609"/>
      <c r="L3" s="2609"/>
      <c r="M3" s="2609"/>
      <c r="N3" s="1078"/>
    </row>
    <row r="4" spans="2:14" ht="15" x14ac:dyDescent="0.2">
      <c r="B4" s="2610" t="str">
        <f>'Single Audit Cover'!A4</f>
        <v>Year Ending June 30, 2020</v>
      </c>
      <c r="C4" s="2610"/>
      <c r="D4" s="2610"/>
      <c r="E4" s="2610"/>
      <c r="F4" s="2610"/>
      <c r="G4" s="2610"/>
      <c r="H4" s="2610"/>
      <c r="I4" s="2610"/>
      <c r="J4" s="2610"/>
      <c r="K4" s="2610"/>
      <c r="L4" s="2610"/>
      <c r="M4" s="261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0" t="str">
        <f>'Single Audit Cover'!A7</f>
        <v xml:space="preserve"> Morrisonville CUSD 1</v>
      </c>
      <c r="B1" s="2620"/>
      <c r="C1" s="2620"/>
      <c r="D1" s="2620"/>
      <c r="E1" s="2620"/>
      <c r="F1" s="2620"/>
    </row>
    <row r="2" spans="1:7" ht="13.5" customHeight="1" x14ac:dyDescent="0.2">
      <c r="A2" s="2608">
        <f>'Single Audit Cover'!E7</f>
        <v>3011001026</v>
      </c>
      <c r="B2" s="2608"/>
      <c r="C2" s="2608"/>
      <c r="D2" s="2608"/>
      <c r="E2" s="2608"/>
      <c r="F2" s="2608"/>
      <c r="G2" s="1051"/>
    </row>
    <row r="3" spans="1:7" ht="15.75" customHeight="1" x14ac:dyDescent="0.2">
      <c r="A3" s="2621" t="s">
        <v>1260</v>
      </c>
      <c r="B3" s="2621"/>
      <c r="C3" s="2621"/>
      <c r="D3" s="2621"/>
      <c r="E3" s="2621"/>
      <c r="F3" s="2621"/>
    </row>
    <row r="4" spans="1:7" ht="13.5" customHeight="1" x14ac:dyDescent="0.2">
      <c r="A4" s="2622" t="str">
        <f>'Single Audit Cover'!A4</f>
        <v>Year Ending June 30, 2020</v>
      </c>
      <c r="B4" s="2622"/>
      <c r="C4" s="2622"/>
      <c r="D4" s="2622"/>
      <c r="E4" s="2622"/>
      <c r="F4" s="2622"/>
    </row>
    <row r="5" spans="1:7" ht="8.25" customHeight="1" x14ac:dyDescent="0.2">
      <c r="C5" s="295"/>
      <c r="D5" s="295"/>
    </row>
    <row r="6" spans="1:7" ht="13.5" customHeight="1" x14ac:dyDescent="0.2">
      <c r="A6" s="1052" t="s">
        <v>1705</v>
      </c>
      <c r="C6" s="295"/>
      <c r="D6" s="295"/>
    </row>
    <row r="7" spans="1:7" ht="60.95" customHeight="1" x14ac:dyDescent="0.2">
      <c r="A7" s="2619" t="s">
        <v>1706</v>
      </c>
      <c r="B7" s="2619"/>
      <c r="C7" s="2619"/>
      <c r="D7" s="2619"/>
      <c r="E7" s="2619"/>
      <c r="F7" s="261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19" t="s">
        <v>1708</v>
      </c>
      <c r="B13" s="2619"/>
      <c r="C13" s="2619"/>
      <c r="D13" s="2619"/>
      <c r="E13" s="2619"/>
      <c r="F13" s="2619"/>
    </row>
    <row r="14" spans="1:7" ht="9.75" customHeight="1" x14ac:dyDescent="0.2">
      <c r="C14" s="1036"/>
      <c r="D14" s="1036"/>
    </row>
    <row r="15" spans="1:7" ht="13.5" customHeight="1" x14ac:dyDescent="0.2">
      <c r="C15" s="1476" t="s">
        <v>1259</v>
      </c>
      <c r="D15" s="2617" t="s">
        <v>1258</v>
      </c>
      <c r="E15" s="2617"/>
      <c r="F15" s="2617"/>
    </row>
    <row r="16" spans="1:7" ht="13.5" customHeight="1" x14ac:dyDescent="0.2">
      <c r="A16" s="1058"/>
      <c r="B16" s="1052" t="s">
        <v>1257</v>
      </c>
      <c r="C16" s="1476" t="s">
        <v>1256</v>
      </c>
      <c r="D16" s="2618" t="s">
        <v>1571</v>
      </c>
      <c r="E16" s="2618"/>
      <c r="F16" s="2618"/>
    </row>
    <row r="17" spans="1:6" ht="20.45" customHeight="1" x14ac:dyDescent="0.2">
      <c r="A17" s="1059"/>
      <c r="B17" s="1060"/>
      <c r="C17" s="1061"/>
      <c r="D17" s="2612"/>
      <c r="E17" s="2612"/>
      <c r="F17" s="2612"/>
    </row>
    <row r="18" spans="1:6" ht="20.65" customHeight="1" x14ac:dyDescent="0.2">
      <c r="A18" s="1059"/>
      <c r="B18" s="1060"/>
      <c r="C18" s="1061"/>
      <c r="D18" s="2612"/>
      <c r="E18" s="2612"/>
      <c r="F18" s="2612"/>
    </row>
    <row r="19" spans="1:6" ht="20.65" customHeight="1" x14ac:dyDescent="0.2">
      <c r="A19" s="1059"/>
      <c r="B19" s="1060"/>
      <c r="C19" s="1061"/>
      <c r="D19" s="2612"/>
      <c r="E19" s="2612"/>
      <c r="F19" s="2612"/>
    </row>
    <row r="20" spans="1:6" ht="20.65" customHeight="1" x14ac:dyDescent="0.2">
      <c r="A20" s="1059"/>
      <c r="B20" s="1060"/>
      <c r="C20" s="1061"/>
      <c r="D20" s="2612"/>
      <c r="E20" s="2612"/>
      <c r="F20" s="2612"/>
    </row>
    <row r="21" spans="1:6" ht="20.65" customHeight="1" x14ac:dyDescent="0.2">
      <c r="A21" s="1059"/>
      <c r="B21" s="1060"/>
      <c r="C21" s="1061"/>
      <c r="D21" s="2612"/>
      <c r="E21" s="2612"/>
      <c r="F21" s="2612"/>
    </row>
    <row r="22" spans="1:6" ht="20.65" customHeight="1" x14ac:dyDescent="0.2">
      <c r="A22" s="1059"/>
      <c r="B22" s="1060"/>
      <c r="C22" s="1061"/>
      <c r="D22" s="2612"/>
      <c r="E22" s="2612"/>
      <c r="F22" s="2612"/>
    </row>
    <row r="23" spans="1:6" ht="20.65" customHeight="1" x14ac:dyDescent="0.2">
      <c r="A23" s="1059"/>
      <c r="B23" s="1060"/>
      <c r="C23" s="1061"/>
      <c r="D23" s="2612"/>
      <c r="E23" s="2612"/>
      <c r="F23" s="2612"/>
    </row>
    <row r="24" spans="1:6" ht="20.65" customHeight="1" x14ac:dyDescent="0.2">
      <c r="A24" s="1059"/>
      <c r="B24" s="1060"/>
      <c r="C24" s="1061"/>
      <c r="D24" s="2612"/>
      <c r="E24" s="2612"/>
      <c r="F24" s="2612"/>
    </row>
    <row r="25" spans="1:6" ht="20.65" customHeight="1" x14ac:dyDescent="0.2">
      <c r="A25" s="1059"/>
      <c r="B25" s="1060"/>
      <c r="C25" s="1061"/>
      <c r="D25" s="2612"/>
      <c r="E25" s="2612"/>
      <c r="F25" s="2612"/>
    </row>
    <row r="26" spans="1:6" ht="20.65" customHeight="1" x14ac:dyDescent="0.2">
      <c r="A26" s="1059"/>
      <c r="B26" s="1060"/>
      <c r="C26" s="1061"/>
      <c r="D26" s="2612"/>
      <c r="E26" s="2612"/>
      <c r="F26" s="2612"/>
    </row>
    <row r="27" spans="1:6" ht="20.65" customHeight="1" x14ac:dyDescent="0.2">
      <c r="A27" s="1059"/>
      <c r="B27" s="1060"/>
      <c r="C27" s="1061"/>
      <c r="D27" s="2612"/>
      <c r="E27" s="2612"/>
      <c r="F27" s="2612"/>
    </row>
    <row r="28" spans="1:6" ht="20.65" customHeight="1" x14ac:dyDescent="0.2">
      <c r="A28" s="1059"/>
      <c r="B28" s="1060"/>
      <c r="C28" s="1061"/>
      <c r="D28" s="2612"/>
      <c r="E28" s="2612"/>
      <c r="F28" s="2612"/>
    </row>
    <row r="29" spans="1:6" ht="20.65" customHeight="1" x14ac:dyDescent="0.2">
      <c r="A29" s="1059"/>
      <c r="B29" s="1060"/>
      <c r="C29" s="1061"/>
      <c r="D29" s="2612"/>
      <c r="E29" s="2612"/>
      <c r="F29" s="261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3" t="s">
        <v>1709</v>
      </c>
      <c r="B32" s="2613"/>
      <c r="C32" s="2613"/>
      <c r="D32" s="2613"/>
      <c r="E32" s="2613"/>
      <c r="F32" s="261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4">
        <f>+C33+C34</f>
        <v>0</v>
      </c>
      <c r="F34" s="261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6" t="s">
        <v>1573</v>
      </c>
      <c r="C49" s="2616"/>
      <c r="D49" s="2616"/>
      <c r="E49" s="1168"/>
    </row>
    <row r="50" spans="1:5" s="1076" customFormat="1" ht="3.75" customHeight="1" x14ac:dyDescent="0.2">
      <c r="A50" s="1075"/>
      <c r="B50" s="1475"/>
      <c r="C50" s="1475"/>
      <c r="D50" s="1475"/>
      <c r="E50" s="1168"/>
    </row>
    <row r="51" spans="1:5" s="1076" customFormat="1" ht="20.25" customHeight="1" x14ac:dyDescent="0.2">
      <c r="A51" s="1077">
        <v>6</v>
      </c>
      <c r="B51" s="2611" t="s">
        <v>1534</v>
      </c>
      <c r="C51" s="2611"/>
      <c r="D51" s="2611"/>
    </row>
    <row r="52" spans="1:5" ht="14.25" customHeight="1" x14ac:dyDescent="0.2">
      <c r="A52" s="1077"/>
      <c r="B52" s="2611"/>
      <c r="C52" s="2611"/>
      <c r="D52" s="261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4" t="str">
        <f>'Single Audit Cover'!A7</f>
        <v xml:space="preserve"> Morrisonville CUSD 1</v>
      </c>
      <c r="C1" s="2635"/>
      <c r="D1" s="2635"/>
      <c r="E1" s="2635"/>
      <c r="F1" s="2635"/>
      <c r="G1" s="2635"/>
      <c r="H1" s="2635"/>
      <c r="I1" s="2635"/>
      <c r="J1" s="1178"/>
    </row>
    <row r="2" spans="2:10" s="295" customFormat="1" ht="12.75" customHeight="1" x14ac:dyDescent="0.2">
      <c r="B2" s="2636">
        <f>'Single Audit Cover'!E7</f>
        <v>3011001026</v>
      </c>
      <c r="C2" s="2637"/>
      <c r="D2" s="2637"/>
      <c r="E2" s="2637"/>
      <c r="F2" s="2637"/>
      <c r="G2" s="2637"/>
      <c r="H2" s="2637"/>
      <c r="I2" s="2637"/>
      <c r="J2" s="1178"/>
    </row>
    <row r="3" spans="2:10" s="295" customFormat="1" ht="12.75" customHeight="1" x14ac:dyDescent="0.2">
      <c r="B3" s="2638" t="s">
        <v>1274</v>
      </c>
      <c r="C3" s="2639"/>
      <c r="D3" s="2639"/>
      <c r="E3" s="2639"/>
      <c r="F3" s="2639"/>
      <c r="G3" s="2639"/>
      <c r="H3" s="2639"/>
      <c r="I3" s="2639"/>
      <c r="J3" s="1179"/>
    </row>
    <row r="4" spans="2:10" s="295" customFormat="1" ht="12.75" customHeight="1" x14ac:dyDescent="0.2">
      <c r="B4" s="2638" t="str">
        <f>'Single Audit Cover'!A4</f>
        <v>Year Ending June 30, 2020</v>
      </c>
      <c r="C4" s="2639"/>
      <c r="D4" s="2639"/>
      <c r="E4" s="2639"/>
      <c r="F4" s="2639"/>
      <c r="G4" s="2639"/>
      <c r="H4" s="2639"/>
      <c r="I4" s="263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8" t="s">
        <v>1273</v>
      </c>
      <c r="C7" s="2639"/>
      <c r="D7" s="2639"/>
      <c r="E7" s="2639"/>
      <c r="F7" s="2639"/>
      <c r="G7" s="2639"/>
      <c r="H7" s="2639"/>
      <c r="I7" s="263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0"/>
      <c r="D11" s="264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1"/>
      <c r="E29" s="2641"/>
      <c r="F29" s="2641"/>
      <c r="G29" s="2641"/>
      <c r="H29" s="2641"/>
      <c r="I29" s="264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2" t="s">
        <v>1728</v>
      </c>
      <c r="D37" s="2643"/>
      <c r="E37" s="2643"/>
      <c r="F37" s="2644"/>
      <c r="G37" s="2642" t="s">
        <v>1575</v>
      </c>
      <c r="H37" s="2643"/>
      <c r="I37" s="2644"/>
    </row>
    <row r="38" spans="2:9" ht="16.5" customHeight="1" x14ac:dyDescent="0.2">
      <c r="B38" s="1200"/>
      <c r="C38" s="2630"/>
      <c r="D38" s="2631"/>
      <c r="E38" s="2631"/>
      <c r="F38" s="2632"/>
      <c r="G38" s="2645"/>
      <c r="H38" s="2646"/>
      <c r="I38" s="2647"/>
    </row>
    <row r="39" spans="2:9" ht="16.5" customHeight="1" x14ac:dyDescent="0.2">
      <c r="B39" s="1200"/>
      <c r="C39" s="2630"/>
      <c r="D39" s="2631"/>
      <c r="E39" s="2631"/>
      <c r="F39" s="2632"/>
      <c r="G39" s="2633"/>
      <c r="H39" s="2633"/>
      <c r="I39" s="2633"/>
    </row>
    <row r="40" spans="2:9" ht="16.5" customHeight="1" x14ac:dyDescent="0.2">
      <c r="B40" s="1200"/>
      <c r="C40" s="2630"/>
      <c r="D40" s="2631"/>
      <c r="E40" s="2631"/>
      <c r="F40" s="2632"/>
      <c r="G40" s="2633"/>
      <c r="H40" s="2633"/>
      <c r="I40" s="2633"/>
    </row>
    <row r="41" spans="2:9" ht="16.5" customHeight="1" x14ac:dyDescent="0.2">
      <c r="B41" s="1200"/>
      <c r="C41" s="2630"/>
      <c r="D41" s="2631"/>
      <c r="E41" s="2631"/>
      <c r="F41" s="2632"/>
      <c r="G41" s="2633"/>
      <c r="H41" s="2633"/>
      <c r="I41" s="2633"/>
    </row>
    <row r="42" spans="2:9" ht="16.5" customHeight="1" x14ac:dyDescent="0.2">
      <c r="B42" s="1200"/>
      <c r="C42" s="2630"/>
      <c r="D42" s="2631"/>
      <c r="E42" s="2631"/>
      <c r="F42" s="2632"/>
      <c r="G42" s="2633"/>
      <c r="H42" s="2633"/>
      <c r="I42" s="2633"/>
    </row>
    <row r="43" spans="2:9" ht="16.5" customHeight="1" x14ac:dyDescent="0.2">
      <c r="B43" s="1200"/>
      <c r="C43" s="2623" t="s">
        <v>1576</v>
      </c>
      <c r="D43" s="2624"/>
      <c r="E43" s="2624"/>
      <c r="F43" s="2625"/>
      <c r="G43" s="2626">
        <f>SUM(G38:I42)</f>
        <v>0</v>
      </c>
      <c r="H43" s="2626"/>
      <c r="I43" s="2626"/>
    </row>
    <row r="44" spans="2:9" ht="12.75" customHeight="1" x14ac:dyDescent="0.2"/>
    <row r="45" spans="2:9" ht="12.75" customHeight="1" x14ac:dyDescent="0.2">
      <c r="B45" s="1916" t="str">
        <f>"Total Federal Expenditures for 7/1/"&amp;MID('AFR20'!E2,3,2)-1&amp;"-6/30/"&amp;MID('AFR20'!E2,3,2)</f>
        <v>Total Federal Expenditures for 7/1/19-6/30/20</v>
      </c>
      <c r="C45" s="1917"/>
      <c r="D45" s="2627">
        <v>0</v>
      </c>
      <c r="E45" s="262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9"/>
      <c r="F49" s="2629"/>
      <c r="G49" s="262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4" t="str">
        <f>'Single Audit Cover'!A7</f>
        <v xml:space="preserve"> Morrisonville CUSD 1</v>
      </c>
      <c r="C1" s="2634"/>
      <c r="D1" s="2634"/>
      <c r="E1" s="2634"/>
      <c r="F1" s="2634"/>
      <c r="G1" s="2634"/>
      <c r="H1" s="2634"/>
      <c r="I1" s="2634"/>
      <c r="J1" s="2634"/>
      <c r="K1" s="2634"/>
      <c r="L1" s="1144"/>
      <c r="M1" s="1144"/>
    </row>
    <row r="2" spans="1:13" ht="12" customHeight="1" x14ac:dyDescent="0.2">
      <c r="B2" s="2636">
        <f>'Single Audit Cover'!E7</f>
        <v>3011001026</v>
      </c>
      <c r="C2" s="2636"/>
      <c r="D2" s="2636"/>
      <c r="E2" s="2636"/>
      <c r="F2" s="2636"/>
      <c r="G2" s="2636"/>
      <c r="H2" s="2636"/>
      <c r="I2" s="2636"/>
      <c r="J2" s="2636"/>
      <c r="K2" s="2636"/>
      <c r="L2" s="1145"/>
      <c r="M2" s="1146"/>
    </row>
    <row r="3" spans="1:13" ht="10.35" customHeight="1" x14ac:dyDescent="0.2">
      <c r="B3" s="2650" t="s">
        <v>1274</v>
      </c>
      <c r="C3" s="2650"/>
      <c r="D3" s="2650"/>
      <c r="E3" s="2650"/>
      <c r="F3" s="2650"/>
      <c r="G3" s="2650"/>
      <c r="H3" s="2650"/>
      <c r="I3" s="2650"/>
      <c r="J3" s="2650"/>
      <c r="K3" s="2650"/>
      <c r="L3" s="1147"/>
      <c r="M3" s="1147"/>
    </row>
    <row r="4" spans="1:13" ht="14.25" customHeight="1" x14ac:dyDescent="0.2">
      <c r="B4" s="2651" t="str">
        <f>'Single Audit Cover'!A4</f>
        <v>Year Ending June 30, 2020</v>
      </c>
      <c r="C4" s="2651"/>
      <c r="D4" s="2651"/>
      <c r="E4" s="2651"/>
      <c r="F4" s="2651"/>
      <c r="G4" s="2651"/>
      <c r="H4" s="2651"/>
      <c r="I4" s="2651"/>
      <c r="J4" s="2651"/>
      <c r="K4" s="265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1" t="s">
        <v>1285</v>
      </c>
      <c r="C7" s="2651"/>
      <c r="D7" s="2652"/>
      <c r="E7" s="2652"/>
      <c r="F7" s="2652"/>
      <c r="G7" s="2652"/>
      <c r="H7" s="2652"/>
      <c r="I7" s="2652"/>
      <c r="J7" s="2652"/>
      <c r="K7" s="265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49"/>
      <c r="C14" s="2649"/>
      <c r="D14" s="2649"/>
      <c r="E14" s="2649"/>
      <c r="F14" s="2649"/>
      <c r="G14" s="2649"/>
      <c r="H14" s="2649"/>
      <c r="I14" s="2649"/>
      <c r="J14" s="2649"/>
      <c r="K14" s="264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49"/>
      <c r="C17" s="2649"/>
      <c r="D17" s="2649"/>
      <c r="E17" s="2649"/>
      <c r="F17" s="2649"/>
      <c r="G17" s="2649"/>
      <c r="H17" s="2649"/>
      <c r="I17" s="2649"/>
      <c r="J17" s="2649"/>
      <c r="K17" s="264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3"/>
      <c r="C20" s="2653"/>
      <c r="D20" s="2649"/>
      <c r="E20" s="2649"/>
      <c r="F20" s="2649"/>
      <c r="G20" s="2649"/>
      <c r="H20" s="2649"/>
      <c r="I20" s="2649"/>
      <c r="J20" s="2649"/>
      <c r="K20" s="264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49"/>
      <c r="C23" s="2649"/>
      <c r="D23" s="2649"/>
      <c r="E23" s="2649"/>
      <c r="F23" s="2649"/>
      <c r="G23" s="2649"/>
      <c r="H23" s="2649"/>
      <c r="I23" s="2649"/>
      <c r="J23" s="2649"/>
      <c r="K23" s="264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49"/>
      <c r="C26" s="2649"/>
      <c r="D26" s="2649"/>
      <c r="E26" s="2649"/>
      <c r="F26" s="2649"/>
      <c r="G26" s="2649"/>
      <c r="H26" s="2649"/>
      <c r="I26" s="2649"/>
      <c r="J26" s="2649"/>
      <c r="K26" s="264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48"/>
      <c r="C29" s="2648"/>
      <c r="D29" s="2649"/>
      <c r="E29" s="2649"/>
      <c r="F29" s="2649"/>
      <c r="G29" s="2649"/>
      <c r="H29" s="2649"/>
      <c r="I29" s="2649"/>
      <c r="J29" s="2649"/>
      <c r="K29" s="264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48"/>
      <c r="C32" s="2648"/>
      <c r="D32" s="2649"/>
      <c r="E32" s="2649"/>
      <c r="F32" s="2649"/>
      <c r="G32" s="2649"/>
      <c r="H32" s="2649"/>
      <c r="I32" s="2649"/>
      <c r="J32" s="2649"/>
      <c r="K32" s="264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7" t="str">
        <f>'Single Audit Cover'!A7</f>
        <v xml:space="preserve"> Morrisonville CUSD 1</v>
      </c>
      <c r="C1" s="2657"/>
      <c r="D1" s="2657"/>
      <c r="E1" s="2657"/>
      <c r="F1" s="2657"/>
      <c r="G1" s="2657"/>
      <c r="H1" s="2657"/>
      <c r="I1" s="2657"/>
      <c r="J1" s="2657"/>
      <c r="K1" s="2657"/>
      <c r="L1" s="1221"/>
    </row>
    <row r="2" spans="1:12" ht="12.75" customHeight="1" x14ac:dyDescent="0.2">
      <c r="B2" s="2658">
        <f>'Single Audit Cover'!E7</f>
        <v>3011001026</v>
      </c>
      <c r="C2" s="2658"/>
      <c r="D2" s="2658"/>
      <c r="E2" s="2658"/>
      <c r="F2" s="2658"/>
      <c r="G2" s="2658"/>
      <c r="H2" s="2658"/>
      <c r="I2" s="2658"/>
      <c r="J2" s="2658"/>
      <c r="K2" s="2658"/>
      <c r="L2" s="1222"/>
    </row>
    <row r="3" spans="1:12" ht="12.75" customHeight="1" x14ac:dyDescent="0.2">
      <c r="B3" s="2650" t="s">
        <v>1274</v>
      </c>
      <c r="C3" s="2650"/>
      <c r="D3" s="2650"/>
      <c r="E3" s="2650"/>
      <c r="F3" s="2650"/>
      <c r="G3" s="2650"/>
      <c r="H3" s="2650"/>
      <c r="I3" s="2650"/>
      <c r="J3" s="2650"/>
      <c r="K3" s="2650"/>
      <c r="L3" s="1147"/>
    </row>
    <row r="4" spans="1:12" ht="12.75" customHeight="1" x14ac:dyDescent="0.2">
      <c r="B4" s="2650" t="str">
        <f>'Single Audit Cover'!A4</f>
        <v>Year Ending June 30, 2020</v>
      </c>
      <c r="C4" s="2650"/>
      <c r="D4" s="2650"/>
      <c r="E4" s="2650"/>
      <c r="F4" s="2650"/>
      <c r="G4" s="2650"/>
      <c r="H4" s="2650"/>
      <c r="I4" s="2650"/>
      <c r="J4" s="2650"/>
      <c r="K4" s="2650"/>
      <c r="L4" s="1147"/>
    </row>
    <row r="5" spans="1:12" ht="5.25" customHeight="1" x14ac:dyDescent="0.2">
      <c r="B5" s="1036" t="s">
        <v>1159</v>
      </c>
      <c r="C5" s="1036"/>
      <c r="L5" s="300"/>
    </row>
    <row r="6" spans="1:12" ht="30.75" customHeight="1" x14ac:dyDescent="0.2">
      <c r="A6" s="300"/>
      <c r="B6" s="2659" t="s">
        <v>1297</v>
      </c>
      <c r="C6" s="2659"/>
      <c r="D6" s="2659"/>
      <c r="E6" s="2659"/>
      <c r="F6" s="2659"/>
      <c r="G6" s="2659"/>
      <c r="H6" s="2659"/>
      <c r="I6" s="2659"/>
      <c r="J6" s="2659"/>
      <c r="K6" s="265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1"/>
      <c r="G12" s="2641"/>
      <c r="H12" s="2641"/>
      <c r="I12" s="2641"/>
      <c r="J12" s="2641"/>
      <c r="K12" s="264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54"/>
      <c r="E14" s="2654"/>
      <c r="F14" s="2654"/>
      <c r="H14" s="1230" t="s">
        <v>1292</v>
      </c>
      <c r="I14" s="2655"/>
      <c r="J14" s="2655"/>
      <c r="K14" s="265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55"/>
      <c r="E16" s="2655"/>
      <c r="F16" s="2655"/>
      <c r="G16" s="2655"/>
      <c r="H16" s="2655"/>
      <c r="I16" s="2655"/>
      <c r="J16" s="2655"/>
      <c r="K16" s="2655"/>
      <c r="L16" s="300"/>
    </row>
    <row r="17" spans="2:12" ht="13.5" customHeight="1" x14ac:dyDescent="0.2">
      <c r="B17" s="1156" t="s">
        <v>1290</v>
      </c>
      <c r="C17" s="1156"/>
      <c r="D17" s="2656"/>
      <c r="E17" s="2656"/>
      <c r="F17" s="2656"/>
      <c r="G17" s="2656"/>
      <c r="H17" s="2656"/>
      <c r="I17" s="2656"/>
      <c r="J17" s="2656"/>
      <c r="K17" s="265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49"/>
      <c r="C20" s="2649"/>
      <c r="D20" s="2649"/>
      <c r="E20" s="2649"/>
      <c r="F20" s="2649"/>
      <c r="G20" s="2649"/>
      <c r="H20" s="2649"/>
      <c r="I20" s="2649"/>
      <c r="J20" s="2649"/>
      <c r="K20" s="264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49"/>
      <c r="C23" s="2649"/>
      <c r="D23" s="2649"/>
      <c r="E23" s="2649"/>
      <c r="F23" s="2649"/>
      <c r="G23" s="2649"/>
      <c r="H23" s="2649"/>
      <c r="I23" s="2649"/>
      <c r="J23" s="2649"/>
      <c r="K23" s="264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49"/>
      <c r="C26" s="2649"/>
      <c r="D26" s="2649"/>
      <c r="E26" s="2649"/>
      <c r="F26" s="2649"/>
      <c r="G26" s="2649"/>
      <c r="H26" s="2649"/>
      <c r="I26" s="2649"/>
      <c r="J26" s="2649"/>
      <c r="K26" s="264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49"/>
      <c r="C29" s="2649"/>
      <c r="D29" s="2649"/>
      <c r="E29" s="2649"/>
      <c r="F29" s="2649"/>
      <c r="G29" s="2649"/>
      <c r="H29" s="2649"/>
      <c r="I29" s="2649"/>
      <c r="J29" s="2649"/>
      <c r="K29" s="264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49"/>
      <c r="C32" s="2649"/>
      <c r="D32" s="2649"/>
      <c r="E32" s="2649"/>
      <c r="F32" s="2649"/>
      <c r="G32" s="2649"/>
      <c r="H32" s="2649"/>
      <c r="I32" s="2649"/>
      <c r="J32" s="2649"/>
      <c r="K32" s="264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49"/>
      <c r="C35" s="2649"/>
      <c r="D35" s="2649"/>
      <c r="E35" s="2649"/>
      <c r="F35" s="2649"/>
      <c r="G35" s="2649"/>
      <c r="H35" s="2649"/>
      <c r="I35" s="2649"/>
      <c r="J35" s="2649"/>
      <c r="K35" s="264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49"/>
      <c r="C38" s="2649"/>
      <c r="D38" s="2649"/>
      <c r="E38" s="2649"/>
      <c r="F38" s="2649"/>
      <c r="G38" s="2649"/>
      <c r="H38" s="2649"/>
      <c r="I38" s="2649"/>
      <c r="J38" s="2649"/>
      <c r="K38" s="264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49"/>
      <c r="C41" s="2649"/>
      <c r="D41" s="2649"/>
      <c r="E41" s="2649"/>
      <c r="F41" s="2649"/>
      <c r="G41" s="2649"/>
      <c r="H41" s="2649"/>
      <c r="I41" s="2649"/>
      <c r="J41" s="2649"/>
      <c r="K41" s="264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4" t="str">
        <f>'Single Audit Cover'!A7</f>
        <v xml:space="preserve"> Morrisonville CUSD 1</v>
      </c>
      <c r="C1" s="2634"/>
      <c r="D1" s="2634"/>
      <c r="E1" s="1240"/>
    </row>
    <row r="2" spans="2:5" s="1058" customFormat="1" ht="12.75" customHeight="1" x14ac:dyDescent="0.2">
      <c r="B2" s="2636">
        <f>'Single Audit Cover'!E7</f>
        <v>3011001026</v>
      </c>
      <c r="C2" s="2636"/>
      <c r="D2" s="2636"/>
      <c r="E2" s="1241"/>
    </row>
    <row r="3" spans="2:5" ht="12.75" customHeight="1" x14ac:dyDescent="0.2">
      <c r="B3" s="2650" t="s">
        <v>1743</v>
      </c>
      <c r="C3" s="2650"/>
      <c r="D3" s="2650"/>
      <c r="E3" s="1050"/>
    </row>
    <row r="4" spans="2:5" s="1058" customFormat="1" ht="12.75" customHeight="1" x14ac:dyDescent="0.2">
      <c r="B4" s="2660" t="str">
        <f>'Single Audit Cover'!A4</f>
        <v>Year Ending June 30, 2020</v>
      </c>
      <c r="C4" s="2660"/>
      <c r="D4" s="266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6" t="s">
        <v>383</v>
      </c>
      <c r="B1" s="2226"/>
      <c r="C1" s="2226"/>
      <c r="D1" s="2226"/>
      <c r="E1" s="2226"/>
      <c r="F1" s="2226"/>
      <c r="G1" s="2226"/>
      <c r="H1" s="2226"/>
      <c r="I1" s="2226"/>
      <c r="J1" s="2226"/>
      <c r="K1" s="2226"/>
      <c r="L1" s="2226"/>
      <c r="M1" s="222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50339096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2.9995000000000001E-2</v>
      </c>
      <c r="E10" s="333" t="s">
        <v>998</v>
      </c>
      <c r="F10" s="332">
        <v>5.0000000000000001E-3</v>
      </c>
      <c r="G10" s="333" t="s">
        <v>998</v>
      </c>
      <c r="H10" s="332">
        <v>2E-3</v>
      </c>
      <c r="I10" s="333" t="s">
        <v>999</v>
      </c>
      <c r="J10" s="1424">
        <f>ROUND(D10+F10+H10,5)</f>
        <v>3.6999999999999998E-2</v>
      </c>
      <c r="K10" s="217"/>
      <c r="L10" s="332">
        <v>5.0000000000000001E-4</v>
      </c>
      <c r="M10" s="217"/>
    </row>
    <row r="11" spans="1:14" ht="7.5" customHeight="1" x14ac:dyDescent="0.2">
      <c r="B11" s="217"/>
      <c r="C11" s="217"/>
      <c r="D11" s="2236" t="str">
        <f>IF(SUM(J10)&lt;=0.0999999,"","Enter the Tax Rates by moving the decimal two places to the left.")</f>
        <v/>
      </c>
      <c r="E11" s="2237"/>
      <c r="F11" s="2237"/>
      <c r="G11" s="2237"/>
      <c r="H11" s="2237"/>
      <c r="I11" s="2237"/>
      <c r="J11" s="223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3708732</v>
      </c>
      <c r="E16" s="1547"/>
      <c r="F16" s="1546">
        <f>SUM('Acct Summary 7-8'!C17,'Acct Summary 7-8'!D17,'Acct Summary 7-8'!F17)</f>
        <v>3309936</v>
      </c>
      <c r="G16" s="1547"/>
      <c r="H16" s="1546">
        <f>SUM(D16-F16)</f>
        <v>398796</v>
      </c>
      <c r="I16" s="1548"/>
      <c r="J16" s="1546">
        <f>SUM('Acct Summary 7-8'!C81,'Acct Summary 7-8'!D81,'Acct Summary 7-8'!F81,'Acct Summary 7-8'!I81)</f>
        <v>1431549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6946795.2480000006</v>
      </c>
      <c r="I31" s="345"/>
      <c r="J31" s="217"/>
      <c r="K31" s="217"/>
      <c r="L31" s="217"/>
      <c r="M31" s="217"/>
    </row>
    <row r="32" spans="1:13" ht="13.35" customHeight="1" x14ac:dyDescent="0.2">
      <c r="B32" s="346" t="s">
        <v>2061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1427729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7"/>
      <c r="C54" s="2228"/>
      <c r="D54" s="2228"/>
      <c r="E54" s="2228"/>
      <c r="F54" s="2228"/>
      <c r="G54" s="2228"/>
      <c r="H54" s="2228"/>
      <c r="I54" s="2228"/>
      <c r="J54" s="2228"/>
      <c r="K54" s="2228"/>
      <c r="L54" s="2229"/>
      <c r="M54" s="357"/>
    </row>
    <row r="55" spans="1:13" ht="12.75" customHeight="1" x14ac:dyDescent="0.2">
      <c r="B55" s="2230"/>
      <c r="C55" s="2231"/>
      <c r="D55" s="2231"/>
      <c r="E55" s="2231"/>
      <c r="F55" s="2231"/>
      <c r="G55" s="2231"/>
      <c r="H55" s="2231"/>
      <c r="I55" s="2231"/>
      <c r="J55" s="2231"/>
      <c r="K55" s="2231"/>
      <c r="L55" s="2232"/>
      <c r="M55" s="357"/>
    </row>
    <row r="56" spans="1:13" ht="12.75" customHeight="1" x14ac:dyDescent="0.2">
      <c r="B56" s="2230"/>
      <c r="C56" s="2231"/>
      <c r="D56" s="2231"/>
      <c r="E56" s="2231"/>
      <c r="F56" s="2231"/>
      <c r="G56" s="2231"/>
      <c r="H56" s="2231"/>
      <c r="I56" s="2231"/>
      <c r="J56" s="2231"/>
      <c r="K56" s="2231"/>
      <c r="L56" s="2232"/>
      <c r="M56" s="217"/>
    </row>
    <row r="57" spans="1:13" ht="12.75" customHeight="1" x14ac:dyDescent="0.2">
      <c r="B57" s="2230"/>
      <c r="C57" s="2231"/>
      <c r="D57" s="2231"/>
      <c r="E57" s="2231"/>
      <c r="F57" s="2231"/>
      <c r="G57" s="2231"/>
      <c r="H57" s="2231"/>
      <c r="I57" s="2231"/>
      <c r="J57" s="2231"/>
      <c r="K57" s="2231"/>
      <c r="L57" s="2232"/>
      <c r="M57" s="217"/>
    </row>
    <row r="58" spans="1:13" x14ac:dyDescent="0.2">
      <c r="B58" s="2233"/>
      <c r="C58" s="2234"/>
      <c r="D58" s="2234"/>
      <c r="E58" s="2234"/>
      <c r="F58" s="2234"/>
      <c r="G58" s="2234"/>
      <c r="H58" s="2234"/>
      <c r="I58" s="2234"/>
      <c r="J58" s="2234"/>
      <c r="K58" s="2234"/>
      <c r="L58" s="223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8"/>
      <c r="D61" s="223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orizontalCentered="1" headings="1"/>
  <pageMargins left="1" right="0.75" top="0.75" bottom="0.75" header="0.5" footer="0.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1"/>
      <c r="B1" s="2242"/>
      <c r="C1" s="2242"/>
      <c r="D1" s="361"/>
      <c r="E1" s="361"/>
      <c r="F1" s="361"/>
      <c r="G1" s="361"/>
      <c r="H1" s="361"/>
      <c r="I1" s="361"/>
      <c r="J1" s="361"/>
      <c r="K1" s="361"/>
      <c r="L1" s="361"/>
      <c r="M1" s="361"/>
      <c r="N1" s="361"/>
      <c r="O1" s="2241"/>
      <c r="P1" s="2242"/>
      <c r="Q1" s="2242"/>
    </row>
    <row r="2" spans="1:18" ht="15" x14ac:dyDescent="0.2">
      <c r="A2" s="2245" t="s">
        <v>552</v>
      </c>
      <c r="B2" s="2245"/>
      <c r="C2" s="2245"/>
      <c r="D2" s="2245"/>
      <c r="E2" s="2245"/>
      <c r="F2" s="2245"/>
      <c r="G2" s="2245"/>
      <c r="H2" s="2245"/>
      <c r="I2" s="2245"/>
      <c r="J2" s="2245"/>
      <c r="K2" s="2245"/>
      <c r="L2" s="2245"/>
      <c r="M2" s="2245"/>
      <c r="N2" s="2245"/>
      <c r="O2" s="2245"/>
      <c r="P2" s="2245"/>
      <c r="Q2" s="2245"/>
      <c r="R2" s="2245"/>
    </row>
    <row r="3" spans="1:18" ht="12.75" x14ac:dyDescent="0.2">
      <c r="A3" s="2246" t="s">
        <v>1396</v>
      </c>
      <c r="B3" s="2246"/>
      <c r="C3" s="2246"/>
      <c r="D3" s="2246"/>
      <c r="E3" s="2246"/>
      <c r="F3" s="2246"/>
      <c r="G3" s="2246"/>
      <c r="H3" s="2246"/>
      <c r="I3" s="2246"/>
      <c r="J3" s="2246"/>
      <c r="K3" s="2246"/>
      <c r="L3" s="2246"/>
      <c r="M3" s="2246"/>
      <c r="N3" s="2246"/>
      <c r="O3" s="2246"/>
      <c r="P3" s="2246"/>
      <c r="Q3" s="2246"/>
      <c r="R3" s="2246"/>
    </row>
    <row r="4" spans="1:18" x14ac:dyDescent="0.2">
      <c r="A4" s="2247" t="s">
        <v>1537</v>
      </c>
      <c r="B4" s="2247"/>
      <c r="C4" s="2247"/>
      <c r="D4" s="2247"/>
      <c r="E4" s="2247"/>
      <c r="F4" s="2247"/>
      <c r="G4" s="2247"/>
      <c r="H4" s="2247"/>
      <c r="I4" s="2247"/>
      <c r="J4" s="2247"/>
      <c r="K4" s="2247"/>
      <c r="L4" s="2247"/>
      <c r="M4" s="2247"/>
      <c r="N4" s="2247"/>
      <c r="O4" s="2247"/>
      <c r="P4" s="2247"/>
      <c r="Q4" s="2247"/>
      <c r="R4" s="224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Morrisonville CUSD 1</v>
      </c>
      <c r="E7" s="368"/>
      <c r="G7" s="247"/>
      <c r="H7" s="364"/>
      <c r="I7" s="364"/>
      <c r="J7" s="364"/>
      <c r="K7" s="364"/>
      <c r="L7" s="307"/>
      <c r="M7" s="307"/>
      <c r="N7" s="307"/>
      <c r="O7" s="307"/>
      <c r="P7" s="307"/>
    </row>
    <row r="8" spans="1:18" ht="12.75" x14ac:dyDescent="0.2">
      <c r="A8" s="307"/>
      <c r="B8" s="307"/>
      <c r="C8" s="366" t="s">
        <v>1115</v>
      </c>
      <c r="D8" s="369">
        <f>COVER!A13</f>
        <v>3011001026</v>
      </c>
      <c r="E8" s="370"/>
      <c r="G8" s="307"/>
      <c r="H8" s="307"/>
      <c r="I8" s="307"/>
      <c r="J8" s="307"/>
      <c r="K8" s="307"/>
      <c r="L8" s="307"/>
      <c r="M8" s="307"/>
      <c r="N8" s="307"/>
      <c r="O8" s="307"/>
      <c r="P8" s="307"/>
    </row>
    <row r="9" spans="1:18" ht="12.75" x14ac:dyDescent="0.2">
      <c r="A9" s="307"/>
      <c r="B9" s="307"/>
      <c r="C9" s="366" t="s">
        <v>708</v>
      </c>
      <c r="D9" s="371" t="str">
        <f>COVER!A15</f>
        <v>Christian/Montgomery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1431549</v>
      </c>
      <c r="I12" s="380"/>
      <c r="J12" s="380"/>
      <c r="K12" s="1559">
        <f>TRUNC((H12/H13*100000),5)/100000</f>
        <v>0.38599418879999997</v>
      </c>
      <c r="L12" s="381"/>
      <c r="M12" s="337" t="s">
        <v>1134</v>
      </c>
      <c r="N12" s="337"/>
      <c r="O12" s="1562">
        <v>0.35</v>
      </c>
      <c r="P12" s="213"/>
      <c r="Q12" s="213"/>
    </row>
    <row r="13" spans="1:18" s="382" customFormat="1" ht="12.75" x14ac:dyDescent="0.2">
      <c r="A13" s="213"/>
      <c r="B13" s="377"/>
      <c r="C13" s="2243" t="s">
        <v>1313</v>
      </c>
      <c r="D13" s="2244"/>
      <c r="E13" s="213"/>
      <c r="F13" s="383" t="s">
        <v>788</v>
      </c>
      <c r="G13" s="378"/>
      <c r="H13" s="1551">
        <f>SUM('Acct Summary 7-8'!C8+'Acct Summary 7-8'!D8+'Acct Summary 7-8'!F8+'Acct Summary 7-8'!I8)+H14</f>
        <v>3708732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3309936</v>
      </c>
      <c r="I17" s="380"/>
      <c r="J17" s="389"/>
      <c r="K17" s="1559">
        <f>TRUNC((H17/H18*100000),5)/100000</f>
        <v>0.89247106549999999</v>
      </c>
      <c r="L17" s="381"/>
      <c r="M17" s="390" t="s">
        <v>1161</v>
      </c>
      <c r="O17" s="1565" t="str">
        <f>IF(AND(O16="2", J20 &gt; 2),"1",IF(AND(O16 = "1", J20 &gt; 2),"2",IF(AND(O16="1", J20 &gt;1),"1","0")))</f>
        <v>0</v>
      </c>
      <c r="P17" s="213"/>
    </row>
    <row r="18" spans="1:18" s="382" customFormat="1" ht="11.25" x14ac:dyDescent="0.2">
      <c r="A18" s="213"/>
      <c r="B18" s="377"/>
      <c r="C18" s="2243" t="s">
        <v>1306</v>
      </c>
      <c r="D18" s="2244"/>
      <c r="E18" s="213"/>
      <c r="F18" s="391" t="s">
        <v>789</v>
      </c>
      <c r="G18" s="378"/>
      <c r="H18" s="1551">
        <f>SUM('Acct Summary 7-8'!C8+'Acct Summary 7-8'!D8+'Acct Summary 7-8'!F8+'Acct Summary 7-8'!I8)+H19</f>
        <v>3708732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40" t="s">
        <v>1395</v>
      </c>
      <c r="D24" s="2240"/>
      <c r="E24" s="213"/>
      <c r="F24" s="213" t="s">
        <v>442</v>
      </c>
      <c r="G24" s="378"/>
      <c r="H24" s="1551">
        <f>SUM('Assets-Liab 5-6'!C4+'Assets-Liab 5-6'!D4+'Assets-Liab 5-6'!F4+'Assets-Liab 5-6'!I4+'Assets-Liab 5-6'!C5+'Assets-Liab 5-6'!D5+'Assets-Liab 5-6'!F5+'Assets-Liab 5-6'!I5)</f>
        <v>1431549</v>
      </c>
      <c r="I24" s="394"/>
      <c r="J24" s="394"/>
      <c r="K24" s="1555">
        <f>TRUNC(((H24/H25*100000)/100000),2)</f>
        <v>155.69999999999999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9194.2666700000009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1583164.5692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1427729</v>
      </c>
      <c r="I32" s="392"/>
      <c r="J32" s="392"/>
      <c r="K32" s="1555">
        <f>TRUNC(100-((((H32/H33*100))*100)/100),2)</f>
        <v>79.44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6946795.2480000006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8"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0" t="s">
        <v>967</v>
      </c>
      <c r="B3" s="2251"/>
      <c r="C3" s="1306"/>
      <c r="D3" s="1307"/>
      <c r="E3" s="1307"/>
      <c r="F3" s="1307"/>
      <c r="G3" s="1307"/>
      <c r="H3" s="1307"/>
      <c r="I3" s="1307"/>
      <c r="J3" s="1307"/>
      <c r="K3" s="1307"/>
      <c r="L3" s="1307"/>
      <c r="M3" s="1308"/>
      <c r="N3" s="1309"/>
    </row>
    <row r="4" spans="1:14" ht="13.5" customHeight="1" x14ac:dyDescent="0.2">
      <c r="A4" s="427" t="s">
        <v>1632</v>
      </c>
      <c r="B4" s="428"/>
      <c r="C4" s="1572">
        <v>576411</v>
      </c>
      <c r="D4" s="1573">
        <v>75488</v>
      </c>
      <c r="E4" s="1573">
        <v>19452</v>
      </c>
      <c r="F4" s="1573">
        <v>180453</v>
      </c>
      <c r="G4" s="1573">
        <v>88555</v>
      </c>
      <c r="H4" s="1573">
        <v>169672</v>
      </c>
      <c r="I4" s="1573">
        <v>66931</v>
      </c>
      <c r="J4" s="1574">
        <v>161914</v>
      </c>
      <c r="K4" s="1573">
        <v>39680</v>
      </c>
      <c r="L4" s="1573">
        <v>86011</v>
      </c>
      <c r="M4" s="1575"/>
      <c r="N4" s="1576"/>
    </row>
    <row r="5" spans="1:14" x14ac:dyDescent="0.2">
      <c r="A5" s="427" t="s">
        <v>985</v>
      </c>
      <c r="B5" s="429">
        <v>120</v>
      </c>
      <c r="C5" s="1572">
        <v>319409</v>
      </c>
      <c r="D5" s="1573"/>
      <c r="E5" s="1573">
        <v>1</v>
      </c>
      <c r="F5" s="1573">
        <v>139</v>
      </c>
      <c r="G5" s="1573">
        <v>193</v>
      </c>
      <c r="H5" s="1573"/>
      <c r="I5" s="1573">
        <v>212718</v>
      </c>
      <c r="J5" s="1574"/>
      <c r="K5" s="1577">
        <v>11948</v>
      </c>
      <c r="L5" s="1578">
        <v>2913</v>
      </c>
      <c r="M5" s="1575"/>
      <c r="N5" s="1576"/>
    </row>
    <row r="6" spans="1:14" ht="13.5" customHeight="1" x14ac:dyDescent="0.2">
      <c r="A6" s="430" t="s">
        <v>414</v>
      </c>
      <c r="B6" s="429">
        <v>130</v>
      </c>
      <c r="C6" s="1572"/>
      <c r="D6" s="1573"/>
      <c r="E6" s="1573"/>
      <c r="F6" s="1573"/>
      <c r="G6" s="1577"/>
      <c r="H6" s="1577"/>
      <c r="I6" s="1573"/>
      <c r="J6" s="1579"/>
      <c r="K6" s="1577" t="s">
        <v>1159</v>
      </c>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895820</v>
      </c>
      <c r="D13" s="1587">
        <f t="shared" ref="D13:L13" si="0">SUM(D4:D12)</f>
        <v>75488</v>
      </c>
      <c r="E13" s="1587">
        <f t="shared" si="0"/>
        <v>19453</v>
      </c>
      <c r="F13" s="1587">
        <f t="shared" si="0"/>
        <v>180592</v>
      </c>
      <c r="G13" s="1587">
        <f t="shared" si="0"/>
        <v>88748</v>
      </c>
      <c r="H13" s="1587">
        <f t="shared" si="0"/>
        <v>169672</v>
      </c>
      <c r="I13" s="1587">
        <f t="shared" si="0"/>
        <v>279649</v>
      </c>
      <c r="J13" s="1587">
        <f t="shared" si="0"/>
        <v>161914</v>
      </c>
      <c r="K13" s="1587">
        <f t="shared" si="0"/>
        <v>51628</v>
      </c>
      <c r="L13" s="1587">
        <f t="shared" si="0"/>
        <v>88924</v>
      </c>
      <c r="M13" s="1575"/>
      <c r="N13" s="1576"/>
    </row>
    <row r="14" spans="1:14" ht="18" customHeight="1" thickTop="1" x14ac:dyDescent="0.2">
      <c r="A14" s="2252" t="s">
        <v>146</v>
      </c>
      <c r="B14" s="225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78982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5395610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177198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775761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2200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19453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1408276</v>
      </c>
    </row>
    <row r="23" spans="1:14" ht="13.5" customHeight="1" thickBot="1" x14ac:dyDescent="0.25">
      <c r="A23" s="1426" t="s">
        <v>638</v>
      </c>
      <c r="B23" s="1429"/>
      <c r="C23" s="1575"/>
      <c r="D23" s="1575"/>
      <c r="E23" s="1575"/>
      <c r="F23" s="1575"/>
      <c r="G23" s="1575"/>
      <c r="H23" s="1575"/>
      <c r="I23" s="1575"/>
      <c r="J23" s="1575"/>
      <c r="K23" s="1575"/>
      <c r="L23" s="1575"/>
      <c r="M23" s="1594">
        <f>SUM(M15:M22)</f>
        <v>6429751</v>
      </c>
      <c r="N23" s="1594">
        <f>SUM(N21:N22)</f>
        <v>1427729</v>
      </c>
    </row>
    <row r="24" spans="1:14" ht="18" customHeight="1" thickTop="1" x14ac:dyDescent="0.2">
      <c r="A24" s="2254" t="s">
        <v>594</v>
      </c>
      <c r="B24" s="2255"/>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88924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88924</v>
      </c>
      <c r="M34" s="1575"/>
      <c r="N34" s="1585"/>
    </row>
    <row r="35" spans="1:14" ht="18" customHeight="1" thickTop="1" x14ac:dyDescent="0.2">
      <c r="A35" s="2256" t="s">
        <v>526</v>
      </c>
      <c r="B35" s="225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1427729</v>
      </c>
    </row>
    <row r="37" spans="1:14" ht="13.5" thickBot="1" x14ac:dyDescent="0.25">
      <c r="A37" s="1426" t="s">
        <v>648</v>
      </c>
      <c r="B37" s="1429"/>
      <c r="C37" s="1582"/>
      <c r="D37" s="1582"/>
      <c r="E37" s="1582"/>
      <c r="F37" s="1582"/>
      <c r="G37" s="1582"/>
      <c r="H37" s="1582"/>
      <c r="I37" s="1582"/>
      <c r="J37" s="1582"/>
      <c r="K37" s="1582"/>
      <c r="L37" s="1585"/>
      <c r="M37" s="1575"/>
      <c r="N37" s="1594">
        <f>SUM(N36:N36)</f>
        <v>1427729</v>
      </c>
    </row>
    <row r="38" spans="1:14" s="307" customFormat="1" ht="13.5" customHeight="1" thickTop="1" x14ac:dyDescent="0.2">
      <c r="A38" s="438" t="s">
        <v>417</v>
      </c>
      <c r="B38" s="432">
        <v>714</v>
      </c>
      <c r="C38" s="1573"/>
      <c r="D38" s="1573"/>
      <c r="E38" s="1573"/>
      <c r="F38" s="1573"/>
      <c r="G38" s="1573">
        <v>61992</v>
      </c>
      <c r="H38" s="1573">
        <v>169672</v>
      </c>
      <c r="I38" s="1573"/>
      <c r="J38" s="1574"/>
      <c r="K38" s="1573"/>
      <c r="L38" s="1586"/>
      <c r="M38" s="1604"/>
      <c r="N38" s="1604"/>
    </row>
    <row r="39" spans="1:14" s="307" customFormat="1" ht="13.5" customHeight="1" x14ac:dyDescent="0.2">
      <c r="A39" s="438" t="s">
        <v>339</v>
      </c>
      <c r="B39" s="432">
        <v>730</v>
      </c>
      <c r="C39" s="1573">
        <v>895820</v>
      </c>
      <c r="D39" s="1573">
        <v>75488</v>
      </c>
      <c r="E39" s="1573">
        <v>19453</v>
      </c>
      <c r="F39" s="1573">
        <v>180592</v>
      </c>
      <c r="G39" s="1573">
        <v>26756</v>
      </c>
      <c r="H39" s="1573"/>
      <c r="I39" s="1573">
        <v>279649</v>
      </c>
      <c r="J39" s="1574">
        <v>161914</v>
      </c>
      <c r="K39" s="1573">
        <v>51628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6429751</v>
      </c>
      <c r="N40" s="1604"/>
    </row>
    <row r="41" spans="1:14" ht="13.5" customHeight="1" thickBot="1" x14ac:dyDescent="0.25">
      <c r="A41" s="1426" t="s">
        <v>650</v>
      </c>
      <c r="B41" s="1405"/>
      <c r="C41" s="1594">
        <f>(SUM(C34,C37,C38,C39))</f>
        <v>895820</v>
      </c>
      <c r="D41" s="1594">
        <f t="shared" ref="D41:L41" si="2">SUM(D34,D37,D38:D39)</f>
        <v>75488</v>
      </c>
      <c r="E41" s="1594">
        <f t="shared" si="2"/>
        <v>19453</v>
      </c>
      <c r="F41" s="1594">
        <f t="shared" si="2"/>
        <v>180592</v>
      </c>
      <c r="G41" s="1594">
        <f t="shared" si="2"/>
        <v>88748</v>
      </c>
      <c r="H41" s="1594">
        <f t="shared" si="2"/>
        <v>169672</v>
      </c>
      <c r="I41" s="1594">
        <f t="shared" si="2"/>
        <v>279649</v>
      </c>
      <c r="J41" s="1594">
        <f t="shared" si="2"/>
        <v>161914</v>
      </c>
      <c r="K41" s="1594">
        <f t="shared" si="2"/>
        <v>51628</v>
      </c>
      <c r="L41" s="1594">
        <f t="shared" si="2"/>
        <v>88924</v>
      </c>
      <c r="M41" s="1594">
        <f>SUM(M40)</f>
        <v>6429751</v>
      </c>
      <c r="N41" s="1594">
        <f>SUM(N37)</f>
        <v>1427729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5" right="0.5" top="1.5" bottom="0.75" header="1" footer="0.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24" activePane="bottomLeft" state="frozen"/>
      <selection pane="bottomLeft" activeCell="D33" sqref="D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78" t="s">
        <v>1165</v>
      </c>
      <c r="B3" s="2279"/>
      <c r="C3" s="1311"/>
      <c r="D3" s="1312"/>
      <c r="E3" s="1312"/>
      <c r="F3" s="1312"/>
      <c r="G3" s="1312"/>
      <c r="H3" s="1312"/>
      <c r="I3" s="1312"/>
      <c r="J3" s="1312"/>
      <c r="K3" s="1313"/>
      <c r="L3" s="446"/>
    </row>
    <row r="4" spans="1:13" ht="15.75" customHeight="1" x14ac:dyDescent="0.2">
      <c r="A4" s="1537" t="s">
        <v>1482</v>
      </c>
      <c r="B4" s="1538">
        <v>1000</v>
      </c>
      <c r="C4" s="1606">
        <f>'Revenues 9-14'!C109</f>
        <v>1682027</v>
      </c>
      <c r="D4" s="1606">
        <f>'Revenues 9-14'!D109</f>
        <v>236280</v>
      </c>
      <c r="E4" s="1606">
        <f>'Revenues 9-14'!E109</f>
        <v>210187</v>
      </c>
      <c r="F4" s="1606">
        <f>'Revenues 9-14'!F109</f>
        <v>94764</v>
      </c>
      <c r="G4" s="1606">
        <f>'Revenues 9-14'!G109</f>
        <v>106921</v>
      </c>
      <c r="H4" s="1606">
        <f>'Revenues 9-14'!H109</f>
        <v>144182</v>
      </c>
      <c r="I4" s="1606">
        <f>'Revenues 9-14'!I109</f>
        <v>24000</v>
      </c>
      <c r="J4" s="1606">
        <f>'Revenues 9-14'!J109</f>
        <v>179122</v>
      </c>
      <c r="K4" s="1606">
        <f>'Revenues 9-14'!K109</f>
        <v>23725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1081317</v>
      </c>
      <c r="D6" s="1607">
        <f>'Revenues 9-14'!D170</f>
        <v>78000</v>
      </c>
      <c r="E6" s="1607">
        <f>'Revenues 9-14'!E170</f>
        <v>0</v>
      </c>
      <c r="F6" s="1607">
        <f>'Revenues 9-14'!F170</f>
        <v>106036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406308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3169652</v>
      </c>
      <c r="D8" s="1594">
        <f t="shared" ref="D8:K8" si="0">SUM(D4:D7)</f>
        <v>314280</v>
      </c>
      <c r="E8" s="1594">
        <f t="shared" si="0"/>
        <v>210187</v>
      </c>
      <c r="F8" s="1594">
        <f t="shared" si="0"/>
        <v>200800</v>
      </c>
      <c r="G8" s="1594">
        <f t="shared" si="0"/>
        <v>106921</v>
      </c>
      <c r="H8" s="1594">
        <f t="shared" si="0"/>
        <v>144182</v>
      </c>
      <c r="I8" s="1594">
        <f t="shared" si="0"/>
        <v>24000</v>
      </c>
      <c r="J8" s="1594">
        <f t="shared" si="0"/>
        <v>179122</v>
      </c>
      <c r="K8" s="1594">
        <f t="shared" si="0"/>
        <v>23725</v>
      </c>
      <c r="L8" s="325"/>
    </row>
    <row r="9" spans="1:13" ht="15.75" thickTop="1" x14ac:dyDescent="0.2">
      <c r="A9" s="449" t="s">
        <v>1634</v>
      </c>
      <c r="B9" s="450">
        <v>3998</v>
      </c>
      <c r="C9" s="1586">
        <v>1154487</v>
      </c>
      <c r="D9" s="1613"/>
      <c r="E9" s="1586"/>
      <c r="F9" s="1586"/>
      <c r="G9" s="1614"/>
      <c r="H9" s="1586"/>
      <c r="I9" s="1609" t="s">
        <v>1159</v>
      </c>
      <c r="J9" s="1583"/>
      <c r="K9" s="1586"/>
      <c r="L9" s="325"/>
    </row>
    <row r="10" spans="1:13" s="452" customFormat="1" ht="13.5" thickBot="1" x14ac:dyDescent="0.25">
      <c r="A10" s="1426" t="s">
        <v>1163</v>
      </c>
      <c r="B10" s="1407"/>
      <c r="C10" s="1594">
        <f>SUM(C8:C9)</f>
        <v>4324139</v>
      </c>
      <c r="D10" s="1594">
        <f t="shared" ref="D10:K10" si="1">SUM(D8:D9)</f>
        <v>314280</v>
      </c>
      <c r="E10" s="1594">
        <f t="shared" si="1"/>
        <v>210187</v>
      </c>
      <c r="F10" s="1594">
        <f t="shared" si="1"/>
        <v>200800</v>
      </c>
      <c r="G10" s="1594">
        <f t="shared" si="1"/>
        <v>106921</v>
      </c>
      <c r="H10" s="1594">
        <f t="shared" si="1"/>
        <v>144182</v>
      </c>
      <c r="I10" s="1594">
        <f t="shared" si="1"/>
        <v>24000</v>
      </c>
      <c r="J10" s="1594">
        <f t="shared" si="1"/>
        <v>179122</v>
      </c>
      <c r="K10" s="1594">
        <f t="shared" si="1"/>
        <v>23725</v>
      </c>
      <c r="L10" s="451"/>
    </row>
    <row r="11" spans="1:13" s="452" customFormat="1" ht="16.7" customHeight="1" thickTop="1" x14ac:dyDescent="0.2">
      <c r="A11" s="2252" t="s">
        <v>1166</v>
      </c>
      <c r="B11" s="2253"/>
      <c r="C11" s="1602"/>
      <c r="D11" s="1603"/>
      <c r="E11" s="1603"/>
      <c r="F11" s="1603"/>
      <c r="G11" s="1603"/>
      <c r="H11" s="1603"/>
      <c r="I11" s="1603"/>
      <c r="J11" s="1603"/>
      <c r="K11" s="1615"/>
      <c r="L11" s="451"/>
    </row>
    <row r="12" spans="1:13" ht="15.75" customHeight="1" x14ac:dyDescent="0.2">
      <c r="A12" s="1314" t="s">
        <v>453</v>
      </c>
      <c r="B12" s="1316">
        <v>1000</v>
      </c>
      <c r="C12" s="1606">
        <f>'Expenditures 15-22'!K33</f>
        <v>2035581</v>
      </c>
      <c r="D12" s="1616" t="s">
        <v>1159</v>
      </c>
      <c r="E12" s="1575" t="s">
        <v>1159</v>
      </c>
      <c r="F12" s="1575" t="s">
        <v>1159</v>
      </c>
      <c r="G12" s="1606">
        <f>'Expenditures 15-22'!K229</f>
        <v>42323</v>
      </c>
      <c r="H12" s="1617"/>
      <c r="I12" s="1575" t="s">
        <v>1159</v>
      </c>
      <c r="J12" s="1575" t="s">
        <v>1159</v>
      </c>
      <c r="K12" s="1617" t="s">
        <v>1159</v>
      </c>
      <c r="L12" s="325"/>
    </row>
    <row r="13" spans="1:13" ht="15.75" customHeight="1" x14ac:dyDescent="0.2">
      <c r="A13" s="1314" t="s">
        <v>454</v>
      </c>
      <c r="B13" s="1316">
        <v>2000</v>
      </c>
      <c r="C13" s="1607">
        <f>'Expenditures 15-22'!K74</f>
        <v>566726</v>
      </c>
      <c r="D13" s="1607">
        <f>'Expenditures 15-22'!K129</f>
        <v>272428</v>
      </c>
      <c r="E13" s="1576" t="s">
        <v>1159</v>
      </c>
      <c r="F13" s="1607">
        <f>'Expenditures 15-22'!K184</f>
        <v>175965</v>
      </c>
      <c r="G13" s="1607">
        <f>'Expenditures 15-22'!K279</f>
        <v>61813</v>
      </c>
      <c r="H13" s="1607">
        <f>'Expenditures 15-22'!K303</f>
        <v>50672</v>
      </c>
      <c r="I13" s="1575" t="s">
        <v>1159</v>
      </c>
      <c r="J13" s="1607">
        <f>'Expenditures 15-22'!K330</f>
        <v>158244</v>
      </c>
      <c r="K13" s="1618">
        <f>'Expenditures 15-22'!K352</f>
        <v>3087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230942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251601</v>
      </c>
      <c r="F16" s="1607">
        <f>'Expenditures 15-22'!K208</f>
        <v>28294</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2833249</v>
      </c>
      <c r="D17" s="1594">
        <f t="shared" si="2"/>
        <v>272428</v>
      </c>
      <c r="E17" s="1594">
        <f t="shared" si="2"/>
        <v>251601</v>
      </c>
      <c r="F17" s="1594">
        <f t="shared" si="2"/>
        <v>204259</v>
      </c>
      <c r="G17" s="1594">
        <f t="shared" si="2"/>
        <v>104136</v>
      </c>
      <c r="H17" s="1594">
        <f t="shared" si="2"/>
        <v>50672</v>
      </c>
      <c r="I17" s="1575"/>
      <c r="J17" s="1594">
        <f>SUM(J12:J16)</f>
        <v>158244</v>
      </c>
      <c r="K17" s="1594">
        <f>SUM(K12:K16)</f>
        <v>3087</v>
      </c>
      <c r="L17" s="325"/>
    </row>
    <row r="18" spans="1:12" ht="15" customHeight="1" thickTop="1" x14ac:dyDescent="0.2">
      <c r="A18" s="1430" t="s">
        <v>1635</v>
      </c>
      <c r="B18" s="1431">
        <v>4180</v>
      </c>
      <c r="C18" s="1606">
        <f t="shared" ref="C18:H18" si="3">C9</f>
        <v>1154487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3987736</v>
      </c>
      <c r="D19" s="1594">
        <f t="shared" si="4"/>
        <v>272428</v>
      </c>
      <c r="E19" s="1594">
        <f t="shared" si="4"/>
        <v>251601</v>
      </c>
      <c r="F19" s="1594">
        <f t="shared" si="4"/>
        <v>204259</v>
      </c>
      <c r="G19" s="1594">
        <f t="shared" si="4"/>
        <v>104136</v>
      </c>
      <c r="H19" s="1594">
        <f t="shared" si="4"/>
        <v>50672</v>
      </c>
      <c r="I19" s="1575"/>
      <c r="J19" s="1594">
        <f>SUM(J17:J18)</f>
        <v>158244</v>
      </c>
      <c r="K19" s="1594">
        <f>SUM(K17:K18)</f>
        <v>3087</v>
      </c>
      <c r="L19" s="325"/>
    </row>
    <row r="20" spans="1:12" ht="16.5" thickTop="1" thickBot="1" x14ac:dyDescent="0.25">
      <c r="A20" s="2268" t="s">
        <v>1636</v>
      </c>
      <c r="B20" s="2269"/>
      <c r="C20" s="1622">
        <f>C8-C17</f>
        <v>336403</v>
      </c>
      <c r="D20" s="1622">
        <f t="shared" ref="D20:K20" si="5">D8-D17</f>
        <v>41852</v>
      </c>
      <c r="E20" s="1622">
        <f t="shared" si="5"/>
        <v>-41414</v>
      </c>
      <c r="F20" s="1622">
        <f t="shared" si="5"/>
        <v>-3459</v>
      </c>
      <c r="G20" s="1622">
        <f t="shared" si="5"/>
        <v>2785</v>
      </c>
      <c r="H20" s="1622">
        <f t="shared" si="5"/>
        <v>93510</v>
      </c>
      <c r="I20" s="1622">
        <f t="shared" si="5"/>
        <v>24000</v>
      </c>
      <c r="J20" s="1622">
        <f t="shared" si="5"/>
        <v>20878</v>
      </c>
      <c r="K20" s="1622">
        <f t="shared" si="5"/>
        <v>20638</v>
      </c>
      <c r="L20" s="325"/>
    </row>
    <row r="21" spans="1:12" ht="16.7" customHeight="1" thickTop="1" x14ac:dyDescent="0.2">
      <c r="A21" s="2280" t="s">
        <v>591</v>
      </c>
      <c r="B21" s="2281"/>
      <c r="C21" s="1602"/>
      <c r="D21" s="1603"/>
      <c r="E21" s="1603"/>
      <c r="F21" s="1603"/>
      <c r="G21" s="1603"/>
      <c r="H21" s="1603"/>
      <c r="I21" s="1603"/>
      <c r="J21" s="1603"/>
      <c r="K21" s="1615"/>
      <c r="L21" s="453"/>
    </row>
    <row r="22" spans="1:12" ht="15.75" customHeight="1" collapsed="1" x14ac:dyDescent="0.2">
      <c r="A22" s="2276" t="s">
        <v>592</v>
      </c>
      <c r="B22" s="2277"/>
      <c r="C22" s="1582"/>
      <c r="D22" s="1582"/>
      <c r="E22" s="1582"/>
      <c r="F22" s="1582"/>
      <c r="G22" s="1582"/>
      <c r="H22" s="1582"/>
      <c r="I22" s="1582"/>
      <c r="J22" s="1582"/>
      <c r="K22" s="1582"/>
      <c r="L22" s="325"/>
    </row>
    <row r="23" spans="1:12" s="433" customFormat="1" ht="15.75" customHeight="1" x14ac:dyDescent="0.2">
      <c r="A23" s="2272" t="s">
        <v>290</v>
      </c>
      <c r="B23" s="227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22000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74" t="s">
        <v>974</v>
      </c>
      <c r="B32" s="2275"/>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625</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45000</v>
      </c>
      <c r="G43" s="1574"/>
      <c r="H43" s="1574"/>
      <c r="I43" s="1574"/>
      <c r="J43" s="1574"/>
      <c r="K43" s="1574"/>
      <c r="L43" s="453"/>
    </row>
    <row r="44" spans="1:12" s="433" customFormat="1" ht="13.5" customHeight="1" thickBot="1" x14ac:dyDescent="0.25">
      <c r="A44" s="2282" t="s">
        <v>371</v>
      </c>
      <c r="B44" s="2283"/>
      <c r="C44" s="1624">
        <f>SUM(C24:C43)</f>
        <v>0</v>
      </c>
      <c r="D44" s="1624">
        <f t="shared" ref="D44:K44" si="6">SUM(D24:D43)</f>
        <v>22000</v>
      </c>
      <c r="E44" s="1624">
        <f t="shared" si="6"/>
        <v>0</v>
      </c>
      <c r="F44" s="1624">
        <f t="shared" si="6"/>
        <v>45625</v>
      </c>
      <c r="G44" s="1624">
        <f t="shared" si="6"/>
        <v>0</v>
      </c>
      <c r="H44" s="1624">
        <f t="shared" si="6"/>
        <v>0</v>
      </c>
      <c r="I44" s="1624">
        <f t="shared" si="6"/>
        <v>0</v>
      </c>
      <c r="J44" s="1624">
        <f t="shared" si="6"/>
        <v>0</v>
      </c>
      <c r="K44" s="1624">
        <f t="shared" si="6"/>
        <v>0</v>
      </c>
      <c r="L44" s="453"/>
    </row>
    <row r="45" spans="1:12" ht="15.75" customHeight="1" thickTop="1" x14ac:dyDescent="0.2">
      <c r="A45" s="2276" t="s">
        <v>108</v>
      </c>
      <c r="B45" s="2277"/>
      <c r="C45" s="1625"/>
      <c r="D45" s="1625"/>
      <c r="E45" s="1625"/>
      <c r="F45" s="1625"/>
      <c r="G45" s="1625"/>
      <c r="H45" s="1625"/>
      <c r="I45" s="1625"/>
      <c r="J45" s="1625"/>
      <c r="K45" s="1625"/>
      <c r="L45" s="325"/>
    </row>
    <row r="46" spans="1:12" s="433" customFormat="1" ht="15.75" customHeight="1" x14ac:dyDescent="0.2">
      <c r="A46" s="2284" t="s">
        <v>109</v>
      </c>
      <c r="B46" s="228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22000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58" t="s">
        <v>437</v>
      </c>
      <c r="B76" s="2259"/>
      <c r="C76" s="1624">
        <f t="shared" ref="C76:K76" si="7">SUM(C47:C75)</f>
        <v>0</v>
      </c>
      <c r="D76" s="1624">
        <f t="shared" si="7"/>
        <v>0</v>
      </c>
      <c r="E76" s="1624">
        <f t="shared" si="7"/>
        <v>0</v>
      </c>
      <c r="F76" s="1624">
        <f t="shared" si="7"/>
        <v>0</v>
      </c>
      <c r="G76" s="1624">
        <f t="shared" si="7"/>
        <v>0</v>
      </c>
      <c r="H76" s="1624">
        <f t="shared" si="7"/>
        <v>0</v>
      </c>
      <c r="I76" s="1624">
        <f t="shared" si="7"/>
        <v>22000</v>
      </c>
      <c r="J76" s="1624">
        <f t="shared" si="7"/>
        <v>0</v>
      </c>
      <c r="K76" s="1624">
        <f t="shared" si="7"/>
        <v>0</v>
      </c>
      <c r="L76" s="453"/>
    </row>
    <row r="77" spans="1:12" ht="14.25" thickTop="1" thickBot="1" x14ac:dyDescent="0.25">
      <c r="A77" s="2260" t="s">
        <v>1167</v>
      </c>
      <c r="B77" s="2261"/>
      <c r="C77" s="1624">
        <f t="shared" ref="C77:K77" si="8">C44-C76</f>
        <v>0</v>
      </c>
      <c r="D77" s="1624">
        <f t="shared" si="8"/>
        <v>22000</v>
      </c>
      <c r="E77" s="1624">
        <f t="shared" si="8"/>
        <v>0</v>
      </c>
      <c r="F77" s="1624">
        <f t="shared" si="8"/>
        <v>45625</v>
      </c>
      <c r="G77" s="1624">
        <f t="shared" si="8"/>
        <v>0</v>
      </c>
      <c r="H77" s="1624">
        <f t="shared" si="8"/>
        <v>0</v>
      </c>
      <c r="I77" s="1624">
        <f t="shared" si="8"/>
        <v>-22000</v>
      </c>
      <c r="J77" s="1624">
        <f t="shared" si="8"/>
        <v>0</v>
      </c>
      <c r="K77" s="1624">
        <f t="shared" si="8"/>
        <v>0</v>
      </c>
      <c r="L77" s="325"/>
    </row>
    <row r="78" spans="1:12" ht="21.75" customHeight="1" thickTop="1" thickBot="1" x14ac:dyDescent="0.25">
      <c r="A78" s="2264" t="s">
        <v>593</v>
      </c>
      <c r="B78" s="2265"/>
      <c r="C78" s="1629">
        <f t="shared" ref="C78:K78" si="9">C20+C77</f>
        <v>336403</v>
      </c>
      <c r="D78" s="1629">
        <f t="shared" si="9"/>
        <v>63852</v>
      </c>
      <c r="E78" s="1629">
        <f t="shared" si="9"/>
        <v>-41414</v>
      </c>
      <c r="F78" s="1629">
        <f t="shared" si="9"/>
        <v>42166</v>
      </c>
      <c r="G78" s="1629">
        <f t="shared" si="9"/>
        <v>2785</v>
      </c>
      <c r="H78" s="1629">
        <f t="shared" si="9"/>
        <v>93510</v>
      </c>
      <c r="I78" s="1629">
        <f t="shared" si="9"/>
        <v>2000</v>
      </c>
      <c r="J78" s="1629">
        <f t="shared" si="9"/>
        <v>20878</v>
      </c>
      <c r="K78" s="1629">
        <f t="shared" si="9"/>
        <v>20638</v>
      </c>
      <c r="L78" s="457"/>
    </row>
    <row r="79" spans="1:12" ht="13.5" thickTop="1" x14ac:dyDescent="0.2">
      <c r="A79" s="1844" t="str">
        <f>"Fund Balances - July 1, "&amp;'AFR20'!E2-1</f>
        <v>Fund Balances - July 1, 2019</v>
      </c>
      <c r="B79" s="458"/>
      <c r="C79" s="1583">
        <v>559417</v>
      </c>
      <c r="D79" s="1630">
        <v>11636</v>
      </c>
      <c r="E79" s="1630">
        <v>60867</v>
      </c>
      <c r="F79" s="1630">
        <v>138426</v>
      </c>
      <c r="G79" s="1630">
        <v>85963</v>
      </c>
      <c r="H79" s="1630">
        <v>76162</v>
      </c>
      <c r="I79" s="1630">
        <v>277649</v>
      </c>
      <c r="J79" s="1630">
        <v>141036</v>
      </c>
      <c r="K79" s="1630">
        <v>30990</v>
      </c>
      <c r="L79" s="325"/>
    </row>
    <row r="80" spans="1:12" x14ac:dyDescent="0.2">
      <c r="A80" s="2270" t="s">
        <v>1772</v>
      </c>
      <c r="B80" s="2271"/>
      <c r="C80" s="1574"/>
      <c r="D80" s="1574"/>
      <c r="E80" s="1574"/>
      <c r="F80" s="1574"/>
      <c r="G80" s="1574"/>
      <c r="H80" s="1574"/>
      <c r="I80" s="1574"/>
      <c r="J80" s="1574"/>
      <c r="K80" s="1574"/>
      <c r="L80" s="325"/>
    </row>
    <row r="81" spans="1:12" ht="13.5" thickBot="1" x14ac:dyDescent="0.25">
      <c r="A81" s="2262" t="str">
        <f>"Fund Balances - June 30, "&amp;'AFR20'!E2</f>
        <v>Fund Balances - June 30, 2020</v>
      </c>
      <c r="B81" s="2263"/>
      <c r="C81" s="1594">
        <f>(SUM(C78:C80))</f>
        <v>895820</v>
      </c>
      <c r="D81" s="1594">
        <f>SUM(D78:D80)</f>
        <v>75488</v>
      </c>
      <c r="E81" s="1594">
        <f t="shared" ref="E81:K81" si="10">SUM(E78:E80)</f>
        <v>19453</v>
      </c>
      <c r="F81" s="1594">
        <f t="shared" si="10"/>
        <v>180592</v>
      </c>
      <c r="G81" s="1594">
        <f t="shared" si="10"/>
        <v>88748</v>
      </c>
      <c r="H81" s="1594">
        <f t="shared" si="10"/>
        <v>169672</v>
      </c>
      <c r="I81" s="1594">
        <f t="shared" si="10"/>
        <v>279649</v>
      </c>
      <c r="J81" s="1594">
        <f t="shared" si="10"/>
        <v>161914</v>
      </c>
      <c r="K81" s="1594">
        <f t="shared" si="10"/>
        <v>51628</v>
      </c>
      <c r="L81" s="325"/>
    </row>
    <row r="82" spans="1:12" ht="0.75" customHeight="1" thickTop="1" thickBot="1" x14ac:dyDescent="0.25">
      <c r="A82" s="459" t="s">
        <v>340</v>
      </c>
      <c r="B82" s="460"/>
      <c r="C82" s="461">
        <f>(C81-C79)</f>
        <v>336403</v>
      </c>
      <c r="D82" s="461">
        <f t="shared" ref="D82:K82" si="11">(D81-D79)</f>
        <v>63852</v>
      </c>
      <c r="E82" s="461">
        <f t="shared" si="11"/>
        <v>-41414</v>
      </c>
      <c r="F82" s="461">
        <f t="shared" si="11"/>
        <v>42166</v>
      </c>
      <c r="G82" s="461">
        <f t="shared" si="11"/>
        <v>2785</v>
      </c>
      <c r="H82" s="461">
        <f t="shared" si="11"/>
        <v>93510</v>
      </c>
      <c r="I82" s="461">
        <f t="shared" si="11"/>
        <v>2000</v>
      </c>
      <c r="J82" s="461">
        <f t="shared" si="11"/>
        <v>20878</v>
      </c>
      <c r="K82" s="461">
        <f t="shared" si="11"/>
        <v>20638</v>
      </c>
    </row>
    <row r="83" spans="1:12" ht="14.25" hidden="1" thickTop="1" thickBot="1" x14ac:dyDescent="0.25">
      <c r="A83" s="462" t="s">
        <v>341</v>
      </c>
      <c r="B83" s="428"/>
      <c r="C83" s="463">
        <f>C82/C81</f>
        <v>0.37552521711951059</v>
      </c>
      <c r="D83" s="463">
        <f t="shared" ref="D83:K83" si="12">D82/D81</f>
        <v>0.84585629504027127</v>
      </c>
      <c r="E83" s="463">
        <f t="shared" si="12"/>
        <v>-2.1289261296458131</v>
      </c>
      <c r="F83" s="463">
        <f t="shared" si="12"/>
        <v>0.23348764064853372</v>
      </c>
      <c r="G83" s="463">
        <f t="shared" si="12"/>
        <v>3.1380988867354756E-2</v>
      </c>
      <c r="H83" s="463">
        <f t="shared" si="12"/>
        <v>0.5511221651185817</v>
      </c>
      <c r="I83" s="463">
        <f t="shared" si="12"/>
        <v>7.1518224631591746E-3</v>
      </c>
      <c r="J83" s="463">
        <f t="shared" si="12"/>
        <v>0.12894499549143373</v>
      </c>
      <c r="K83" s="463">
        <f t="shared" si="12"/>
        <v>0.39974432478500038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orizontalCentered="1" headings="1"/>
  <pageMargins left="0.25" right="0.25" top="1.65" bottom="0.5" header="1" footer="0.2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9" activePane="bottomLeft" state="frozen"/>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6" t="s">
        <v>1779</v>
      </c>
      <c r="B1" s="416"/>
      <c r="C1" s="417" t="s">
        <v>422</v>
      </c>
      <c r="D1" s="417" t="s">
        <v>423</v>
      </c>
      <c r="E1" s="417" t="s">
        <v>424</v>
      </c>
      <c r="F1" s="417" t="s">
        <v>425</v>
      </c>
      <c r="G1" s="417" t="s">
        <v>426</v>
      </c>
      <c r="H1" s="417" t="s">
        <v>427</v>
      </c>
      <c r="I1" s="417" t="s">
        <v>428</v>
      </c>
      <c r="J1" s="417" t="s">
        <v>429</v>
      </c>
      <c r="K1" s="417" t="s">
        <v>751</v>
      </c>
    </row>
    <row r="2" spans="1:12" ht="36" x14ac:dyDescent="0.2">
      <c r="A2" s="226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1417681</v>
      </c>
      <c r="D5" s="1586">
        <v>236280</v>
      </c>
      <c r="E5" s="1573">
        <v>210187</v>
      </c>
      <c r="F5" s="1631">
        <v>94512</v>
      </c>
      <c r="G5" s="1573">
        <v>29856</v>
      </c>
      <c r="H5" s="1573"/>
      <c r="I5" s="1573">
        <v>23628</v>
      </c>
      <c r="J5" s="1574">
        <v>179122</v>
      </c>
      <c r="K5" s="1573">
        <v>23628</v>
      </c>
    </row>
    <row r="6" spans="1:12" ht="15" x14ac:dyDescent="0.2">
      <c r="A6" s="427" t="s">
        <v>1643</v>
      </c>
      <c r="B6" s="429">
        <v>1130</v>
      </c>
      <c r="C6" s="1573">
        <v>23874</v>
      </c>
      <c r="D6" s="1573"/>
      <c r="E6" s="1580"/>
      <c r="F6" s="1580"/>
      <c r="G6" s="1575"/>
      <c r="H6" s="1575"/>
      <c r="I6" s="1575"/>
      <c r="J6" s="1575"/>
      <c r="K6" s="1575"/>
    </row>
    <row r="7" spans="1:12" x14ac:dyDescent="0.2">
      <c r="A7" s="427" t="s">
        <v>110</v>
      </c>
      <c r="B7" s="471">
        <v>1140</v>
      </c>
      <c r="C7" s="1573">
        <v>18902</v>
      </c>
      <c r="D7" s="1573"/>
      <c r="E7" s="1575"/>
      <c r="F7" s="1574"/>
      <c r="G7" s="1574"/>
      <c r="H7" s="1574"/>
      <c r="I7" s="1575"/>
      <c r="J7" s="1575"/>
      <c r="K7" s="1575"/>
    </row>
    <row r="8" spans="1:12" x14ac:dyDescent="0.2">
      <c r="A8" s="427" t="s">
        <v>410</v>
      </c>
      <c r="B8" s="429">
        <v>1150</v>
      </c>
      <c r="C8" s="1580"/>
      <c r="D8" s="1580"/>
      <c r="E8" s="1582"/>
      <c r="F8" s="1582"/>
      <c r="G8" s="1586">
        <v>74635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1460457</v>
      </c>
      <c r="D12" s="1633">
        <f t="shared" si="0"/>
        <v>236280</v>
      </c>
      <c r="E12" s="1633">
        <f t="shared" si="0"/>
        <v>210187</v>
      </c>
      <c r="F12" s="1633">
        <f t="shared" si="0"/>
        <v>94512</v>
      </c>
      <c r="G12" s="1633">
        <f t="shared" si="0"/>
        <v>104491</v>
      </c>
      <c r="H12" s="1633">
        <f t="shared" si="0"/>
        <v>0</v>
      </c>
      <c r="I12" s="1633">
        <f t="shared" si="0"/>
        <v>23628</v>
      </c>
      <c r="J12" s="1633">
        <f t="shared" si="0"/>
        <v>179122</v>
      </c>
      <c r="K12" s="1594">
        <f t="shared" si="0"/>
        <v>23628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76074</v>
      </c>
      <c r="D16" s="1573"/>
      <c r="E16" s="1573"/>
      <c r="F16" s="1573"/>
      <c r="G16" s="1573">
        <v>2427</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76074</v>
      </c>
      <c r="D18" s="1635">
        <f t="shared" ref="D18:K18" si="1">SUM(D14:D17)</f>
        <v>0</v>
      </c>
      <c r="E18" s="1635">
        <f t="shared" si="1"/>
        <v>0</v>
      </c>
      <c r="F18" s="1635">
        <f t="shared" si="1"/>
        <v>0</v>
      </c>
      <c r="G18" s="1635">
        <f t="shared" si="1"/>
        <v>2427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36654</v>
      </c>
      <c r="D65" s="1573"/>
      <c r="E65" s="1573"/>
      <c r="F65" s="1574">
        <v>2</v>
      </c>
      <c r="G65" s="1573">
        <v>3</v>
      </c>
      <c r="H65" s="1573"/>
      <c r="I65" s="1573">
        <v>372</v>
      </c>
      <c r="J65" s="1574"/>
      <c r="K65" s="1573">
        <v>97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36654</v>
      </c>
      <c r="D67" s="1594">
        <f t="shared" ref="D67:K67" si="2">SUM(D65:D66)</f>
        <v>0</v>
      </c>
      <c r="E67" s="1594">
        <f t="shared" si="2"/>
        <v>0</v>
      </c>
      <c r="F67" s="1594">
        <f t="shared" si="2"/>
        <v>2</v>
      </c>
      <c r="G67" s="1594">
        <f t="shared" si="2"/>
        <v>3</v>
      </c>
      <c r="H67" s="1594">
        <f t="shared" si="2"/>
        <v>0</v>
      </c>
      <c r="I67" s="1594">
        <f t="shared" si="2"/>
        <v>372</v>
      </c>
      <c r="J67" s="1594">
        <f t="shared" si="2"/>
        <v>0</v>
      </c>
      <c r="K67" s="1594">
        <f t="shared" si="2"/>
        <v>97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22049</v>
      </c>
      <c r="D69" s="1575"/>
      <c r="E69" s="1575"/>
      <c r="F69" s="1575"/>
      <c r="G69" s="1575"/>
      <c r="H69" s="1575"/>
      <c r="I69" s="1575"/>
      <c r="J69" s="1575"/>
      <c r="K69" s="1575"/>
    </row>
    <row r="70" spans="1:11" ht="12.75" customHeight="1" x14ac:dyDescent="0.2">
      <c r="A70" s="427" t="s">
        <v>990</v>
      </c>
      <c r="B70" s="429">
        <v>1612</v>
      </c>
      <c r="C70" s="1632">
        <v>3508</v>
      </c>
      <c r="D70" s="1575"/>
      <c r="E70" s="1575"/>
      <c r="F70" s="1575"/>
      <c r="G70" s="1575"/>
      <c r="H70" s="1575"/>
      <c r="I70" s="1575"/>
      <c r="J70" s="1575"/>
      <c r="K70" s="1575"/>
    </row>
    <row r="71" spans="1:11" ht="12.75" customHeight="1" x14ac:dyDescent="0.2">
      <c r="A71" s="427" t="s">
        <v>271</v>
      </c>
      <c r="B71" s="429">
        <v>1613</v>
      </c>
      <c r="C71" s="1632">
        <v>6454</v>
      </c>
      <c r="D71" s="1575"/>
      <c r="E71" s="1575"/>
      <c r="F71" s="1575"/>
      <c r="G71" s="1575"/>
      <c r="H71" s="1575"/>
      <c r="I71" s="1575"/>
      <c r="J71" s="1575"/>
      <c r="K71" s="1575"/>
    </row>
    <row r="72" spans="1:11" ht="12.75" customHeight="1" x14ac:dyDescent="0.2">
      <c r="A72" s="427" t="s">
        <v>24</v>
      </c>
      <c r="B72" s="429">
        <v>1614</v>
      </c>
      <c r="C72" s="1632">
        <v>75</v>
      </c>
      <c r="D72" s="1575"/>
      <c r="E72" s="1575"/>
      <c r="F72" s="1575"/>
      <c r="G72" s="1575"/>
      <c r="H72" s="1575"/>
      <c r="I72" s="1575"/>
      <c r="J72" s="1575"/>
      <c r="K72" s="1575"/>
    </row>
    <row r="73" spans="1:11" ht="12.75" customHeight="1" x14ac:dyDescent="0.2">
      <c r="A73" s="427" t="s">
        <v>991</v>
      </c>
      <c r="B73" s="429">
        <v>1620</v>
      </c>
      <c r="C73" s="1632">
        <v>2027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34113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11891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3124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6365</v>
      </c>
      <c r="D81" s="1573"/>
      <c r="E81" s="1575"/>
      <c r="F81" s="1575"/>
      <c r="G81" s="1575"/>
      <c r="H81" s="1575"/>
      <c r="I81" s="1575"/>
      <c r="J81" s="1575"/>
      <c r="K81" s="1575"/>
    </row>
    <row r="82" spans="1:11" ht="12.75" customHeight="1" thickBot="1" x14ac:dyDescent="0.25">
      <c r="A82" s="1406" t="s">
        <v>239</v>
      </c>
      <c r="B82" s="1407"/>
      <c r="C82" s="1633">
        <f>SUM(C77:C81)</f>
        <v>21380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12204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12204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26220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1125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144182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13800</v>
      </c>
      <c r="D107" s="1573"/>
      <c r="E107" s="1573"/>
      <c r="F107" s="1573">
        <v>250</v>
      </c>
      <c r="G107" s="1573"/>
      <c r="H107" s="1573"/>
      <c r="I107" s="1573"/>
      <c r="J107" s="1574"/>
      <c r="K107" s="1573"/>
    </row>
    <row r="108" spans="1:12" ht="12.75" customHeight="1" thickBot="1" x14ac:dyDescent="0.25">
      <c r="A108" s="1406" t="s">
        <v>484</v>
      </c>
      <c r="B108" s="1408"/>
      <c r="C108" s="1633">
        <f>SUM(C95:C107)</f>
        <v>41145</v>
      </c>
      <c r="D108" s="1633">
        <f t="shared" ref="D108:K108" si="3">SUM(D95:D107)</f>
        <v>0</v>
      </c>
      <c r="E108" s="1633">
        <f t="shared" si="3"/>
        <v>0</v>
      </c>
      <c r="F108" s="1633">
        <f t="shared" si="3"/>
        <v>250</v>
      </c>
      <c r="G108" s="1633">
        <f t="shared" si="3"/>
        <v>0</v>
      </c>
      <c r="H108" s="1633">
        <f t="shared" si="3"/>
        <v>144182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1682027</v>
      </c>
      <c r="D109" s="1641">
        <f t="shared" si="4"/>
        <v>236280</v>
      </c>
      <c r="E109" s="1641">
        <f t="shared" si="4"/>
        <v>210187</v>
      </c>
      <c r="F109" s="1641">
        <f t="shared" si="4"/>
        <v>94764</v>
      </c>
      <c r="G109" s="1641">
        <f t="shared" si="4"/>
        <v>106921</v>
      </c>
      <c r="H109" s="1641">
        <f t="shared" si="4"/>
        <v>144182</v>
      </c>
      <c r="I109" s="1641">
        <f t="shared" si="4"/>
        <v>24000</v>
      </c>
      <c r="J109" s="1641">
        <f t="shared" si="4"/>
        <v>179122</v>
      </c>
      <c r="K109" s="1629">
        <f t="shared" si="4"/>
        <v>23725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786586</v>
      </c>
      <c r="D117" s="1586">
        <v>28000</v>
      </c>
      <c r="E117" s="1573"/>
      <c r="F117" s="1586">
        <v>13000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786586</v>
      </c>
      <c r="D122" s="1633">
        <f t="shared" si="5"/>
        <v>28000</v>
      </c>
      <c r="E122" s="1633">
        <f t="shared" si="5"/>
        <v>0</v>
      </c>
      <c r="F122" s="1633">
        <f t="shared" si="5"/>
        <v>13000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30213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106936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137149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15814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15814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634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2497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34776</v>
      </c>
      <c r="G152" s="1574"/>
      <c r="H152" s="1575"/>
      <c r="I152" s="1575"/>
      <c r="J152" s="1575"/>
      <c r="K152" s="1575"/>
    </row>
    <row r="153" spans="1:11" ht="12.75" customHeight="1" x14ac:dyDescent="0.2">
      <c r="A153" s="427" t="s">
        <v>1048</v>
      </c>
      <c r="B153" s="478">
        <v>3510</v>
      </c>
      <c r="C153" s="1632"/>
      <c r="D153" s="1573"/>
      <c r="E153" s="1640"/>
      <c r="F153" s="1573">
        <v>48048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82824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128202</v>
      </c>
      <c r="D159" s="1653"/>
      <c r="E159" s="1640"/>
      <c r="F159" s="1651">
        <v>10212</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10435</v>
      </c>
      <c r="D168" s="1655"/>
      <c r="E168" s="1655"/>
      <c r="F168" s="1655"/>
      <c r="G168" s="1656"/>
      <c r="H168" s="1657"/>
      <c r="I168" s="1656"/>
      <c r="J168" s="1656"/>
      <c r="K168" s="1657"/>
    </row>
    <row r="169" spans="1:11" ht="12.75" customHeight="1" thickTop="1" thickBot="1" x14ac:dyDescent="0.25">
      <c r="A169" s="2286" t="s">
        <v>395</v>
      </c>
      <c r="B169" s="2287"/>
      <c r="C169" s="1658">
        <f t="shared" ref="C169:K169" si="6">SUM(C132,C141,C145,C146:C150,C155,C156:C167,C168)</f>
        <v>294731</v>
      </c>
      <c r="D169" s="1658">
        <f t="shared" si="6"/>
        <v>50000</v>
      </c>
      <c r="E169" s="1658">
        <f t="shared" si="6"/>
        <v>0</v>
      </c>
      <c r="F169" s="1658">
        <f t="shared" si="6"/>
        <v>93036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1081317</v>
      </c>
      <c r="D170" s="1641">
        <f t="shared" si="7"/>
        <v>78000</v>
      </c>
      <c r="E170" s="1641">
        <f t="shared" si="7"/>
        <v>0</v>
      </c>
      <c r="F170" s="1641">
        <f t="shared" si="7"/>
        <v>106036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88" t="s">
        <v>1475</v>
      </c>
      <c r="B172" s="2289"/>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92" t="s">
        <v>1646</v>
      </c>
      <c r="B175" s="229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96" t="s">
        <v>1645</v>
      </c>
      <c r="B176" s="2297"/>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94" t="s">
        <v>780</v>
      </c>
      <c r="B181" s="229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0" t="s">
        <v>1780</v>
      </c>
      <c r="B182" s="229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39205</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39205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32497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12688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45185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41295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215136</v>
      </c>
      <c r="D203" s="1573"/>
      <c r="E203" s="1575"/>
      <c r="F203" s="1573"/>
      <c r="G203" s="1573"/>
      <c r="H203" s="1575"/>
      <c r="I203" s="1575"/>
      <c r="J203" s="1575"/>
      <c r="K203" s="1575"/>
    </row>
    <row r="204" spans="1:11" ht="12.75" customHeight="1" thickBot="1" x14ac:dyDescent="0.25">
      <c r="A204" s="1406" t="s">
        <v>397</v>
      </c>
      <c r="B204" s="1407"/>
      <c r="C204" s="1633">
        <f>SUM(C200:C203)</f>
        <v>256431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55608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55608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9879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406308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406308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3169652</v>
      </c>
      <c r="D268" s="1641">
        <f t="shared" si="12"/>
        <v>314280</v>
      </c>
      <c r="E268" s="1641">
        <f t="shared" si="12"/>
        <v>210187</v>
      </c>
      <c r="F268" s="1641">
        <f t="shared" si="12"/>
        <v>200800</v>
      </c>
      <c r="G268" s="1641">
        <f t="shared" si="12"/>
        <v>106921</v>
      </c>
      <c r="H268" s="1641">
        <f t="shared" si="12"/>
        <v>144182</v>
      </c>
      <c r="I268" s="1641">
        <f t="shared" si="12"/>
        <v>24000</v>
      </c>
      <c r="J268" s="1641">
        <f t="shared" si="12"/>
        <v>179122</v>
      </c>
      <c r="K268" s="1629">
        <f t="shared" si="12"/>
        <v>23725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orizontalCentered="1" headings="1" gridLines="1"/>
  <pageMargins left="0.25" right="0.25" top="1.35" bottom="0.5" header="1" footer="0.2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186" activePane="bottomLeft" state="frozen"/>
      <selection pane="bottomLeft" activeCell="E6" sqref="E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9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4" t="s">
        <v>294</v>
      </c>
      <c r="B3" s="230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253712+368747+540858+1218</f>
        <v>1164535</v>
      </c>
      <c r="D5" s="1573">
        <f>36366+64911+109327</f>
        <v>210604</v>
      </c>
      <c r="E5" s="1573">
        <f>2329+11704+3071+1</f>
        <v>17105</v>
      </c>
      <c r="F5" s="1573">
        <f>2388+23570+7178</f>
        <v>33136</v>
      </c>
      <c r="G5" s="1573">
        <v>11600</v>
      </c>
      <c r="H5" s="1573"/>
      <c r="I5" s="1574"/>
      <c r="J5" s="1574"/>
      <c r="K5" s="1672">
        <f>SUM(C5:J5)</f>
        <v>1436980</v>
      </c>
      <c r="L5" s="1573">
        <v>1469282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56118</v>
      </c>
      <c r="D7" s="1574">
        <v>8193</v>
      </c>
      <c r="E7" s="1574">
        <v>5087</v>
      </c>
      <c r="F7" s="1574">
        <v>7034</v>
      </c>
      <c r="G7" s="1574">
        <v>12456</v>
      </c>
      <c r="H7" s="1574"/>
      <c r="I7" s="1574"/>
      <c r="J7" s="1574"/>
      <c r="K7" s="1672">
        <f t="shared" ref="K7:K32" si="0">SUM(C7:J7)</f>
        <v>88888</v>
      </c>
      <c r="L7" s="1573">
        <v>86644</v>
      </c>
    </row>
    <row r="8" spans="1:14" x14ac:dyDescent="0.2">
      <c r="A8" s="1274" t="s">
        <v>163</v>
      </c>
      <c r="B8" s="503">
        <v>1200</v>
      </c>
      <c r="C8" s="1573">
        <v>57814</v>
      </c>
      <c r="D8" s="1573">
        <v>23445</v>
      </c>
      <c r="E8" s="1573">
        <v>674</v>
      </c>
      <c r="F8" s="1573"/>
      <c r="G8" s="1573"/>
      <c r="H8" s="1573"/>
      <c r="I8" s="1574"/>
      <c r="J8" s="1574"/>
      <c r="K8" s="1672">
        <f t="shared" si="0"/>
        <v>81933</v>
      </c>
      <c r="L8" s="1573">
        <v>253800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35255</v>
      </c>
      <c r="D10" s="1573">
        <v>4744</v>
      </c>
      <c r="E10" s="1573"/>
      <c r="F10" s="1573">
        <v>552</v>
      </c>
      <c r="G10" s="1573"/>
      <c r="H10" s="1573"/>
      <c r="I10" s="1574"/>
      <c r="J10" s="1574"/>
      <c r="K10" s="1672">
        <f t="shared" si="0"/>
        <v>40551</v>
      </c>
      <c r="L10" s="1573">
        <v>46800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f>55007+56116</f>
        <v>111123</v>
      </c>
      <c r="D13" s="1573">
        <f>8430+8439</f>
        <v>16869</v>
      </c>
      <c r="E13" s="1573">
        <v>274</v>
      </c>
      <c r="F13" s="1573">
        <v>6770</v>
      </c>
      <c r="G13" s="1573">
        <v>710</v>
      </c>
      <c r="H13" s="1573">
        <v>391</v>
      </c>
      <c r="I13" s="1574"/>
      <c r="J13" s="1574"/>
      <c r="K13" s="1672">
        <f t="shared" si="0"/>
        <v>136137</v>
      </c>
      <c r="L13" s="1573">
        <v>128500</v>
      </c>
    </row>
    <row r="14" spans="1:14" x14ac:dyDescent="0.2">
      <c r="A14" s="1274" t="s">
        <v>957</v>
      </c>
      <c r="B14" s="503">
        <v>1500</v>
      </c>
      <c r="C14" s="1573">
        <f>42287+6066</f>
        <v>48353</v>
      </c>
      <c r="D14" s="1573">
        <f>217+82</f>
        <v>299</v>
      </c>
      <c r="E14" s="1573">
        <f>12311+250</f>
        <v>12561</v>
      </c>
      <c r="F14" s="1573">
        <f>1679+447</f>
        <v>2126</v>
      </c>
      <c r="G14" s="1573"/>
      <c r="H14" s="1573">
        <f>1705+80</f>
        <v>1785</v>
      </c>
      <c r="I14" s="1574"/>
      <c r="J14" s="1574"/>
      <c r="K14" s="1672">
        <f t="shared" si="0"/>
        <v>65124</v>
      </c>
      <c r="L14" s="1573">
        <v>83600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12500</v>
      </c>
      <c r="D17" s="1574"/>
      <c r="E17" s="1574">
        <v>75</v>
      </c>
      <c r="F17" s="1574">
        <v>328</v>
      </c>
      <c r="G17" s="1574"/>
      <c r="H17" s="1574"/>
      <c r="I17" s="1574"/>
      <c r="J17" s="1574"/>
      <c r="K17" s="1672">
        <f t="shared" si="0"/>
        <v>12903</v>
      </c>
      <c r="L17" s="1573">
        <v>1400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173065</v>
      </c>
      <c r="I22" s="1673"/>
      <c r="J22" s="1582"/>
      <c r="K22" s="1672">
        <f t="shared" si="0"/>
        <v>173065</v>
      </c>
      <c r="L22" s="1577">
        <v>115000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1485698</v>
      </c>
      <c r="D33" s="1674">
        <f t="shared" ref="D33:L33" si="1">SUM(D5:D32)</f>
        <v>264154</v>
      </c>
      <c r="E33" s="1674">
        <f t="shared" si="1"/>
        <v>35776</v>
      </c>
      <c r="F33" s="1674">
        <f t="shared" si="1"/>
        <v>49946</v>
      </c>
      <c r="G33" s="1674">
        <f t="shared" si="1"/>
        <v>24766</v>
      </c>
      <c r="H33" s="1674">
        <f t="shared" si="1"/>
        <v>175241</v>
      </c>
      <c r="I33" s="1674">
        <f t="shared" si="1"/>
        <v>0</v>
      </c>
      <c r="J33" s="1674">
        <f t="shared" si="1"/>
        <v>0</v>
      </c>
      <c r="K33" s="1674">
        <f t="shared" si="1"/>
        <v>2035581</v>
      </c>
      <c r="L33" s="1674">
        <f t="shared" si="1"/>
        <v>2185026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47839</v>
      </c>
      <c r="D37" s="1573">
        <v>8306</v>
      </c>
      <c r="E37" s="1573"/>
      <c r="F37" s="1573">
        <v>16</v>
      </c>
      <c r="G37" s="1573"/>
      <c r="H37" s="1573"/>
      <c r="I37" s="1574"/>
      <c r="J37" s="1574"/>
      <c r="K37" s="1672">
        <f t="shared" si="2"/>
        <v>56161</v>
      </c>
      <c r="L37" s="1573">
        <v>57300</v>
      </c>
    </row>
    <row r="38" spans="1:14" x14ac:dyDescent="0.2">
      <c r="A38" s="1274" t="s">
        <v>196</v>
      </c>
      <c r="B38" s="503">
        <v>2130</v>
      </c>
      <c r="C38" s="1573"/>
      <c r="D38" s="1573"/>
      <c r="E38" s="1573">
        <v>2043</v>
      </c>
      <c r="F38" s="1573"/>
      <c r="G38" s="1573"/>
      <c r="H38" s="1573"/>
      <c r="I38" s="1574"/>
      <c r="J38" s="1574"/>
      <c r="K38" s="1672">
        <f t="shared" si="2"/>
        <v>2043</v>
      </c>
      <c r="L38" s="1573">
        <v>2000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47839</v>
      </c>
      <c r="D42" s="1674">
        <f t="shared" ref="D42:L42" si="3">SUM(D36:D41)</f>
        <v>8306</v>
      </c>
      <c r="E42" s="1674">
        <f t="shared" si="3"/>
        <v>2043</v>
      </c>
      <c r="F42" s="1674">
        <f t="shared" si="3"/>
        <v>16</v>
      </c>
      <c r="G42" s="1674">
        <f t="shared" si="3"/>
        <v>0</v>
      </c>
      <c r="H42" s="1674">
        <f t="shared" si="3"/>
        <v>0</v>
      </c>
      <c r="I42" s="1674">
        <f t="shared" si="3"/>
        <v>0</v>
      </c>
      <c r="J42" s="1674">
        <f t="shared" si="3"/>
        <v>0</v>
      </c>
      <c r="K42" s="1674">
        <f t="shared" si="3"/>
        <v>58204</v>
      </c>
      <c r="L42" s="1674">
        <f t="shared" si="3"/>
        <v>59300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80</v>
      </c>
      <c r="D44" s="1586"/>
      <c r="E44" s="1586">
        <v>3555</v>
      </c>
      <c r="F44" s="1586">
        <v>30259</v>
      </c>
      <c r="G44" s="1586"/>
      <c r="H44" s="1586"/>
      <c r="I44" s="1574"/>
      <c r="J44" s="1574"/>
      <c r="K44" s="1678">
        <f>SUM(C44:J44)</f>
        <v>33894</v>
      </c>
      <c r="L44" s="1586">
        <v>10820</v>
      </c>
    </row>
    <row r="45" spans="1:14" x14ac:dyDescent="0.2">
      <c r="A45" s="1274" t="s">
        <v>810</v>
      </c>
      <c r="B45" s="503">
        <v>2220</v>
      </c>
      <c r="C45" s="1573"/>
      <c r="D45" s="1573"/>
      <c r="E45" s="1573">
        <v>63219</v>
      </c>
      <c r="F45" s="1573">
        <f>693+300</f>
        <v>993</v>
      </c>
      <c r="G45" s="1573">
        <v>11797</v>
      </c>
      <c r="H45" s="1573"/>
      <c r="I45" s="1574"/>
      <c r="J45" s="1574"/>
      <c r="K45" s="1678">
        <f>SUM(C45:J45)</f>
        <v>76009</v>
      </c>
      <c r="L45" s="1573">
        <v>60500</v>
      </c>
    </row>
    <row r="46" spans="1:14" x14ac:dyDescent="0.2">
      <c r="A46" s="1274" t="s">
        <v>811</v>
      </c>
      <c r="B46" s="503">
        <v>2230</v>
      </c>
      <c r="C46" s="1573"/>
      <c r="D46" s="1573"/>
      <c r="E46" s="1573">
        <v>3563</v>
      </c>
      <c r="F46" s="1573"/>
      <c r="G46" s="1573"/>
      <c r="H46" s="1573"/>
      <c r="I46" s="1574"/>
      <c r="J46" s="1574"/>
      <c r="K46" s="1678">
        <f>SUM(C46:J46)</f>
        <v>3563</v>
      </c>
      <c r="L46" s="1573">
        <v>5500</v>
      </c>
    </row>
    <row r="47" spans="1:14" ht="12.75" customHeight="1" thickBot="1" x14ac:dyDescent="0.25">
      <c r="A47" s="1380" t="s">
        <v>557</v>
      </c>
      <c r="B47" s="1381" t="s">
        <v>32</v>
      </c>
      <c r="C47" s="1674">
        <f>SUM(C44:C46)</f>
        <v>80</v>
      </c>
      <c r="D47" s="1674">
        <f t="shared" ref="D47:K47" si="4">SUM(D44:D46)</f>
        <v>0</v>
      </c>
      <c r="E47" s="1674">
        <f t="shared" si="4"/>
        <v>70337</v>
      </c>
      <c r="F47" s="1674">
        <f t="shared" si="4"/>
        <v>31252</v>
      </c>
      <c r="G47" s="1674">
        <f t="shared" si="4"/>
        <v>11797</v>
      </c>
      <c r="H47" s="1674">
        <f t="shared" si="4"/>
        <v>0</v>
      </c>
      <c r="I47" s="1674">
        <f t="shared" si="4"/>
        <v>0</v>
      </c>
      <c r="J47" s="1674">
        <f t="shared" si="4"/>
        <v>0</v>
      </c>
      <c r="K47" s="1674">
        <f t="shared" si="4"/>
        <v>113466</v>
      </c>
      <c r="L47" s="1674">
        <f>SUM(L44:L46)</f>
        <v>76820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298</v>
      </c>
      <c r="D49" s="1586">
        <v>4</v>
      </c>
      <c r="E49" s="1586">
        <v>15793</v>
      </c>
      <c r="F49" s="1586"/>
      <c r="G49" s="1586"/>
      <c r="H49" s="1586">
        <v>1752</v>
      </c>
      <c r="I49" s="1574"/>
      <c r="J49" s="1574"/>
      <c r="K49" s="1678">
        <f>SUM(C49:J49)</f>
        <v>17847</v>
      </c>
      <c r="L49" s="1586">
        <v>22000</v>
      </c>
    </row>
    <row r="50" spans="1:14" x14ac:dyDescent="0.2">
      <c r="A50" s="1274" t="s">
        <v>813</v>
      </c>
      <c r="B50" s="503">
        <v>2320</v>
      </c>
      <c r="C50" s="1573">
        <v>80500</v>
      </c>
      <c r="D50" s="1573">
        <v>1759</v>
      </c>
      <c r="E50" s="1573">
        <v>1030</v>
      </c>
      <c r="F50" s="1573"/>
      <c r="G50" s="1573"/>
      <c r="H50" s="1573">
        <v>945</v>
      </c>
      <c r="I50" s="1574"/>
      <c r="J50" s="1574"/>
      <c r="K50" s="1678">
        <f>SUM(C50:J50)</f>
        <v>84234</v>
      </c>
      <c r="L50" s="1573">
        <v>86950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80798</v>
      </c>
      <c r="D53" s="1674">
        <f t="shared" ref="D53:L53" si="5">SUM(D49:D52)</f>
        <v>1763</v>
      </c>
      <c r="E53" s="1674">
        <f t="shared" si="5"/>
        <v>16823</v>
      </c>
      <c r="F53" s="1674">
        <f t="shared" si="5"/>
        <v>0</v>
      </c>
      <c r="G53" s="1674">
        <f t="shared" si="5"/>
        <v>0</v>
      </c>
      <c r="H53" s="1674">
        <f t="shared" si="5"/>
        <v>2697</v>
      </c>
      <c r="I53" s="1674">
        <f t="shared" si="5"/>
        <v>0</v>
      </c>
      <c r="J53" s="1674">
        <f t="shared" si="5"/>
        <v>0</v>
      </c>
      <c r="K53" s="1674">
        <f t="shared" si="5"/>
        <v>102081</v>
      </c>
      <c r="L53" s="1674">
        <f t="shared" si="5"/>
        <v>108950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112651</v>
      </c>
      <c r="D55" s="1586">
        <v>16440</v>
      </c>
      <c r="E55" s="1586">
        <v>2835</v>
      </c>
      <c r="F55" s="1586">
        <v>1479</v>
      </c>
      <c r="G55" s="1586"/>
      <c r="H55" s="1586"/>
      <c r="I55" s="1574"/>
      <c r="J55" s="1574"/>
      <c r="K55" s="1678">
        <f>SUM(C55:J55)</f>
        <v>133405</v>
      </c>
      <c r="L55" s="1586">
        <v>149700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112651</v>
      </c>
      <c r="D57" s="1679">
        <f t="shared" ref="D57:K57" si="6">SUM(D55:D56)</f>
        <v>16440</v>
      </c>
      <c r="E57" s="1679">
        <f t="shared" si="6"/>
        <v>2835</v>
      </c>
      <c r="F57" s="1679">
        <f t="shared" si="6"/>
        <v>1479</v>
      </c>
      <c r="G57" s="1679">
        <f t="shared" si="6"/>
        <v>0</v>
      </c>
      <c r="H57" s="1679">
        <f t="shared" si="6"/>
        <v>0</v>
      </c>
      <c r="I57" s="1679">
        <f t="shared" si="6"/>
        <v>0</v>
      </c>
      <c r="J57" s="1679">
        <f t="shared" si="6"/>
        <v>0</v>
      </c>
      <c r="K57" s="1679">
        <f t="shared" si="6"/>
        <v>133405</v>
      </c>
      <c r="L57" s="1674">
        <f>SUM(L55:L56)</f>
        <v>149700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31218</v>
      </c>
      <c r="D60" s="1573">
        <v>195</v>
      </c>
      <c r="E60" s="1573">
        <v>3925</v>
      </c>
      <c r="F60" s="1573">
        <v>1549</v>
      </c>
      <c r="G60" s="1573"/>
      <c r="H60" s="1573"/>
      <c r="I60" s="1574"/>
      <c r="J60" s="1574"/>
      <c r="K60" s="1678">
        <f t="shared" si="7"/>
        <v>36887</v>
      </c>
      <c r="L60" s="1573">
        <v>38500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12230</v>
      </c>
      <c r="D63" s="1573">
        <v>7512</v>
      </c>
      <c r="E63" s="1573">
        <v>95909</v>
      </c>
      <c r="F63" s="1573">
        <v>3431</v>
      </c>
      <c r="G63" s="1573">
        <v>3601</v>
      </c>
      <c r="H63" s="1573"/>
      <c r="I63" s="1574"/>
      <c r="J63" s="1574"/>
      <c r="K63" s="1678">
        <f t="shared" si="7"/>
        <v>122683</v>
      </c>
      <c r="L63" s="1573">
        <v>179800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43448</v>
      </c>
      <c r="D65" s="1674">
        <f t="shared" ref="D65:L65" si="8">SUM(D59:D64)</f>
        <v>7707</v>
      </c>
      <c r="E65" s="1674">
        <f t="shared" si="8"/>
        <v>99834</v>
      </c>
      <c r="F65" s="1674">
        <f t="shared" si="8"/>
        <v>4980</v>
      </c>
      <c r="G65" s="1674">
        <f t="shared" si="8"/>
        <v>3601</v>
      </c>
      <c r="H65" s="1674">
        <f t="shared" si="8"/>
        <v>0</v>
      </c>
      <c r="I65" s="1674">
        <f t="shared" si="8"/>
        <v>0</v>
      </c>
      <c r="J65" s="1674">
        <f t="shared" si="8"/>
        <v>0</v>
      </c>
      <c r="K65" s="1674">
        <f t="shared" si="8"/>
        <v>159570</v>
      </c>
      <c r="L65" s="1674">
        <f t="shared" si="8"/>
        <v>218300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284816</v>
      </c>
      <c r="D74" s="1681">
        <f t="shared" ref="D74:K74" si="10">SUM(D42,D47,D53,D57,D65,D72,D73)</f>
        <v>34216</v>
      </c>
      <c r="E74" s="1681">
        <f t="shared" si="10"/>
        <v>191872</v>
      </c>
      <c r="F74" s="1681">
        <f t="shared" si="10"/>
        <v>37727</v>
      </c>
      <c r="G74" s="1681">
        <f t="shared" si="10"/>
        <v>15398</v>
      </c>
      <c r="H74" s="1681">
        <f t="shared" si="10"/>
        <v>2697</v>
      </c>
      <c r="I74" s="1681">
        <f t="shared" si="10"/>
        <v>0</v>
      </c>
      <c r="J74" s="1681">
        <f t="shared" si="10"/>
        <v>0</v>
      </c>
      <c r="K74" s="1681">
        <f t="shared" si="10"/>
        <v>566726</v>
      </c>
      <c r="L74" s="1681">
        <f>SUM(L42,L47,L53,L57,L65,L72,L73)</f>
        <v>613070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157592</v>
      </c>
      <c r="I79" s="1582"/>
      <c r="J79" s="1582"/>
      <c r="K79" s="1672">
        <f t="shared" si="11"/>
        <v>157592</v>
      </c>
      <c r="L79" s="1573">
        <v>170000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73350</v>
      </c>
      <c r="I83" s="1582"/>
      <c r="J83" s="1582"/>
      <c r="K83" s="1672">
        <f t="shared" si="11"/>
        <v>73350</v>
      </c>
      <c r="L83" s="1573"/>
    </row>
    <row r="84" spans="1:12" ht="13.5" thickBot="1" x14ac:dyDescent="0.25">
      <c r="A84" s="1380" t="s">
        <v>1468</v>
      </c>
      <c r="B84" s="1385">
        <v>4100</v>
      </c>
      <c r="C84" s="1673"/>
      <c r="D84" s="1673"/>
      <c r="E84" s="1674">
        <f>SUM(E78:E83)</f>
        <v>0</v>
      </c>
      <c r="F84" s="1673"/>
      <c r="G84" s="1673"/>
      <c r="H84" s="1674">
        <f>SUM(H78:H83)</f>
        <v>230942</v>
      </c>
      <c r="I84" s="1582"/>
      <c r="J84" s="1582"/>
      <c r="K84" s="1674">
        <f>SUM(K78:K83)</f>
        <v>230942</v>
      </c>
      <c r="L84" s="1674">
        <f>SUM(L78:L83)</f>
        <v>170000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230942</v>
      </c>
      <c r="I102" s="1582"/>
      <c r="J102" s="1582"/>
      <c r="K102" s="1681">
        <f>SUM(K84,K92,K100,K101)</f>
        <v>230942</v>
      </c>
      <c r="L102" s="1681">
        <f>SUM(L84,L92,L100,L101)</f>
        <v>170000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1770514</v>
      </c>
      <c r="D114" s="1674">
        <f t="shared" ref="D114:K114" si="13">SUM(D33,D74,D75,D102,D112,D113)</f>
        <v>298370</v>
      </c>
      <c r="E114" s="1674">
        <f t="shared" si="13"/>
        <v>227648</v>
      </c>
      <c r="F114" s="1674">
        <f t="shared" si="13"/>
        <v>87673</v>
      </c>
      <c r="G114" s="1674">
        <f t="shared" si="13"/>
        <v>40164</v>
      </c>
      <c r="H114" s="1674">
        <f>SUM(H33,H74,H75,H102,H112,H113)</f>
        <v>408880</v>
      </c>
      <c r="I114" s="1674">
        <f t="shared" si="13"/>
        <v>0</v>
      </c>
      <c r="J114" s="1674">
        <f t="shared" si="13"/>
        <v>0</v>
      </c>
      <c r="K114" s="1674">
        <f t="shared" si="13"/>
        <v>2833249</v>
      </c>
      <c r="L114" s="1674">
        <f>SUM(L33,L74,L75,L102,L112,L113)</f>
        <v>2968096</v>
      </c>
    </row>
    <row r="115" spans="1:14" ht="13.5" thickTop="1" x14ac:dyDescent="0.2">
      <c r="A115" s="2323" t="s">
        <v>989</v>
      </c>
      <c r="B115" s="2324"/>
      <c r="C115" s="1675"/>
      <c r="D115" s="1675"/>
      <c r="E115" s="1675"/>
      <c r="F115" s="1675"/>
      <c r="G115" s="1675"/>
      <c r="H115" s="1675"/>
      <c r="I115" s="1675"/>
      <c r="J115" s="1675"/>
      <c r="K115" s="1689">
        <f>'Revenues 9-14'!C268-'Expenditures 15-22'!K114</f>
        <v>336403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01" t="s">
        <v>293</v>
      </c>
      <c r="B117" s="230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114587</v>
      </c>
      <c r="D124" s="1573">
        <v>30044</v>
      </c>
      <c r="E124" s="1573">
        <v>34771</v>
      </c>
      <c r="F124" s="1573">
        <v>87692</v>
      </c>
      <c r="G124" s="1573">
        <v>5334</v>
      </c>
      <c r="H124" s="1573"/>
      <c r="I124" s="1574"/>
      <c r="J124" s="1574"/>
      <c r="K124" s="1674">
        <f>SUM(C124:J124)</f>
        <v>272428</v>
      </c>
      <c r="L124" s="1573">
        <v>280500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114587</v>
      </c>
      <c r="D127" s="1674">
        <f t="shared" ref="D127:L127" si="14">SUM(D122:D126)</f>
        <v>30044</v>
      </c>
      <c r="E127" s="1674">
        <f t="shared" si="14"/>
        <v>34771</v>
      </c>
      <c r="F127" s="1674">
        <f t="shared" si="14"/>
        <v>87692</v>
      </c>
      <c r="G127" s="1674">
        <f t="shared" si="14"/>
        <v>5334</v>
      </c>
      <c r="H127" s="1674">
        <f t="shared" si="14"/>
        <v>0</v>
      </c>
      <c r="I127" s="1674">
        <f t="shared" si="14"/>
        <v>0</v>
      </c>
      <c r="J127" s="1674">
        <f t="shared" si="14"/>
        <v>0</v>
      </c>
      <c r="K127" s="1674">
        <f t="shared" si="14"/>
        <v>272428</v>
      </c>
      <c r="L127" s="1674">
        <f t="shared" si="14"/>
        <v>280500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114587</v>
      </c>
      <c r="D129" s="1681">
        <f t="shared" ref="D129:L129" si="15">SUM(D120,D127,D128)</f>
        <v>30044</v>
      </c>
      <c r="E129" s="1681">
        <f t="shared" si="15"/>
        <v>34771</v>
      </c>
      <c r="F129" s="1681">
        <f t="shared" si="15"/>
        <v>87692</v>
      </c>
      <c r="G129" s="1681">
        <f t="shared" si="15"/>
        <v>5334</v>
      </c>
      <c r="H129" s="1681">
        <f t="shared" si="15"/>
        <v>0</v>
      </c>
      <c r="I129" s="1681">
        <f t="shared" si="15"/>
        <v>0</v>
      </c>
      <c r="J129" s="1681">
        <f t="shared" si="15"/>
        <v>0</v>
      </c>
      <c r="K129" s="1681">
        <f t="shared" si="15"/>
        <v>272428</v>
      </c>
      <c r="L129" s="1681">
        <f t="shared" si="15"/>
        <v>280500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313" t="s">
        <v>616</v>
      </c>
      <c r="B151" s="2295"/>
      <c r="C151" s="1674">
        <f>SUM(C129,C130,C139,C149,C150)</f>
        <v>114587</v>
      </c>
      <c r="D151" s="1674">
        <f t="shared" ref="D151:K151" si="16">SUM(D129,D130,D139,D149,D150)</f>
        <v>30044</v>
      </c>
      <c r="E151" s="1674">
        <f t="shared" si="16"/>
        <v>34771</v>
      </c>
      <c r="F151" s="1674">
        <f t="shared" si="16"/>
        <v>87692</v>
      </c>
      <c r="G151" s="1674">
        <f t="shared" si="16"/>
        <v>5334</v>
      </c>
      <c r="H151" s="1674">
        <f t="shared" si="16"/>
        <v>0</v>
      </c>
      <c r="I151" s="1674">
        <f t="shared" si="16"/>
        <v>0</v>
      </c>
      <c r="J151" s="1674">
        <f t="shared" si="16"/>
        <v>0</v>
      </c>
      <c r="K151" s="1674">
        <f t="shared" si="16"/>
        <v>272428</v>
      </c>
      <c r="L151" s="1674">
        <f>SUM(L129,L130,L139,L149,L150)</f>
        <v>280500</v>
      </c>
    </row>
    <row r="152" spans="1:14" ht="12.75" customHeight="1" thickTop="1" x14ac:dyDescent="0.2">
      <c r="A152" s="2316" t="s">
        <v>1168</v>
      </c>
      <c r="B152" s="2317"/>
      <c r="C152" s="1675"/>
      <c r="D152" s="1675"/>
      <c r="E152" s="1675"/>
      <c r="F152" s="1675"/>
      <c r="G152" s="1675"/>
      <c r="H152" s="1675"/>
      <c r="I152" s="1675"/>
      <c r="J152" s="1673"/>
      <c r="K152" s="1689">
        <f>'Revenues 9-14'!D268-'Expenditures 15-22'!K151</f>
        <v>41852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01" t="s">
        <v>617</v>
      </c>
      <c r="B154" s="230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61601</v>
      </c>
      <c r="I169" s="1673"/>
      <c r="J169" s="1673"/>
      <c r="K169" s="1672">
        <f>SUM(C169:H169)</f>
        <v>61601</v>
      </c>
      <c r="L169" s="1695">
        <v>39158</v>
      </c>
    </row>
    <row r="170" spans="1:14" ht="33.75" customHeight="1" x14ac:dyDescent="0.2">
      <c r="A170" s="543" t="s">
        <v>1651</v>
      </c>
      <c r="B170" s="545" t="s">
        <v>31</v>
      </c>
      <c r="C170" s="1673"/>
      <c r="D170" s="1673"/>
      <c r="E170" s="1673"/>
      <c r="F170" s="1673"/>
      <c r="G170" s="1673"/>
      <c r="H170" s="1646">
        <v>190000</v>
      </c>
      <c r="I170" s="1673"/>
      <c r="J170" s="1673"/>
      <c r="K170" s="1672">
        <f>SUM(C170:J170)</f>
        <v>190000</v>
      </c>
      <c r="L170" s="1646">
        <v>170000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251601</v>
      </c>
      <c r="I172" s="1684"/>
      <c r="J172" s="1673"/>
      <c r="K172" s="1681">
        <f>SUM(K168,K169,K170,K171)</f>
        <v>251601</v>
      </c>
      <c r="L172" s="1681">
        <f>SUM(L168,L169,L170,L171)</f>
        <v>209158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251601</v>
      </c>
      <c r="I174" s="1684"/>
      <c r="J174" s="1673"/>
      <c r="K174" s="1681">
        <f>SUM(K160,K172,K173)</f>
        <v>251601</v>
      </c>
      <c r="L174" s="1681">
        <f>SUM(L160,L172,L173)</f>
        <v>209158</v>
      </c>
    </row>
    <row r="175" spans="1:14" ht="13.5" thickTop="1" x14ac:dyDescent="0.2">
      <c r="A175" s="2323" t="s">
        <v>989</v>
      </c>
      <c r="B175" s="2324"/>
      <c r="C175" s="1673"/>
      <c r="D175" s="1673"/>
      <c r="E175" s="1673"/>
      <c r="F175" s="1673"/>
      <c r="G175" s="1673"/>
      <c r="H175" s="1675"/>
      <c r="I175" s="1673"/>
      <c r="J175" s="1673"/>
      <c r="K175" s="1689">
        <f>'Revenues 9-14'!E268-'Expenditures 15-22'!K174</f>
        <v>-41414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94420</v>
      </c>
      <c r="D182" s="1573">
        <v>7874</v>
      </c>
      <c r="E182" s="1573">
        <v>5159</v>
      </c>
      <c r="F182" s="1573">
        <v>23512</v>
      </c>
      <c r="G182" s="1573">
        <v>45000</v>
      </c>
      <c r="H182" s="1573"/>
      <c r="I182" s="1574"/>
      <c r="J182" s="1574"/>
      <c r="K182" s="1672">
        <f>SUM(C182:J182)</f>
        <v>175965</v>
      </c>
      <c r="L182" s="1573">
        <v>148100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94420</v>
      </c>
      <c r="D184" s="1681">
        <f t="shared" ref="D184:J184" si="17">SUM(D180,D182,D183)</f>
        <v>7874</v>
      </c>
      <c r="E184" s="1681">
        <f t="shared" si="17"/>
        <v>5159</v>
      </c>
      <c r="F184" s="1681">
        <f t="shared" si="17"/>
        <v>23512</v>
      </c>
      <c r="G184" s="1681">
        <f t="shared" si="17"/>
        <v>45000</v>
      </c>
      <c r="H184" s="1681">
        <f t="shared" si="17"/>
        <v>0</v>
      </c>
      <c r="I184" s="1681">
        <f t="shared" si="17"/>
        <v>0</v>
      </c>
      <c r="J184" s="1681">
        <f t="shared" si="17"/>
        <v>0</v>
      </c>
      <c r="K184" s="1681">
        <f>SUM(K180,K182,K183)</f>
        <v>175965</v>
      </c>
      <c r="L184" s="1681">
        <f>SUM(L180, L182:L183)</f>
        <v>148100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1336</v>
      </c>
      <c r="I205" s="1673"/>
      <c r="J205" s="1673"/>
      <c r="K205" s="1696">
        <f>SUM(H205)</f>
        <v>1336</v>
      </c>
      <c r="L205" s="1630"/>
    </row>
    <row r="206" spans="1:14" ht="30" customHeight="1" x14ac:dyDescent="0.2">
      <c r="A206" s="555" t="s">
        <v>1652</v>
      </c>
      <c r="B206" s="546" t="s">
        <v>31</v>
      </c>
      <c r="C206" s="1673"/>
      <c r="D206" s="1673"/>
      <c r="E206" s="1673"/>
      <c r="F206" s="1673"/>
      <c r="G206" s="1673"/>
      <c r="H206" s="1573">
        <v>26958</v>
      </c>
      <c r="I206" s="1673"/>
      <c r="J206" s="1673"/>
      <c r="K206" s="1672">
        <f>SUM(H206)</f>
        <v>26958</v>
      </c>
      <c r="L206" s="1573">
        <v>50000</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28294</v>
      </c>
      <c r="I208" s="1673"/>
      <c r="J208" s="1673"/>
      <c r="K208" s="1681">
        <f>SUM(K204,K205,K206,K207)</f>
        <v>28294</v>
      </c>
      <c r="L208" s="1681">
        <f>SUM(L204,L205,L206,L207)</f>
        <v>50000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94420</v>
      </c>
      <c r="D210" s="1674">
        <f>SUM(D184,D185)</f>
        <v>7874</v>
      </c>
      <c r="E210" s="1674">
        <f>SUM(E184,E185,E196)</f>
        <v>5159</v>
      </c>
      <c r="F210" s="1674">
        <f>SUM(F184,F185)</f>
        <v>23512</v>
      </c>
      <c r="G210" s="1674">
        <f>SUM(G184,G185)</f>
        <v>45000</v>
      </c>
      <c r="H210" s="1674">
        <f>SUM(H184,H185,H196,H208,H209)</f>
        <v>28294</v>
      </c>
      <c r="I210" s="1674">
        <f>SUM(I184,I185)</f>
        <v>0</v>
      </c>
      <c r="J210" s="1674">
        <f>SUM(J184,J185)</f>
        <v>0</v>
      </c>
      <c r="K210" s="1672">
        <f>SUM(K184,K185,K196,K208,K209)</f>
        <v>204259</v>
      </c>
      <c r="L210" s="1674">
        <f>SUM(L184,L185,L196,L208,L209)</f>
        <v>198100</v>
      </c>
    </row>
    <row r="211" spans="1:14" ht="13.5" thickTop="1" x14ac:dyDescent="0.2">
      <c r="A211" s="2323" t="s">
        <v>989</v>
      </c>
      <c r="B211" s="2324"/>
      <c r="C211" s="1675"/>
      <c r="D211" s="1675"/>
      <c r="E211" s="1675"/>
      <c r="F211" s="1675"/>
      <c r="G211" s="1675"/>
      <c r="H211" s="1675"/>
      <c r="I211" s="1673"/>
      <c r="J211" s="1673"/>
      <c r="K211" s="1689">
        <f>'Revenues 9-14'!F268-'Expenditures 15-22'!K210</f>
        <v>-3459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18" t="s">
        <v>959</v>
      </c>
      <c r="B213" s="231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22503-1</f>
        <v>22502</v>
      </c>
      <c r="E215" s="1673"/>
      <c r="F215" s="1673"/>
      <c r="G215" s="1673"/>
      <c r="H215" s="1673"/>
      <c r="I215" s="1673"/>
      <c r="J215" s="1673"/>
      <c r="K215" s="1672">
        <f>D215</f>
        <v>22502</v>
      </c>
      <c r="L215" s="1573">
        <v>22000</v>
      </c>
    </row>
    <row r="216" spans="1:14" x14ac:dyDescent="0.2">
      <c r="A216" s="1274" t="s">
        <v>162</v>
      </c>
      <c r="B216" s="503" t="s">
        <v>961</v>
      </c>
      <c r="C216" s="1673"/>
      <c r="D216" s="1574">
        <v>3250</v>
      </c>
      <c r="E216" s="1673"/>
      <c r="F216" s="1673"/>
      <c r="G216" s="1673"/>
      <c r="H216" s="1673"/>
      <c r="I216" s="1673"/>
      <c r="J216" s="1673"/>
      <c r="K216" s="1672">
        <f t="shared" ref="K216:K228" si="19">D216</f>
        <v>3250</v>
      </c>
      <c r="L216" s="1573">
        <v>6000</v>
      </c>
    </row>
    <row r="217" spans="1:14" x14ac:dyDescent="0.2">
      <c r="A217" s="1274" t="s">
        <v>163</v>
      </c>
      <c r="B217" s="503">
        <v>1200</v>
      </c>
      <c r="C217" s="1673"/>
      <c r="D217" s="1573">
        <v>10366</v>
      </c>
      <c r="E217" s="1673"/>
      <c r="F217" s="1673"/>
      <c r="G217" s="1673"/>
      <c r="H217" s="1673"/>
      <c r="I217" s="1673"/>
      <c r="J217" s="1673"/>
      <c r="K217" s="1672">
        <f t="shared" si="19"/>
        <v>10366</v>
      </c>
      <c r="L217" s="1573">
        <v>300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2218</v>
      </c>
      <c r="E219" s="1673"/>
      <c r="F219" s="1673"/>
      <c r="G219" s="1673"/>
      <c r="H219" s="1673"/>
      <c r="I219" s="1673"/>
      <c r="J219" s="1673"/>
      <c r="K219" s="1672">
        <f t="shared" si="19"/>
        <v>2218</v>
      </c>
      <c r="L219" s="1573">
        <v>2200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1611</v>
      </c>
      <c r="E222" s="1673"/>
      <c r="F222" s="1673"/>
      <c r="G222" s="1673"/>
      <c r="H222" s="1673"/>
      <c r="I222" s="1673"/>
      <c r="J222" s="1673"/>
      <c r="K222" s="1672">
        <f t="shared" si="19"/>
        <v>1611</v>
      </c>
      <c r="L222" s="1573">
        <v>2300</v>
      </c>
    </row>
    <row r="223" spans="1:14" x14ac:dyDescent="0.2">
      <c r="A223" s="1274" t="s">
        <v>957</v>
      </c>
      <c r="B223" s="503">
        <v>1500</v>
      </c>
      <c r="C223" s="1673"/>
      <c r="D223" s="1573">
        <v>2376</v>
      </c>
      <c r="E223" s="1673"/>
      <c r="F223" s="1673"/>
      <c r="G223" s="1673"/>
      <c r="H223" s="1673"/>
      <c r="I223" s="1673"/>
      <c r="J223" s="1673"/>
      <c r="K223" s="1672">
        <f t="shared" si="19"/>
        <v>2376</v>
      </c>
      <c r="L223" s="1573">
        <v>3000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42323</v>
      </c>
      <c r="E229" s="1673"/>
      <c r="F229" s="1673"/>
      <c r="G229" s="1673"/>
      <c r="H229" s="1673"/>
      <c r="I229" s="1673"/>
      <c r="J229" s="1673"/>
      <c r="K229" s="1674">
        <f>SUM(K215:K228)</f>
        <v>42323</v>
      </c>
      <c r="L229" s="1674">
        <f>SUM(L215:L228)</f>
        <v>35800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694</v>
      </c>
      <c r="E233" s="1673"/>
      <c r="F233" s="1673"/>
      <c r="G233" s="1673"/>
      <c r="H233" s="1673"/>
      <c r="I233" s="1673"/>
      <c r="J233" s="1673"/>
      <c r="K233" s="1672">
        <f t="shared" si="20"/>
        <v>694</v>
      </c>
      <c r="L233" s="1573">
        <v>670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694</v>
      </c>
      <c r="E238" s="1673"/>
      <c r="F238" s="1673"/>
      <c r="G238" s="1673"/>
      <c r="H238" s="1673"/>
      <c r="I238" s="1673"/>
      <c r="J238" s="1673"/>
      <c r="K238" s="1674">
        <f>SUM(K232:K237)</f>
        <v>694</v>
      </c>
      <c r="L238" s="1674">
        <f>SUM(L232:L237)</f>
        <v>670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v>
      </c>
      <c r="E240" s="1673"/>
      <c r="F240" s="1673"/>
      <c r="G240" s="1673"/>
      <c r="H240" s="1673"/>
      <c r="I240" s="1673"/>
      <c r="J240" s="1673"/>
      <c r="K240" s="1678">
        <f>D240</f>
        <v>1</v>
      </c>
      <c r="L240" s="1586">
        <v>60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v>
      </c>
      <c r="E243" s="1673"/>
      <c r="F243" s="1673"/>
      <c r="G243" s="1673"/>
      <c r="H243" s="1673"/>
      <c r="I243" s="1673"/>
      <c r="J243" s="1673"/>
      <c r="K243" s="1674">
        <f>SUM(K240:K242)</f>
        <v>1</v>
      </c>
      <c r="L243" s="1674">
        <f>SUM(L240:L242)</f>
        <v>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54</v>
      </c>
      <c r="E245" s="1673"/>
      <c r="F245" s="1673"/>
      <c r="G245" s="1673"/>
      <c r="H245" s="1673"/>
      <c r="I245" s="1673"/>
      <c r="J245" s="1673"/>
      <c r="K245" s="1678">
        <f>D245</f>
        <v>54</v>
      </c>
      <c r="L245" s="1586">
        <v>200</v>
      </c>
    </row>
    <row r="246" spans="1:12" x14ac:dyDescent="0.2">
      <c r="A246" s="1274" t="s">
        <v>813</v>
      </c>
      <c r="B246" s="503">
        <v>2320</v>
      </c>
      <c r="C246" s="1673"/>
      <c r="D246" s="1573">
        <v>1668</v>
      </c>
      <c r="E246" s="1673"/>
      <c r="F246" s="1673"/>
      <c r="G246" s="1673"/>
      <c r="H246" s="1673"/>
      <c r="I246" s="1673"/>
      <c r="J246" s="1673"/>
      <c r="K246" s="1678">
        <f t="shared" ref="K246:K256" si="21">D246</f>
        <v>1668</v>
      </c>
      <c r="L246" s="1573">
        <v>1800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1722</v>
      </c>
      <c r="E257" s="1673"/>
      <c r="F257" s="1673"/>
      <c r="G257" s="1673"/>
      <c r="H257" s="1673"/>
      <c r="I257" s="1673"/>
      <c r="J257" s="1673"/>
      <c r="K257" s="1674">
        <f>SUM(K245:K256)</f>
        <v>1722</v>
      </c>
      <c r="L257" s="1674">
        <f>SUM(L245:L256)</f>
        <v>2000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8738</v>
      </c>
      <c r="E259" s="1673"/>
      <c r="F259" s="1673"/>
      <c r="G259" s="1673"/>
      <c r="H259" s="1673"/>
      <c r="I259" s="1673"/>
      <c r="J259" s="1673"/>
      <c r="K259" s="1678">
        <f>D259</f>
        <v>8738</v>
      </c>
      <c r="L259" s="1586">
        <v>9500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8738</v>
      </c>
      <c r="E261" s="1673"/>
      <c r="F261" s="1673"/>
      <c r="G261" s="1673"/>
      <c r="H261" s="1673"/>
      <c r="I261" s="1673"/>
      <c r="J261" s="1673"/>
      <c r="K261" s="1674">
        <f>SUM(K259:K260)</f>
        <v>8738</v>
      </c>
      <c r="L261" s="1674">
        <f>SUM(L259:L260)</f>
        <v>9500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5702</v>
      </c>
      <c r="E264" s="1673"/>
      <c r="F264" s="1673"/>
      <c r="G264" s="1673"/>
      <c r="H264" s="1673"/>
      <c r="I264" s="1673"/>
      <c r="J264" s="1673"/>
      <c r="K264" s="1678">
        <f t="shared" ref="K264:K269" si="22">D264</f>
        <v>5702</v>
      </c>
      <c r="L264" s="1573">
        <v>6500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23680</v>
      </c>
      <c r="E266" s="1673"/>
      <c r="F266" s="1673"/>
      <c r="G266" s="1673"/>
      <c r="H266" s="1673"/>
      <c r="I266" s="1673"/>
      <c r="J266" s="1673"/>
      <c r="K266" s="1678">
        <f t="shared" si="22"/>
        <v>23680</v>
      </c>
      <c r="L266" s="1573">
        <v>22400</v>
      </c>
    </row>
    <row r="267" spans="1:14" x14ac:dyDescent="0.2">
      <c r="A267" s="1274" t="s">
        <v>947</v>
      </c>
      <c r="B267" s="503">
        <v>2550</v>
      </c>
      <c r="C267" s="1673"/>
      <c r="D267" s="1573">
        <v>19041</v>
      </c>
      <c r="E267" s="1673"/>
      <c r="F267" s="1673"/>
      <c r="G267" s="1673"/>
      <c r="H267" s="1673"/>
      <c r="I267" s="1673"/>
      <c r="J267" s="1673"/>
      <c r="K267" s="1678">
        <f t="shared" si="22"/>
        <v>19041</v>
      </c>
      <c r="L267" s="1573">
        <v>18900</v>
      </c>
    </row>
    <row r="268" spans="1:14" x14ac:dyDescent="0.2">
      <c r="A268" s="1274" t="s">
        <v>100</v>
      </c>
      <c r="B268" s="503">
        <v>2560</v>
      </c>
      <c r="C268" s="1673"/>
      <c r="D268" s="1573">
        <v>2235</v>
      </c>
      <c r="E268" s="1673"/>
      <c r="F268" s="1673"/>
      <c r="G268" s="1673"/>
      <c r="H268" s="1673"/>
      <c r="I268" s="1673"/>
      <c r="J268" s="1673"/>
      <c r="K268" s="1678">
        <f t="shared" si="22"/>
        <v>2235</v>
      </c>
      <c r="L268" s="1573">
        <v>4800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50658</v>
      </c>
      <c r="E270" s="1673"/>
      <c r="F270" s="1673"/>
      <c r="G270" s="1673"/>
      <c r="H270" s="1673"/>
      <c r="I270" s="1673"/>
      <c r="J270" s="1673"/>
      <c r="K270" s="1674">
        <f>SUM(K263:K269)</f>
        <v>50658</v>
      </c>
      <c r="L270" s="1674">
        <f>SUM(L263:L269)</f>
        <v>52600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61813</v>
      </c>
      <c r="E279" s="1673"/>
      <c r="F279" s="1673"/>
      <c r="G279" s="1673"/>
      <c r="H279" s="1673"/>
      <c r="I279" s="1673"/>
      <c r="J279" s="1673"/>
      <c r="K279" s="1681">
        <f>SUM(K238,K243,K257,K261,K270,K277,K278)</f>
        <v>61813</v>
      </c>
      <c r="L279" s="1681">
        <f>SUM(L238,L243,L257,L261,L270,L277,L278)</f>
        <v>64830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314" t="s">
        <v>502</v>
      </c>
      <c r="B295" s="2315"/>
      <c r="C295" s="1673"/>
      <c r="D295" s="1674">
        <f>SUM(D229,D279,D280,D285)</f>
        <v>104136</v>
      </c>
      <c r="E295" s="1673"/>
      <c r="F295" s="1673"/>
      <c r="G295" s="1673"/>
      <c r="H295" s="1674">
        <f>H293</f>
        <v>0</v>
      </c>
      <c r="I295" s="1673"/>
      <c r="J295" s="1673"/>
      <c r="K295" s="1674">
        <f>SUM(K229,K279,K280,K285,K293,K294)</f>
        <v>104136</v>
      </c>
      <c r="L295" s="1674">
        <f>SUM(L229,L279,L280,L285,L293,L294)</f>
        <v>100630</v>
      </c>
    </row>
    <row r="296" spans="1:14" ht="13.5" thickTop="1" x14ac:dyDescent="0.2">
      <c r="A296" s="2323" t="s">
        <v>989</v>
      </c>
      <c r="B296" s="2324"/>
      <c r="C296" s="1673"/>
      <c r="D296" s="1675"/>
      <c r="E296" s="1673"/>
      <c r="F296" s="1673"/>
      <c r="G296" s="1673"/>
      <c r="H296" s="1707"/>
      <c r="I296" s="1673"/>
      <c r="J296" s="1673"/>
      <c r="K296" s="1689">
        <f>'Revenues 9-14'!G268-'Expenditures 15-22'!K295</f>
        <v>2785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06" t="s">
        <v>142</v>
      </c>
      <c r="B298" s="230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3160</v>
      </c>
      <c r="F301" s="1573">
        <v>4061</v>
      </c>
      <c r="G301" s="1573">
        <v>43451</v>
      </c>
      <c r="H301" s="1573"/>
      <c r="I301" s="1574"/>
      <c r="J301" s="1574"/>
      <c r="K301" s="1672">
        <f>SUM(C301:J301)</f>
        <v>50672</v>
      </c>
      <c r="L301" s="1574">
        <v>22000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3160</v>
      </c>
      <c r="F303" s="1681">
        <f t="shared" si="23"/>
        <v>4061</v>
      </c>
      <c r="G303" s="1681">
        <f t="shared" si="23"/>
        <v>43451</v>
      </c>
      <c r="H303" s="1681">
        <f t="shared" si="23"/>
        <v>0</v>
      </c>
      <c r="I303" s="1681">
        <f t="shared" si="23"/>
        <v>0</v>
      </c>
      <c r="J303" s="1681">
        <f t="shared" si="23"/>
        <v>0</v>
      </c>
      <c r="K303" s="1681">
        <f t="shared" si="23"/>
        <v>50672</v>
      </c>
      <c r="L303" s="1681">
        <f t="shared" si="23"/>
        <v>22000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311" t="s">
        <v>275</v>
      </c>
      <c r="B312" s="2312"/>
      <c r="C312" s="1674">
        <f>SUM(C303)</f>
        <v>0</v>
      </c>
      <c r="D312" s="1674">
        <f>SUM(D303)</f>
        <v>0</v>
      </c>
      <c r="E312" s="1674">
        <f>SUM(E303,E310)</f>
        <v>3160</v>
      </c>
      <c r="F312" s="1674">
        <f>SUM(F303)</f>
        <v>4061</v>
      </c>
      <c r="G312" s="1674">
        <f>SUM(G303)</f>
        <v>43451</v>
      </c>
      <c r="H312" s="1674">
        <f>SUM(H303,H310)</f>
        <v>0</v>
      </c>
      <c r="I312" s="1674">
        <f>SUM(I303)</f>
        <v>0</v>
      </c>
      <c r="J312" s="1674">
        <f>SUM(J303)</f>
        <v>0</v>
      </c>
      <c r="K312" s="1674">
        <f>SUM(K303,K310,K311)</f>
        <v>50672</v>
      </c>
      <c r="L312" s="1674">
        <f>SUM(L303,L310,L311)</f>
        <v>22000</v>
      </c>
      <c r="M312" s="539"/>
      <c r="N312" s="539"/>
    </row>
    <row r="313" spans="1:14" ht="13.5" thickTop="1" x14ac:dyDescent="0.2">
      <c r="A313" s="2307" t="s">
        <v>989</v>
      </c>
      <c r="B313" s="2308"/>
      <c r="C313" s="1677"/>
      <c r="D313" s="1677"/>
      <c r="E313" s="1677"/>
      <c r="F313" s="1677"/>
      <c r="G313" s="1677"/>
      <c r="H313" s="1677"/>
      <c r="I313" s="1677"/>
      <c r="J313" s="1677"/>
      <c r="K313" s="1696">
        <f>'Revenues 9-14'!H268-'Expenditures 15-22'!K312</f>
        <v>93510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0" t="s">
        <v>148</v>
      </c>
      <c r="B315" s="232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22" t="s">
        <v>892</v>
      </c>
      <c r="B317" s="232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13370</v>
      </c>
      <c r="F320" s="1574"/>
      <c r="G320" s="1574"/>
      <c r="H320" s="1574"/>
      <c r="I320" s="1574"/>
      <c r="J320" s="1574"/>
      <c r="K320" s="1672">
        <f t="shared" ref="K320:K327" si="24">SUM(C320:J320)</f>
        <v>13370</v>
      </c>
      <c r="L320" s="1574">
        <v>22000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6000</v>
      </c>
      <c r="M321" s="539"/>
      <c r="N321" s="539"/>
    </row>
    <row r="322" spans="1:14" s="548" customFormat="1" x14ac:dyDescent="0.2">
      <c r="A322" s="1289" t="s">
        <v>236</v>
      </c>
      <c r="B322" s="567" t="s">
        <v>282</v>
      </c>
      <c r="C322" s="1574"/>
      <c r="D322" s="1574"/>
      <c r="E322" s="1574">
        <v>44019</v>
      </c>
      <c r="F322" s="1574"/>
      <c r="G322" s="1574"/>
      <c r="H322" s="1574"/>
      <c r="I322" s="1574"/>
      <c r="J322" s="1574"/>
      <c r="K322" s="1672">
        <f t="shared" si="24"/>
        <v>44019</v>
      </c>
      <c r="L322" s="1574">
        <v>44000</v>
      </c>
      <c r="M322" s="539"/>
      <c r="N322" s="539"/>
    </row>
    <row r="323" spans="1:14" s="548" customFormat="1" x14ac:dyDescent="0.2">
      <c r="A323" s="1289" t="s">
        <v>697</v>
      </c>
      <c r="B323" s="567" t="s">
        <v>283</v>
      </c>
      <c r="C323" s="1574">
        <v>95696</v>
      </c>
      <c r="D323" s="1574"/>
      <c r="E323" s="1574"/>
      <c r="F323" s="1574"/>
      <c r="G323" s="1574"/>
      <c r="H323" s="1574"/>
      <c r="I323" s="1574"/>
      <c r="J323" s="1574"/>
      <c r="K323" s="1672">
        <f t="shared" si="24"/>
        <v>95696</v>
      </c>
      <c r="L323" s="1574">
        <v>96900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f>4649+510</f>
        <v>5159</v>
      </c>
      <c r="F325" s="1574"/>
      <c r="G325" s="1574"/>
      <c r="H325" s="1574"/>
      <c r="I325" s="1574"/>
      <c r="J325" s="1574"/>
      <c r="K325" s="1672">
        <f t="shared" si="24"/>
        <v>5159</v>
      </c>
      <c r="L325" s="1574">
        <v>10400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95696</v>
      </c>
      <c r="D330" s="1674">
        <f t="shared" ref="D330:J330" si="25">SUM(D319:D329)</f>
        <v>0</v>
      </c>
      <c r="E330" s="1674">
        <f t="shared" si="25"/>
        <v>62548</v>
      </c>
      <c r="F330" s="1674">
        <f t="shared" si="25"/>
        <v>0</v>
      </c>
      <c r="G330" s="1674">
        <f t="shared" si="25"/>
        <v>0</v>
      </c>
      <c r="H330" s="1674">
        <f t="shared" si="25"/>
        <v>0</v>
      </c>
      <c r="I330" s="1674">
        <f t="shared" si="25"/>
        <v>0</v>
      </c>
      <c r="J330" s="1674">
        <f t="shared" si="25"/>
        <v>0</v>
      </c>
      <c r="K330" s="1674">
        <f>SUM(K319:K329)</f>
        <v>158244</v>
      </c>
      <c r="L330" s="1674">
        <f>SUM(L319:L329)</f>
        <v>179300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95696</v>
      </c>
      <c r="D342" s="1674">
        <f>SUM(D330)</f>
        <v>0</v>
      </c>
      <c r="E342" s="1674">
        <f>SUM(E330)</f>
        <v>62548</v>
      </c>
      <c r="F342" s="1674">
        <f>SUM(F330)</f>
        <v>0</v>
      </c>
      <c r="G342" s="1674">
        <f>SUM(G330)</f>
        <v>0</v>
      </c>
      <c r="H342" s="1674">
        <f>SUM(H330,H334,H340)</f>
        <v>0</v>
      </c>
      <c r="I342" s="1674">
        <f>SUM(I330)</f>
        <v>0</v>
      </c>
      <c r="J342" s="1674">
        <f>SUM(J330)</f>
        <v>0</v>
      </c>
      <c r="K342" s="1674">
        <f>SUM(K330,K334,K340)</f>
        <v>158244</v>
      </c>
      <c r="L342" s="1681">
        <f>SUM(L330,L334,L340,L341)</f>
        <v>179300</v>
      </c>
    </row>
    <row r="343" spans="1:14" ht="12.75" customHeight="1" thickTop="1" x14ac:dyDescent="0.2">
      <c r="A343" s="2309" t="s">
        <v>989</v>
      </c>
      <c r="B343" s="2310"/>
      <c r="C343" s="1673"/>
      <c r="D343" s="1673"/>
      <c r="E343" s="1673"/>
      <c r="F343" s="1673"/>
      <c r="G343" s="1673"/>
      <c r="H343" s="1673"/>
      <c r="I343" s="1673"/>
      <c r="J343" s="1673"/>
      <c r="K343" s="1689">
        <f>'Revenues 9-14'!J268-'Expenditures 15-22'!K342</f>
        <v>20878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99" t="s">
        <v>960</v>
      </c>
      <c r="B345" s="230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952</v>
      </c>
      <c r="F349" s="1573"/>
      <c r="G349" s="1573">
        <v>2135</v>
      </c>
      <c r="H349" s="1573"/>
      <c r="I349" s="1574"/>
      <c r="J349" s="1574"/>
      <c r="K349" s="1672">
        <f>SUM(C349:J349)</f>
        <v>3087</v>
      </c>
      <c r="L349" s="1573">
        <v>17000</v>
      </c>
    </row>
    <row r="350" spans="1:14" ht="12.75" customHeight="1" thickBot="1" x14ac:dyDescent="0.25">
      <c r="A350" s="1380" t="s">
        <v>714</v>
      </c>
      <c r="B350" s="1381" t="s">
        <v>35</v>
      </c>
      <c r="C350" s="1674">
        <f>SUM(C348:C349)</f>
        <v>0</v>
      </c>
      <c r="D350" s="1674">
        <f t="shared" ref="D350:L350" si="26">SUM(D348:D349)</f>
        <v>0</v>
      </c>
      <c r="E350" s="1674">
        <f t="shared" si="26"/>
        <v>952</v>
      </c>
      <c r="F350" s="1674">
        <f t="shared" si="26"/>
        <v>0</v>
      </c>
      <c r="G350" s="1674">
        <f t="shared" si="26"/>
        <v>2135</v>
      </c>
      <c r="H350" s="1674">
        <f t="shared" si="26"/>
        <v>0</v>
      </c>
      <c r="I350" s="1674">
        <f t="shared" si="26"/>
        <v>0</v>
      </c>
      <c r="J350" s="1674">
        <f t="shared" si="26"/>
        <v>0</v>
      </c>
      <c r="K350" s="1674">
        <f t="shared" si="26"/>
        <v>3087</v>
      </c>
      <c r="L350" s="1674">
        <f t="shared" si="26"/>
        <v>17000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952</v>
      </c>
      <c r="F352" s="1674">
        <f t="shared" si="27"/>
        <v>0</v>
      </c>
      <c r="G352" s="1674">
        <f t="shared" si="27"/>
        <v>2135</v>
      </c>
      <c r="H352" s="1674">
        <f t="shared" si="27"/>
        <v>0</v>
      </c>
      <c r="I352" s="1674">
        <f t="shared" si="27"/>
        <v>0</v>
      </c>
      <c r="J352" s="1674">
        <f t="shared" si="27"/>
        <v>0</v>
      </c>
      <c r="K352" s="1674">
        <f t="shared" si="27"/>
        <v>3087</v>
      </c>
      <c r="L352" s="1674">
        <f t="shared" si="27"/>
        <v>17000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952</v>
      </c>
      <c r="F367" s="1674">
        <f t="shared" si="28"/>
        <v>0</v>
      </c>
      <c r="G367" s="1674">
        <f t="shared" si="28"/>
        <v>2135</v>
      </c>
      <c r="H367" s="1674">
        <f t="shared" si="28"/>
        <v>0</v>
      </c>
      <c r="I367" s="1674">
        <f t="shared" si="28"/>
        <v>0</v>
      </c>
      <c r="J367" s="1674">
        <f t="shared" si="28"/>
        <v>0</v>
      </c>
      <c r="K367" s="1674">
        <f t="shared" si="28"/>
        <v>3087</v>
      </c>
      <c r="L367" s="1674">
        <f t="shared" si="28"/>
        <v>17000</v>
      </c>
    </row>
    <row r="368" spans="1:14" ht="13.5" thickTop="1" x14ac:dyDescent="0.2">
      <c r="A368" s="2323" t="s">
        <v>989</v>
      </c>
      <c r="B368" s="2324"/>
      <c r="C368" s="1694"/>
      <c r="D368" s="1694"/>
      <c r="E368" s="1677"/>
      <c r="F368" s="1677"/>
      <c r="G368" s="1677"/>
      <c r="H368" s="1677"/>
      <c r="I368" s="1677"/>
      <c r="J368" s="1676"/>
      <c r="K368" s="1672">
        <f>'Revenues 9-14'!K268-'Expenditures 15-22'!K367</f>
        <v>20638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orizontalCentered="1" headings="1" gridLinesSet="0"/>
  <pageMargins left="0.5" right="0.5" top="1.35" bottom="0.75" header="1" footer="0.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d21dc803-237d-4c68-8692-8d731fd29118"/>
    <ds:schemaRef ds:uri="http://purl.org/dc/terms/"/>
    <ds:schemaRef ds:uri="http://schemas.microsoft.com/office/infopath/2007/PartnerControls"/>
    <ds:schemaRef ds:uri="http://purl.org/dc/elements/1.1/"/>
    <ds:schemaRef ds:uri="http://schemas.microsoft.com/sharepoint/v3"/>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2020-09-22T15:04:28Z</cp:lastPrinted>
  <dcterms:created xsi:type="dcterms:W3CDTF">2003-10-29T19:06:34Z</dcterms:created>
  <dcterms:modified xsi:type="dcterms:W3CDTF">2020-10-19T13:50:12Z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