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DCE8BD-EB80-4054-8511-126D3C4D7256}" xr6:coauthVersionLast="36" xr6:coauthVersionMax="36" xr10:uidLastSave="{00000000-0000-0000-0000-000000000000}"/>
  <bookViews>
    <workbookView xWindow="-15" yWindow="0" windowWidth="2881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E20" i="183"/>
  <c r="J7" i="184" l="1"/>
  <c r="L53" i="184" s="1"/>
  <c r="J6" i="184"/>
  <c r="L52" i="184" s="1"/>
  <c r="M68" i="184"/>
  <c r="L68" i="184"/>
  <c r="K68" i="184"/>
  <c r="G16" i="184" s="1"/>
  <c r="J68" i="184"/>
  <c r="G15" i="184" s="1"/>
  <c r="I68" i="184"/>
  <c r="H68" i="184"/>
  <c r="G68" i="184"/>
  <c r="G12" i="184" s="1"/>
  <c r="K19" i="184"/>
  <c r="J19" i="184"/>
  <c r="I19" i="184"/>
  <c r="L18" i="184"/>
  <c r="H18" i="184"/>
  <c r="L17" i="184"/>
  <c r="G17" i="184"/>
  <c r="L16" i="184"/>
  <c r="L15" i="184"/>
  <c r="L14" i="184"/>
  <c r="G14" i="184"/>
  <c r="L13" i="184"/>
  <c r="G13" i="184"/>
  <c r="L12" i="184"/>
  <c r="L19" i="184" l="1"/>
  <c r="G19" i="184"/>
  <c r="C9" i="4" l="1"/>
  <c r="C39" i="3" l="1"/>
  <c r="I10" i="11" l="1"/>
  <c r="I8" i="11"/>
  <c r="I12" i="11"/>
  <c r="I13" i="11"/>
  <c r="C107" i="5"/>
  <c r="C17" i="29" l="1"/>
  <c r="C5" i="29"/>
  <c r="J33" i="8"/>
  <c r="G39"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19" i="183"/>
  <c r="F18" i="183"/>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L22" i="37"/>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E19" i="184"/>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G26" i="108"/>
  <c r="B7074" i="106"/>
  <c r="D7074" i="106" s="1"/>
  <c r="D24" i="37"/>
  <c r="B4270" i="106" s="1"/>
  <c r="D4270" i="106" s="1"/>
  <c r="F42" i="34"/>
  <c r="B7047" i="106"/>
  <c r="D7047" i="106" s="1"/>
  <c r="F37" i="34"/>
  <c r="B7829" i="106" s="1"/>
  <c r="D7829" i="106" s="1"/>
  <c r="F36" i="34"/>
  <c r="B7828" i="106" s="1"/>
  <c r="D7828" i="106" s="1"/>
  <c r="B2836" i="106"/>
  <c r="D2836" i="106" s="1"/>
  <c r="H28" i="118"/>
  <c r="H33" i="118"/>
  <c r="J129" i="29"/>
  <c r="B7038" i="106" s="1"/>
  <c r="D7038" i="106" s="1"/>
  <c r="I129" i="29"/>
  <c r="B7037" i="106" s="1"/>
  <c r="D7037" i="106" s="1"/>
  <c r="F36" i="108"/>
  <c r="B2805" i="106"/>
  <c r="D2805" i="106" s="1"/>
  <c r="D14" i="4"/>
  <c r="B2570" i="106" s="1"/>
  <c r="D2570" i="106" s="1"/>
  <c r="D36" i="108"/>
  <c r="F31" i="108"/>
  <c r="F70" i="34"/>
  <c r="F71" i="34"/>
  <c r="F50" i="34"/>
  <c r="B2724" i="106"/>
  <c r="D2724" i="106" s="1"/>
  <c r="D69" i="36"/>
  <c r="D68" i="36"/>
  <c r="B6289" i="106"/>
  <c r="D6289" i="106" s="1"/>
  <c r="G39" i="108"/>
  <c r="F68" i="34"/>
  <c r="G35" i="108"/>
  <c r="F72" i="34"/>
  <c r="G14" i="4"/>
  <c r="B2609" i="106" s="1"/>
  <c r="D2609" i="106" s="1"/>
  <c r="H342" i="29"/>
  <c r="B7221" i="106" s="1"/>
  <c r="D7221" i="106" s="1"/>
  <c r="F77" i="4"/>
  <c r="B3255" i="106" s="1"/>
  <c r="D3255" i="106" s="1"/>
  <c r="C342" i="29"/>
  <c r="B7216" i="106" s="1"/>
  <c r="D7216" i="106" s="1"/>
  <c r="J210" i="29"/>
  <c r="B7072" i="106" s="1"/>
  <c r="D7072" i="106" s="1"/>
  <c r="C129" i="29"/>
  <c r="C151" i="29" s="1"/>
  <c r="B1226" i="106" s="1"/>
  <c r="D1226" i="106" s="1"/>
  <c r="I210" i="29"/>
  <c r="B7071" i="106" s="1"/>
  <c r="D7071" i="106" s="1"/>
  <c r="H76" i="4"/>
  <c r="B3298" i="106" s="1"/>
  <c r="D3298" i="106" s="1"/>
  <c r="B6995" i="106"/>
  <c r="D6995" i="106" s="1"/>
  <c r="E34" i="108"/>
  <c r="F34" i="34"/>
  <c r="B7826" i="106" s="1"/>
  <c r="D7826" i="106" s="1"/>
  <c r="C352" i="29"/>
  <c r="B3621" i="106" s="1"/>
  <c r="D3621" i="106" s="1"/>
  <c r="H365" i="29"/>
  <c r="B7242" i="106" s="1"/>
  <c r="D7242"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J151" i="29" l="1"/>
  <c r="B7052" i="106" s="1"/>
  <c r="D7052" i="106" s="1"/>
  <c r="N57" i="184"/>
  <c r="N68" i="184" s="1"/>
  <c r="E68" i="184"/>
  <c r="H19" i="184"/>
  <c r="L20" i="184" s="1"/>
  <c r="K365" i="29"/>
  <c r="K28" i="118"/>
  <c r="O27" i="118" s="1"/>
  <c r="O29" i="118" s="1"/>
  <c r="I151" i="29"/>
  <c r="F59" i="34" s="1"/>
  <c r="B4435" i="106"/>
  <c r="D4435" i="106" s="1"/>
  <c r="B7215" i="106"/>
  <c r="D7215" i="106" s="1"/>
  <c r="L16" i="11"/>
  <c r="B2061" i="106" s="1"/>
  <c r="D2061" i="106" s="1"/>
  <c r="B1266" i="106"/>
  <c r="D1266" i="106" s="1"/>
  <c r="H77" i="4"/>
  <c r="B3299" i="106" s="1"/>
  <c r="D3299" i="106" s="1"/>
  <c r="B7235" i="106"/>
  <c r="D7235" i="106" s="1"/>
  <c r="C367" i="29"/>
  <c r="B3622" i="106" s="1"/>
  <c r="D3622" i="106" s="1"/>
  <c r="B5770" i="106"/>
  <c r="D5770" i="106" s="1"/>
  <c r="F41" i="108"/>
  <c r="G43" i="108" s="1"/>
  <c r="B7220" i="106"/>
  <c r="D7220" i="106" s="1"/>
  <c r="F75" i="34"/>
  <c r="B7886" i="106" s="1"/>
  <c r="D7886" i="106" s="1"/>
  <c r="E367" i="29"/>
  <c r="B3636" i="106" s="1"/>
  <c r="D3636" i="106" s="1"/>
  <c r="B3635" i="106"/>
  <c r="D3635" i="106" s="1"/>
  <c r="B7222" i="106"/>
  <c r="D7222" i="106" s="1"/>
  <c r="F76" i="34"/>
  <c r="B7887" i="106" s="1"/>
  <c r="D7887" i="106" s="1"/>
  <c r="B1328" i="106"/>
  <c r="D1328" i="106" s="1"/>
  <c r="F66" i="34"/>
  <c r="B1381" i="106"/>
  <c r="D1381" i="106" s="1"/>
  <c r="K77" i="4"/>
  <c r="B3587" i="106" s="1"/>
  <c r="D3587" i="106" s="1"/>
  <c r="B5527" i="106"/>
  <c r="D5527" i="106" s="1"/>
  <c r="B1225" i="106"/>
  <c r="D1225" i="106" s="1"/>
  <c r="K342" i="29"/>
  <c r="F13" i="34" s="1"/>
  <c r="L114" i="29"/>
  <c r="D44" i="36"/>
  <c r="B6216" i="106"/>
  <c r="D6216"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F10" i="4" s="1"/>
  <c r="B4125" i="106" s="1"/>
  <c r="D4125" i="106" s="1"/>
  <c r="F77" i="34"/>
  <c r="B7834" i="106" s="1"/>
  <c r="D7834" i="106" s="1"/>
  <c r="K17" i="4"/>
  <c r="B3575" i="106" s="1"/>
  <c r="D3575" i="106" s="1"/>
  <c r="B6227" i="106"/>
  <c r="D6227"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F8" i="146" l="1"/>
  <c r="D10" i="146"/>
  <c r="B3576" i="106"/>
  <c r="D3576"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<sst xmlns="http://schemas.openxmlformats.org/spreadsheetml/2006/main" count="5162" uniqueCount="2094">
  <si>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</si>
  <si>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</si>
  <si>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</si>
  <si>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</si>
  <si>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</si>
  <si>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</si>
  <si>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</si>
  <si>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</si>
  <si>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</si>
  <si>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</si>
  <si>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</si>
  <si>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</si>
  <si>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</si>
  <si>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</si>
  <si>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</si>
  <si>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</si>
  <si>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</si>
  <si>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</si>
  <si>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</si>
  <si>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</si>
  <si>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</si>
  <si>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</si>
  <si>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</si>
  <si>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</si>
  <si>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</si>
  <si>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</si>
  <si>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</si>
  <si>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</si>
  <si>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</si>
  <si>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</si>
  <si>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</si>
  <si>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</si>
  <si>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</si>
  <si>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</si>
  <si>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</si>
  <si>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</si>
  <si>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</si>
  <si>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</si>
  <si>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</si>
  <si>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</si>
  <si>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</si>
  <si>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</si>
  <si>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</si>
  <si>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</si>
  <si>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</si>
  <si>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</si>
  <si>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</si>
  <si>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</si>
  <si>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</si>
  <si>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</si>
  <si>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</si>
  <si>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</si>
  <si>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</si>
  <si>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</si>
  <si>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</si>
  <si>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</si>
  <si>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</si>
  <si>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</si>
  <si>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</si>
  <si>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</si>
  <si>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</si>
  <si>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</si>
  <si>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</si>
  <si>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</si>
  <si>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</si>
  <si>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</si>
  <si>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</si>
  <si>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</si>
  <si>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</si>
  <si>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</si>
  <si>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</si>
  <si>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</si>
  <si>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</si>
  <si>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</si>
  <si>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</si>
  <si>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</si>
  <si>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</si>
  <si>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</si>
  <si>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</si>
  <si>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</si>
  <si>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</si>
  <si>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</si>
  <si>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</si>
  <si>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</si>
  <si>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</si>
  <si>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</si>
  <si>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</si>
  <si>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</si>
  <si>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</si>
  <si>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</si>
  <si>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</si>
  <si>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</si>
  <si>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</si>
  <si>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</si>
  <si>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</si>
  <si>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</si>
  <si>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</si>
  <si>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</si>
  <si>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</si>
  <si>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</si>
  <si>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</si>
  <si>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</si>
  <si>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</si>
  <si>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</si>
  <si>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</si>
  <si>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</si>
  <si>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</si>
  <si>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</si>
  <si>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</si>
  <si>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</si>
  <si>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</si>
  <si>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</si>
  <si>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</si>
  <si>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</si>
  <si>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</si>
  <si>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</si>
  <si>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</si>
  <si>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</si>
  <si>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</si>
  <si>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</si>
  <si>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</si>
  <si>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</si>
  <si>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</si>
  <si>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</si>
  <si>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</si>
  <si>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</si>
  <si>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</si>
  <si>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</si>
  <si>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</si>
  <si>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</si>
  <si>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</si>
  <si>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</si>
  <si>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</si>
  <si>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</si>
  <si>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</si>
  <si>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</si>
  <si>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</si>
  <si>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</si>
  <si>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</si>
  <si>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</si>
  <si>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</si>
  <si>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</si>
  <si>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</si>
  <si>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</si>
  <si>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</si>
  <si>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</si>
  <si>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</si>
  <si>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</si>
  <si>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</si>
  <si>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</si>
  <si>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</si>
  <si>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</si>
  <si>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</si>
  <si>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</si>
  <si>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</si>
  <si>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</si>
  <si>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</si>
  <si>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</si>
  <si>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</si>
  <si>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</si>
  <si>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</si>
  <si>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</si>
  <si>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</si>
  <si>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</si>
  <si>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</si>
  <si>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</si>
  <si>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</si>
  <si>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</si>
  <si>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</si>
  <si>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</si>
  <si>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</si>
  <si>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</si>
  <si>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</si>
  <si>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</si>
  <si>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</si>
  <si>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</si>
  <si>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</si>
  <si>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</si>
  <si>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</si>
  <si>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</si>
  <si>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</si>
  <si>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</si>
  <si>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</si>
  <si>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</si>
  <si>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</si>
  <si>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</si>
  <si>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</si>
  <si>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</si>
  <si>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</si>
  <si>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</si>
  <si>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</si>
  <si>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</si>
  <si>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</si>
  <si>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</si>
  <si>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</si>
  <si>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</si>
  <si>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</si>
  <si>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</si>
  <si>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</si>
  <si>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</si>
  <si>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</si>
  <si>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</si>
  <si>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</si>
  <si>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</si>
  <si>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</si>
  <si>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</si>
  <si>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</si>
  <si>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</si>
  <si>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</si>
  <si>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</si>
  <si>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</si>
  <si>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</si>
  <si>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</si>
  <si>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</si>
  <si>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</si>
  <si>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</si>
  <si>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</si>
  <si>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</si>
  <si>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</si>
  <si>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</si>
  <si>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</si>
  <si>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</si>
  <si>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</si>
  <si>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</si>
  <si>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</si>
  <si>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</si>
  <si>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</si>
  <si>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</si>
  <si>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</si>
  <si>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</si>
  <si>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</si>
  <si>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</si>
  <si>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</si>
  <si>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</si>
  <si>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</si>
  <si>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</si>
  <si>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</si>
  <si>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</si>
  <si>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</si>
  <si>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</si>
  <si>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</si>
  <si>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</si>
  <si>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</si>
  <si>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</si>
  <si>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</si>
  <si>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</si>
  <si>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</si>
  <si>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</si>
  <si>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</si>
  <si>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</si>
  <si>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</si>
  <si>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</si>
  <si>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</si>
  <si>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</si>
  <si>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</si>
  <si>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</si>
  <si>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</si>
  <si>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</si>
  <si>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</si>
  <si>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</si>
  <si>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</si>
  <si>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</si>
  <si>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</si>
  <si>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</si>
  <si>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</si>
  <si>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</si>
  <si>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</si>
  <si>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</si>
  <si>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</si>
  <si>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</si>
  <si>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</si>
  <si>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</si>
  <si>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</si>
  <si>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</si>
  <si>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</si>
  <si>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</si>
  <si>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</si>
  <si>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</si>
  <si>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</si>
  <si>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</si>
  <si>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</si>
  <si>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</si>
  <si>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</si>
  <si>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</si>
  <si>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</si>
  <si>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</si>
  <si>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</si>
  <si>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</si>
  <si>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</si>
  <si>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</si>
  <si>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</si>
  <si>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</si>
  <si>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</si>
  <si>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</si>
  <si>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</si>
  <si>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</si>
  <si>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</si>
  <si>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</si>
  <si>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</si>
  <si>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</si>
  <si>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</si>
  <si>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</si>
  <si>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</si>
  <si>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</si>
  <si>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</si>
  <si>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</si>
  <si>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</si>
  <si>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</si>
  <si>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</si>
  <si>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</si>
  <si>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</si>
  <si>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</si>
  <si>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</si>
  <si>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</si>
  <si>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</si>
  <si>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</si>
  <si>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</si>
  <si>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</si>
  <si>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</si>
  <si>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</si>
  <si>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</si>
  <si>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</si>
  <si>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</si>
  <si>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</si>
  <si>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</si>
  <si>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</si>
  <si>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</si>
  <si>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</si>
  <si>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</si>
  <si>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</si>
  <si>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</si>
  <si>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</si>
  <si>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</si>
  <si>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</si>
  <si>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</si>
  <si>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</si>
  <si>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</si>
  <si>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</si>
  <si>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</si>
  <si>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</si>
  <si>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</si>
  <si>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</si>
  <si>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</si>
  <si>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</si>
  <si>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</si>
  <si>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</si>
  <si>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</si>
  <si>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</si>
  <si>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</si>
  <si>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</si>
  <si>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</si>
  <si>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</si>
  <si>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</si>
  <si>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</si>
  <si>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</si>
  <si>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</si>
  <si>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</si>
  <si>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</si>
  <si>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</si>
  <si>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</si>
  <si>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</si>
  <si>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</si>
  <si>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</si>
  <si>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</si>
  <si>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</si>
  <si>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</si>
  <si>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</si>
  <si>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</si>
  <si>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</si>
  <si>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</si>
  <si>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</si>
  <si>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</si>
  <si>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</si>
  <si>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</si>
  <si>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</si>
  <si>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</si>
  <si>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</si>
  <si>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</si>
  <si>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</si>
  <si>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</si>
  <si>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</si>
  <si>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</si>
  <si>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</si>
  <si>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</si>
  <si>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</si>
  <si>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</si>
  <si>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</si>
  <si>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</si>
  <si>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</si>
  <si>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</si>
  <si>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</si>
  <si>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</si>
  <si>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</si>
  <si>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</si>
  <si>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</si>
  <si>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</si>
  <si>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</si>
  <si>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</si>
  <si>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</si>
  <si>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</si>
  <si>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</si>
  <si>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</si>
  <si>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</si>
  <si>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</si>
  <si>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</si>
  <si>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</si>
  <si>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</si>
  <si>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</si>
  <si>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</si>
  <si>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</si>
  <si>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</si>
  <si>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</si>
  <si>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</si>
  <si>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</si>
  <si>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</si>
  <si>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</si>
  <si>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</si>
  <si>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</si>
  <si>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</si>
  <si>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</si>
  <si>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</si>
  <si>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</si>
  <si>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</si>
  <si>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</si>
  <si>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</si>
  <si>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</si>
  <si>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</si>
  <si>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</si>
  <si>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</si>
  <si>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</si>
  <si>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</si>
  <si>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</si>
  <si>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</si>
  <si>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</si>
  <si>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</si>
  <si>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</si>
  <si>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</si>
  <si>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</si>
  <si>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</si>
  <si>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</si>
  <si>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</si>
  <si>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</si>
  <si>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</si>
  <si>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</si>
  <si>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</si>
  <si>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</si>
  <si>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</si>
  <si>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</si>
  <si>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</si>
  <si>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</si>
  <si>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</si>
  <si>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</si>
  <si>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</si>
  <si>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</si>
  <si>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</si>
  <si>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</si>
  <si>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</si>
  <si>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</si>
  <si>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</si>
  <si>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</si>
  <si>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</si>
  <si>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</si>
  <si>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</si>
  <si>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</si>
  <si>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</si>
  <si>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</si>
  <si>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</si>
  <si>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</si>
  <si>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</si>
  <si>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</si>
  <si>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</si>
  <si>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</si>
  <si>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</si>
  <si>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</si>
  <si>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</si>
  <si>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</si>
  <si>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</si>
  <si>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</si>
  <si>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</si>
  <si>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</si>
  <si>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</si>
  <si>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</si>
  <si>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</si>
  <si>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</si>
  <si>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</si>
  <si>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</si>
  <si>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</si>
  <si>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</si>
  <si>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</si>
  <si>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</si>
  <si>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</si>
  <si>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</si>
  <si>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</si>
  <si>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</si>
  <si>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</si>
  <si>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</si>
  <si>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</si>
  <si>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</si>
  <si>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</si>
  <si>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</si>
  <si>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</si>
  <si>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</si>
  <si>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</si>
  <si>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</si>
  <si>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</si>
  <si>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</si>
  <si>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</si>
  <si>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</si>
  <si>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</si>
  <si>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</si>
  <si>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</si>
  <si>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</si>
  <si>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</si>
  <si>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</si>
  <si>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</si>
  <si>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</si>
  <si>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</si>
  <si>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</si>
  <si>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</si>
  <si>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</si>
  <si>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</si>
  <si>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</si>
  <si>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</si>
  <si>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</si>
  <si>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</si>
  <si>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</si>
  <si>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</si>
  <si>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</si>
  <si>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</si>
  <si>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</si>
  <si>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</si>
  <si>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</si>
  <si>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</si>
  <si>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</si>
  <si>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</si>
  <si>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</si>
  <si>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</si>
  <si>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</si>
  <si>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</si>
  <si>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</si>
  <si>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</si>
  <si>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</si>
  <si>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</si>
  <si>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</si>
  <si>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</si>
  <si>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</si>
  <si>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</si>
  <si>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</si>
  <si>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</si>
  <si>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</si>
  <si>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</si>
  <si>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</si>
  <si>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</si>
  <si>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</si>
  <si>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</si>
  <si>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</si>
  <si>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</si>
  <si>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</si>
  <si>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</si>
  <si>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</si>
  <si>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</si>
  <si>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</si>
  <si>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</si>
  <si>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</si>
  <si>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</si>
  <si>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</si>
  <si>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</si>
  <si>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</si>
  <si>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</si>
  <si>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</si>
  <si>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</si>
  <si>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</si>
  <si>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</si>
  <si>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</si>
  <si>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</si>
  <si>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</si>
  <si>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</si>
  <si>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</si>
  <si>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</si>
  <si>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</si>
  <si>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</si>
  <si>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</si>
  <si>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</si>
  <si>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</si>
  <si>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</si>
  <si>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</si>
  <si>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</si>
  <si>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</si>
  <si>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</si>
  <si>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</si>
  <si>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</si>
  <si>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</si>
  <si>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</si>
  <si>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</si>
  <si>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</si>
  <si>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</si>
  <si>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</si>
  <si>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</si>
  <si>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</si>
  <si>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</si>
  <si>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</si>
  <si>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</si>
  <si>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</si>
  <si>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</si>
  <si>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</si>
  <si>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</si>
  <si>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</si>
  <si>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</si>
  <si>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</si>
  <si>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</si>
  <si>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</si>
  <si>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</si>
  <si>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</si>
  <si>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</si>
  <si>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</si>
  <si>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</si>
  <si>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</si>
  <si>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</si>
  <si>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</si>
  <si>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</si>
  <si>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</si>
  <si>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</si>
  <si>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</si>
  <si>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</si>
  <si>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</si>
  <si>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</si>
  <si>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</si>
  <si>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</si>
  <si>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</si>
  <si>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</si>
  <si>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</si>
  <si>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</si>
  <si>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</si>
  <si>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</si>
  <si>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</si>
  <si>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</si>
  <si>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</si>
  <si>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</si>
  <si>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</si>
  <si>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</si>
  <si>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</si>
  <si>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</si>
  <si>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</si>
  <si>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</si>
  <si>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</si>
  <si>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</si>
  <si>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</si>
  <si>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</si>
  <si>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</si>
  <si>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</si>
  <si>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</si>
  <si>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</si>
  <si>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</si>
  <si>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</si>
  <si>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</si>
  <si>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</si>
  <si>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</si>
  <si>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</si>
  <si>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</si>
  <si>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</si>
  <si>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</si>
  <si>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</si>
  <si>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</si>
  <si>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</si>
  <si>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</si>
  <si>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</si>
  <si>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</si>
  <si>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</si>
  <si>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</si>
  <si>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</si>
  <si>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</si>
  <si>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</si>
  <si>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</si>
  <si>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</si>
  <si>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</si>
  <si>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</si>
  <si>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</si>
  <si>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</si>
  <si>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</si>
  <si>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</si>
  <si>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</si>
  <si>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</si>
  <si>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</si>
  <si>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</si>
  <si>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</si>
  <si>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</si>
  <si>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</si>
  <si>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</si>
  <si>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</si>
  <si>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</si>
  <si>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</si>
  <si>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</si>
  <si>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</si>
  <si>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</si>
  <si>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</si>
  <si>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</si>
  <si>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</si>
  <si>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</si>
  <si>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</si>
  <si>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</si>
  <si>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</si>
  <si>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</si>
  <si>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</si>
  <si>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</si>
  <si>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</si>
  <si>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</si>
  <si>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</si>
  <si>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</si>
  <si>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</si>
  <si>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</si>
  <si>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</si>
  <si>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</si>
  <si>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</si>
  <si>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</si>
  <si>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</si>
  <si>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</si>
  <si>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</si>
  <si>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</si>
  <si>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</si>
  <si>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</si>
  <si>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</si>
  <si>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</si>
  <si>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</si>
  <si>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</si>
  <si>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</si>
  <si>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</si>
  <si>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</si>
  <si>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</si>
  <si>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</si>
  <si>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</si>
  <si>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</si>
  <si>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</si>
  <si>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</si>
  <si>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</si>
  <si>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</si>
  <si>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</si>
  <si>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</si>
  <si>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</si>
  <si>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</si>
  <si>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</si>
  <si>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</si>
  <si>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</si>
  <si>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</si>
  <si>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</si>
  <si>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</si>
  <si>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</si>
  <si>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</si>
  <si>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</si>
  <si>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</si>
  <si>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</si>
  <si>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</si>
  <si>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</si>
  <si>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</si>
  <si>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</si>
  <si>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</si>
  <si>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</si>
  <si>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</si>
  <si>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</si>
  <si>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</si>
  <si>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</si>
  <si>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</si>
  <si>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</si>
  <si>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</si>
  <si>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</si>
  <si>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</si>
  <si>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</si>
  <si>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</si>
  <si>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</si>
  <si>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</si>
  <si>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</si>
  <si>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</si>
  <si>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</si>
  <si>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</si>
  <si>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</si>
  <si>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</si>
  <si>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</si>
  <si>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</si>
  <si>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</si>
  <si>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</si>
  <si>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</si>
  <si>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</si>
  <si>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</si>
  <si>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</si>
  <si>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</si>
  <si>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</si>
  <si>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</si>
  <si>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</si>
  <si>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</si>
  <si>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</si>
  <si>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</si>
  <si>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</si>
  <si>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</si>
  <si>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</si>
  <si>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</si>
  <si>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</si>
  <si>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</si>
  <si>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</si>
  <si>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</si>
  <si>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</si>
  <si>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</si>
  <si>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</si>
  <si>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</si>
  <si>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</si>
  <si>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</si>
  <si>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</si>
  <si>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</si>
  <si>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</si>
  <si>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</si>
  <si>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</si>
  <si>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</si>
  <si>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</si>
  <si>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</si>
  <si>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</si>
  <si>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</si>
  <si>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</si>
  <si>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</si>
  <si>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</si>
  <si>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</si>
  <si>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</si>
  <si>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</si>
  <si>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</si>
  <si>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</si>
  <si>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</si>
  <si>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</si>
  <si>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</si>
  <si>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</si>
  <si>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</si>
  <si>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</si>
  <si>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</si>
  <si>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</si>
  <si>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</si>
  <si>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</si>
  <si>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</si>
  <si>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</si>
  <si>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</si>
  <si>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</si>
  <si>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</si>
  <si>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</si>
  <si>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</si>
  <si>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</si>
  <si>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</si>
  <si>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</si>
  <si>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</si>
  <si>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</si>
  <si>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</si>
  <si>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</si>
  <si>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</si>
  <si>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</si>
  <si>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</si>
  <si>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</si>
  <si>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</si>
  <si>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</si>
  <si>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</si>
  <si>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</si>
  <si>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</si>
  <si>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</si>
  <si>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</si>
  <si>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</si>
  <si>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</si>
  <si>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</si>
  <si>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</si>
  <si>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</si>
  <si>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</si>
  <si>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</si>
  <si>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</si>
  <si>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</si>
  <si>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</si>
  <si>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</si>
  <si>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</si>
  <si>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</si>
  <si>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</si>
  <si>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</si>
  <si>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</si>
  <si>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</si>
  <si>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</si>
  <si>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</si>
  <si>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</si>
  <si>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</si>
  <si>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</si>
  <si>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</si>
  <si>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</si>
  <si>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</si>
  <si>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</si>
  <si>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</si>
  <si>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</si>
  <si>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</si>
  <si>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</si>
  <si>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</si>
  <si>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</si>
  <si>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</si>
  <si>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</si>
  <si>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</si>
  <si>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</si>
  <si>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</si>
  <si>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</si>
  <si>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</si>
  <si>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</si>
  <si>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</si>
  <si>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</si>
  <si>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</si>
  <si>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</si>
  <si>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</si>
  <si>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</si>
  <si>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</si>
  <si>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</si>
  <si>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</si>
  <si>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</si>
  <si>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</si>
  <si>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</si>
  <si>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</si>
  <si>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</si>
  <si>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</si>
  <si>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</si>
  <si>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</si>
  <si>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</si>
  <si>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</si>
  <si>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</si>
  <si>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</si>
  <si>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</si>
  <si>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</si>
  <si>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</si>
  <si>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</si>
  <si>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</si>
  <si>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</si>
  <si>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</si>
  <si>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</si>
  <si>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</si>
  <si>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</si>
  <si>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</si>
  <si>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</si>
  <si>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</si>
  <si>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</si>
  <si>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</si>
  <si>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</si>
  <si>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</si>
  <si>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</si>
  <si>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</si>
  <si>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</si>
  <si>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</si>
  <si>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</si>
  <si>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</si>
  <si>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</si>
  <si>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</si>
  <si>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</si>
  <si>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</si>
  <si>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</si>
  <si>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</si>
  <si>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</si>
  <si>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</si>
  <si>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</si>
  <si>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</si>
  <si>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</si>
  <si>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</si>
  <si>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</si>
  <si>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</si>
  <si>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</si>
  <si>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</si>
  <si>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</si>
  <si>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</si>
  <si>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</si>
  <si>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</si>
  <si>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</si>
  <si>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</si>
  <si>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</si>
  <si>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</si>
  <si>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</si>
  <si>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</si>
  <si>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</si>
  <si>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</si>
  <si>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</si>
  <si>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</si>
  <si>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</si>
  <si>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</si>
  <si>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</si>
  <si>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</si>
  <si>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</si>
  <si>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</si>
  <si>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</si>
  <si>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</si>
  <si>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</si>
  <si>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</si>
  <si>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</si>
  <si>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</si>
  <si>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</si>
  <si>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</si>
  <si>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</si>
  <si>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</si>
  <si>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</si>
  <si>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</si>
  <si>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</si>
  <si>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</si>
  <si>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</si>
  <si>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</si>
  <si>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</si>
  <si>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</si>
  <si>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</si>
  <si>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</si>
  <si>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</si>
  <si>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</si>
  <si>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</si>
  <si>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</si>
  <si>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</si>
  <si>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</si>
  <si>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</si>
  <si>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</si>
  <si>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</si>
  <si>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</si>
  <si>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</si>
  <si>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</si>
  <si>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</si>
  <si>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</si>
  <si>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</si>
  <si>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</si>
  <si>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</si>
  <si>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</si>
  <si>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</si>
  <si>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</si>
  <si>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</si>
  <si>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</si>
  <si>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</si>
  <si>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</si>
  <si>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</si>
  <si>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</si>
  <si>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</si>
  <si>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</si>
  <si>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</si>
  <si>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</si>
  <si>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</si>
  <si>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</si>
  <si>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</si>
  <si>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</si>
  <si>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</si>
  <si>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</si>
  <si>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</si>
  <si>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</si>
  <si>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</si>
  <si>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</si>
  <si>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</si>
  <si>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</si>
  <si>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</si>
  <si>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</si>
  <si>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</si>
  <si>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</si>
  <si>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</si>
  <si>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</si>
  <si>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</si>
  <si>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</si>
  <si>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</si>
  <si>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</si>
  <si>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</si>
  <si>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</si>
  <si>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</si>
  <si>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</si>
  <si>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</si>
  <si>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</si>
  <si>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</si>
  <si>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</si>
  <si>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</si>
  <si>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</si>
  <si>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</si>
  <si>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</si>
  <si>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</si>
  <si>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</si>
  <si>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</si>
  <si>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</si>
  <si>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</si>
  <si>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</si>
  <si>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</si>
  <si>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</si>
  <si>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</si>
  <si>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</si>
  <si>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</si>
  <si>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</si>
  <si>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</si>
  <si>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</si>
  <si>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</si>
  <si>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</si>
  <si>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</si>
  <si>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</si>
  <si>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</si>
  <si>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</si>
  <si>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</si>
  <si>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</si>
  <si>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</si>
  <si>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</si>
  <si>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</si>
  <si>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</si>
  <si>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</si>
  <si>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</si>
  <si>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</si>
  <si>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</si>
  <si>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</si>
  <si>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</si>
  <si>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</si>
  <si>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</si>
  <si>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</si>
  <si>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</si>
  <si>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</si>
  <si>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</si>
  <si>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</si>
  <si>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</si>
  <si>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</si>
  <si>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</si>
  <si>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</si>
  <si>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</si>
  <si>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</si>
  <si>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</si>
  <si>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</si>
  <si>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</si>
  <si>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</si>
  <si>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</si>
  <si>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</si>
  <si>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</si>
  <si>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</si>
  <si>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</si>
  <si>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</si>
  <si>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</si>
  <si>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</si>
  <si>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</si>
  <si>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</si>
  <si>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</si>
  <si>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</si>
  <si>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</si>
  <si>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</si>
  <si>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</si>
  <si>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</si>
  <si>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</si>
  <si>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</si>
  <si>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</si>
  <si>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</si>
  <si>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</si>
  <si>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</si>
  <si>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</si>
  <si>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</si>
  <si>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</si>
  <si>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</si>
  <si>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</si>
  <si>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</si>
  <si>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</si>
  <si>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</si>
  <si>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</si>
  <si>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</si>
  <si>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</si>
  <si>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</si>
  <si>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</si>
  <si>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</si>
  <si>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</si>
  <si>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</si>
  <si>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</si>
  <si>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</si>
  <si>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</si>
  <si>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</si>
  <si>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</si>
  <si>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</si>
  <si>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</si>
  <si>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</si>
  <si>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</si>
  <si>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</si>
  <si>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</si>
  <si>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</si>
  <si>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</si>
  <si>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</si>
  <si>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</si>
  <si>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</si>
  <si>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</si>
  <si>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</si>
  <si>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</si>
  <si>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</si>
  <si>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</si>
  <si>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</si>
  <si>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</si>
  <si>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</si>
  <si>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</si>
  <si>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</si>
  <si>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</si>
  <si>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</si>
  <si>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</si>
  <si>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</si>
  <si>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</si>
  <si>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</si>
  <si>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</si>
  <si>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</si>
  <si>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</si>
  <si>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</si>
  <si>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</si>
  <si>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</si>
  <si>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</si>
  <si>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</si>
  <si>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</si>
  <si>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</si>
  <si>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</si>
  <si>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</si>
  <si>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</si>
  <si>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</si>
  <si>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</si>
  <si>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</si>
  <si>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</si>
  <si>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</si>
  <si>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</si>
  <si>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</si>
  <si>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</si>
  <si>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</si>
  <si>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</si>
  <si>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</si>
  <si>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</si>
  <si>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</si>
  <si>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</si>
  <si>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</si>
  <si>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</si>
  <si>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</si>
  <si>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</si>
  <si>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</si>
  <si>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</si>
  <si>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</si>
  <si>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</si>
  <si>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</si>
  <si>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</si>
  <si>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</si>
  <si>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</si>
  <si>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</si>
  <si>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</si>
  <si>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</si>
  <si>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</si>
  <si>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</si>
  <si>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</si>
  <si>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</si>
  <si>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</si>
  <si>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</si>
  <si>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</si>
  <si>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</si>
  <si>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</si>
  <si>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</si>
  <si>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</si>
  <si>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</si>
  <si>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</si>
  <si>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</si>
  <si>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</si>
  <si>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</si>
  <si>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</si>
  <si>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</si>
  <si>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</si>
  <si>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</si>
  <si>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</si>
  <si>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</si>
  <si>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</si>
  <si>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</si>
  <si>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</si>
  <si>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</si>
  <si>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</si>
  <si>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</si>
  <si>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</si>
  <si>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</si>
  <si>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</si>
  <si>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</si>
  <si>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</si>
  <si>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</si>
  <si>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</si>
  <si>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</si>
  <si>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</si>
  <si>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</si>
  <si>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</si>
  <si>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</si>
  <si>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</si>
  <si>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</si>
  <si>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</si>
  <si>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</si>
  <si>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</si>
  <si>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</si>
  <si>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</si>
  <si>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</si>
  <si>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</si>
  <si>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</si>
  <si>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</si>
  <si>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</si>
  <si>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</si>
  <si>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</si>
  <si>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</si>
  <si>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</si>
  <si>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</si>
  <si>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</si>
  <si>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</si>
  <si>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</si>
  <si>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</si>
  <si>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</si>
  <si>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</si>
  <si>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</si>
  <si>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</si>
  <si>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</si>
  <si>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</si>
  <si>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</si>
  <si>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</si>
  <si>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</si>
  <si>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</si>
  <si>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</si>
  <si>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</si>
  <si>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</si>
  <si>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</si>
  <si>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</si>
  <si>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</si>
  <si>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</si>
  <si>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</si>
  <si>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</si>
  <si>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</si>
  <si>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</si>
  <si>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</si>
  <si>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</si>
  <si>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</si>
  <si>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</si>
  <si>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</si>
  <si>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</si>
  <si>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</si>
  <si>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</si>
  <si>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</si>
  <si>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</si>
  <si>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</si>
  <si>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</si>
  <si>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</si>
  <si>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</si>
  <si>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</si>
  <si>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</si>
  <si>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</si>
  <si>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</si>
  <si>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</si>
  <si>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</si>
  <si>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</si>
  <si>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</si>
  <si>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</si>
  <si>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</si>
  <si>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</si>
  <si>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</si>
  <si>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</si>
  <si>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</si>
  <si>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</si>
  <si>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</si>
  <si>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</si>
  <si>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</si>
  <si>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</si>
  <si>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</si>
  <si>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</si>
  <si>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</si>
  <si>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</si>
  <si>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</si>
  <si>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</si>
  <si>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</si>
  <si>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</si>
  <si>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</si>
  <si>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</si>
  <si>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</si>
  <si>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</si>
  <si>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</si>
  <si>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</si>
  <si>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</si>
  <si>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</si>
  <si>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</si>
  <si>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</si>
  <si>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</si>
  <si>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</si>
  <si>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</si>
  <si>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</si>
  <si>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</si>
  <si>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</si>
  <si>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</si>
  <si>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</si>
  <si>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</si>
  <si>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</si>
  <si>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</si>
  <si>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</si>
  <si>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</si>
  <si>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</si>
  <si>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</si>
  <si>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</si>
  <si>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</si>
  <si>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</si>
  <si>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</si>
  <si>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</si>
  <si>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</si>
  <si>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</si>
  <si>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</si>
  <si>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</si>
  <si>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</si>
  <si>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</si>
  <si>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</si>
  <si>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</si>
  <si>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</si>
  <si>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</si>
  <si>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</si>
  <si>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</si>
  <si>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</si>
  <si>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</si>
  <si>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</si>
  <si>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</si>
  <si>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</si>
  <si>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</si>
  <si>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</si>
  <si>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</si>
  <si>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</si>
  <si>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</si>
  <si>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</si>
  <si>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</si>
  <si>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</si>
  <si>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</si>
  <si>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</si>
  <si>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</si>
  <si>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</si>
  <si>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</si>
  <si>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</si>
  <si>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</si>
  <si>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</si>
  <si>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</si>
  <si>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</si>
  <si>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</si>
  <si>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</si>
  <si>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</si>
  <si>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</si>
  <si>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</si>
  <si>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</si>
  <si>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</si>
  <si>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</si>
  <si>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</si>
  <si>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</si>
  <si>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</si>
  <si>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</si>
  <si>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</si>
  <si>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</si>
  <si>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</si>
  <si>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</si>
  <si>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</si>
  <si>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</si>
  <si>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</si>
  <si>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</si>
  <si>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</si>
  <si>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</si>
  <si>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</si>
  <si>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</si>
  <si>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</si>
  <si>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</si>
  <si>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</si>
  <si>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</si>
  <si>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</si>
  <si>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</si>
  <si>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</si>
  <si>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</si>
  <si>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</si>
  <si>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</si>
  <si>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</si>
  <si>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</si>
  <si>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</si>
  <si>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</si>
  <si>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</si>
  <si>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</si>
  <si>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</si>
  <si>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</si>
  <si>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</si>
  <si>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</si>
  <si>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</si>
  <si>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</si>
  <si>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</si>
  <si>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</si>
  <si>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</si>
  <si>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</si>
  <si>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</si>
  <si>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</si>
  <si>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</si>
  <si>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</si>
  <si>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</si>
  <si>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</si>
  <si>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</si>
  <si>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</si>
  <si>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</si>
  <si>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</si>
  <si>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</si>
  <si>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</si>
  <si>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</si>
  <si>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</si>
  <si>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</si>
  <si>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</si>
  <si>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</si>
  <si>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</si>
  <si>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</si>
  <si>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</si>
  <si>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</si>
  <si>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</si>
  <si>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</si>
  <si>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</si>
  <si>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</si>
  <si>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</si>
  <si>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</si>
  <si>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</si>
  <si>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</si>
  <si>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</si>
  <si>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</si>
  <si>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</si>
  <si>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</si>
  <si>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</si>
  <si>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</si>
  <si>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</si>
  <si>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</si>
  <si>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</si>
  <si>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</si>
  <si>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</si>
  <si>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</si>
  <si>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</si>
  <si>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</si>
  <si>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</si>
  <si>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</si>
  <si>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</si>
  <si>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</si>
  <si>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</si>
  <si>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</si>
  <si>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</si>
  <si>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</si>
  <si>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</si>
  <si>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</si>
  <si>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</si>
  <si>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</si>
  <si>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</si>
  <si>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</si>
  <si>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</si>
  <si>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</si>
  <si>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</si>
  <si>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</si>
  <si>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</si>
  <si>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</si>
  <si>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</si>
  <si>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</si>
  <si>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</si>
  <si>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</si>
  <si>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</si>
  <si>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</si>
  <si>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</si>
  <si>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</si>
  <si>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</si>
  <si>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</si>
  <si>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</si>
  <si>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</si>
  <si>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</si>
  <si>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</si>
  <si>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</si>
  <si>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</si>
  <si>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</si>
  <si>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</si>
  <si>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</si>
  <si>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</si>
  <si>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</si>
  <si>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</si>
  <si>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</si>
  <si>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</si>
  <si>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</si>
  <si>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</si>
  <si>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</si>
  <si>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</si>
  <si>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</si>
  <si>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</si>
  <si>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</si>
  <si>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</si>
  <si>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</si>
  <si>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</si>
  <si>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</si>
  <si>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</si>
  <si>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</si>
  <si>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</si>
  <si>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</si>
  <si>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</si>
  <si>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</si>
  <si>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</si>
  <si>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</si>
  <si>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</si>
  <si>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</si>
  <si>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</si>
  <si>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</si>
  <si>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</si>
  <si>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</si>
  <si>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</si>
  <si>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</si>
  <si>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</si>
  <si>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</si>
  <si>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</si>
  <si>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</si>
  <si>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</si>
  <si>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</si>
  <si>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</si>
  <si>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</si>
  <si>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</si>
  <si>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</si>
  <si>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</si>
  <si>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</si>
  <si>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</si>
  <si>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</si>
  <si>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</si>
  <si>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</si>
  <si>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</si>
  <si>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</si>
  <si>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</si>
  <si>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</si>
  <si>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</si>
  <si>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</si>
  <si>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</si>
  <si>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</si>
  <si>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</si>
  <si>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</si>
  <si>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</si>
  <si>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</si>
  <si>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</si>
  <si>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</si>
  <si>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</si>
  <si>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</si>
  <si>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</si>
  <si>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</si>
  <si>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</si>
  <si>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</si>
  <si>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</si>
  <si>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</si>
  <si>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</si>
  <si>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</si>
  <si>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</si>
  <si>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</si>
  <si>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</si>
  <si>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</si>
  <si>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</si>
  <si>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</si>
  <si>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</si>
  <si>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</si>
  <si>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</si>
  <si>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</si>
  <si>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</si>
  <si>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</si>
  <si>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</si>
  <si>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</si>
  <si>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</si>
  <si>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</si>
  <si>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</si>
  <si>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</si>
  <si>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</si>
  <si>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</si>
  <si>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</si>
  <si>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</si>
  <si>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</si>
  <si>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</si>
  <si>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</si>
  <si>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</si>
  <si>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</si>
  <si>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</si>
  <si>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</si>
  <si>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</si>
  <si>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</si>
  <si>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</si>
  <si>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</si>
  <si>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</si>
  <si>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</si>
  <si>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</si>
  <si>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</si>
  <si>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</si>
  <si>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</si>
  <si>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</si>
  <si>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</si>
  <si>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</si>
  <si>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</si>
  <si>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</si>
  <si>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</si>
  <si>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</si>
  <si>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</si>
  <si>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</si>
  <si>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</si>
  <si>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</si>
  <si>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</si>
  <si>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</si>
  <si>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</si>
  <si>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</si>
  <si>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</si>
  <si>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</si>
  <si>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</si>
  <si>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</si>
  <si>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</si>
  <si>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</si>
  <si>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</si>
  <si>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</si>
  <si>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</si>
  <si>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</si>
  <si>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</si>
  <si>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</si>
  <si>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</si>
  <si>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</si>
  <si>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</si>
  <si>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</si>
  <si>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</si>
  <si>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</si>
  <si>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</si>
  <si>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</si>
  <si>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</si>
  <si>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</si>
  <si>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</si>
  <si>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</si>
  <si>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</si>
  <si>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</si>
  <si>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</si>
  <si>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</si>
  <si>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</si>
  <si>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</si>
  <si>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</si>
  <si>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</si>
  <si>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</si>
  <si>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</si>
  <si>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</si>
  <si>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</si>
  <si>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</si>
  <si>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</si>
  <si>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</si>
  <si>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</si>
  <si>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</si>
  <si>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</si>
  <si>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</si>
  <si>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</si>
  <si>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</si>
  <si>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</si>
  <si>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</si>
  <si>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</si>
  <si>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</si>
  <si>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</si>
  <si>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</si>
  <si>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</si>
  <si>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</si>
  <si>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</si>
  <si>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</si>
  <si>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</si>
  <si>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</si>
  <si>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</si>
  <si>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</si>
  <si>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</si>
  <si>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</si>
  <si>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</si>
  <si>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</si>
  <si>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</si>
  <si>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</si>
  <si>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</si>
  <si>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</si>
  <si>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</si>
  <si>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</si>
  <si>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</si>
  <si>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</si>
  <si>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</si>
  <si>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</si>
  <si>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</si>
  <si>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</si>
  <si>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</si>
  <si>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</si>
  <si>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</si>
  <si>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</si>
  <si>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</si>
  <si>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</si>
  <si>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</si>
  <si>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</si>
  <si>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</si>
  <si>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</si>
  <si>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</si>
  <si>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</si>
  <si>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</si>
  <si>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</si>
  <si>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</si>
  <si>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</si>
  <si>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</si>
  <si>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</si>
  <si>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</si>
  <si>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</si>
  <si>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</si>
  <si>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</si>
  <si>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</si>
  <si>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</si>
  <si>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</si>
  <si>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</si>
  <si>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</si>
  <si>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</si>
  <si>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</si>
  <si>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</si>
  <si>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</si>
  <si>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</si>
  <si>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</si>
  <si>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</si>
  <si>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</si>
  <si>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</si>
  <si>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</si>
  <si>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</si>
  <si>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</si>
  <si>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</si>
  <si>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</si>
  <si>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</si>
  <si>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</si>
  <si>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</si>
  <si>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</si>
  <si>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</si>
  <si>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</si>
  <si>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</si>
  <si>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</si>
  <si>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</si>
  <si>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</si>
  <si>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</si>
  <si>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</si>
  <si>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</si>
  <si>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</si>
  <si>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</si>
  <si>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</si>
  <si>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</si>
  <si>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</si>
  <si>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</si>
  <si>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</si>
  <si>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</si>
  <si>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</si>
  <si>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</si>
  <si>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</si>
  <si>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</si>
  <si>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</si>
  <si>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</si>
  <si>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</si>
  <si>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</si>
  <si>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</si>
  <si>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</si>
  <si>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</si>
  <si>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</si>
  <si>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</si>
  <si>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</si>
  <si>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</si>
  <si>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</si>
  <si>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</si>
  <si>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</si>
  <si>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</si>
  <si>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</si>
  <si>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</si>
  <si>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</si>
  <si>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</si>
  <si>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</si>
  <si>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</si>
  <si>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</si>
  <si>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</si>
  <si>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</si>
  <si>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</si>
  <si>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</si>
  <si>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</si>
  <si>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</si>
  <si>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</si>
  <si>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</si>
  <si>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</si>
  <si>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</si>
  <si>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</si>
  <si>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</si>
  <si>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</si>
  <si>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</si>
  <si>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</si>
  <si>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</si>
  <si>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</si>
  <si>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</si>
  <si>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</si>
  <si>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</si>
  <si>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</si>
  <si>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</si>
  <si>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</si>
  <si>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</si>
  <si>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</si>
  <si>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</si>
  <si>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</si>
  <si>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</si>
  <si>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</si>
  <si>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</si>
  <si>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</si>
  <si>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</si>
  <si>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</si>
  <si>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</si>
  <si>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</si>
  <si>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</si>
  <si>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</si>
  <si>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</si>
  <si>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</si>
  <si>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</si>
  <si>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</si>
  <si>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</si>
  <si>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</si>
  <si>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</si>
  <si>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</si>
  <si>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</si>
  <si>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</si>
  <si>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</si>
  <si>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</si>
  <si>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</si>
  <si>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</si>
  <si>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</si>
  <si>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</si>
  <si>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</si>
  <si>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</si>
  <si>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</si>
  <si>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</si>
  <si>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</si>
  <si>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</si>
  <si>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</si>
  <si>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</si>
  <si>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</si>
  <si>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</si>
  <si>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</si>
  <si>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</si>
  <si>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</si>
  <si>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</si>
  <si>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</si>
  <si>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</si>
  <si>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</si>
  <si>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</si>
  <si>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</si>
  <si>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</si>
  <si>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</si>
  <si>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</si>
  <si>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</si>
  <si>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</si>
  <si>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</si>
  <si>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</si>
  <si>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</si>
  <si>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</si>
  <si>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</si>
  <si>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</si>
  <si>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</si>
  <si>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</si>
  <si>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</si>
  <si>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</si>
  <si>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</si>
  <si>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</si>
  <si>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</si>
  <si>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</si>
  <si>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</si>
  <si>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</si>
  <si>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</si>
  <si>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</si>
  <si>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</si>
  <si>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</si>
  <si>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</si>
  <si>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</si>
  <si>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</si>
  <si>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</si>
  <si>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</si>
  <si>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</si>
  <si>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</si>
  <si>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</si>
  <si>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</si>
  <si>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</si>
  <si>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</si>
  <si>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</si>
  <si>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</si>
  <si>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</si>
  <si>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</si>
  <si>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</si>
  <si>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</si>
  <si>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</si>
  <si>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</si>
  <si>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</si>
  <si>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</si>
  <si>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</si>
  <si>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</si>
  <si>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</si>
  <si>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</si>
  <si>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</si>
  <si>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</si>
  <si>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</si>
  <si>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</si>
  <si>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</si>
  <si>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</si>
  <si>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</si>
  <si>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</si>
  <si>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</si>
  <si>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</si>
  <si>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</si>
  <si>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</si>
  <si>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</si>
  <si>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</si>
  <si>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</si>
  <si>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</si>
  <si>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</si>
  <si>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</si>
  <si>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</si>
  <si>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</si>
  <si>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</si>
  <si>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</si>
  <si>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</si>
  <si>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</si>
  <si>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</si>
  <si>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</si>
  <si>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</si>
  <si>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</si>
  <si>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</si>
  <si>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</si>
  <si>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</si>
  <si>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</si>
  <si>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</si>
  <si>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</si>
  <si>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</si>
  <si>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</si>
  <si>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</si>
  <si>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</si>
  <si>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</si>
  <si>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</si>
  <si>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</si>
  <si>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</si>
  <si>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</si>
  <si>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</si>
  <si>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</si>
  <si>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</si>
  <si>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</si>
  <si>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</si>
  <si>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</si>
  <si>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</si>
  <si>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</si>
  <si>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</si>
  <si>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</si>
  <si>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</si>
  <si>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</si>
  <si>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</si>
  <si>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</si>
  <si>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</si>
  <si>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</si>
  <si>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</si>
  <si>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</si>
  <si>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</si>
  <si>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</si>
  <si>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</si>
  <si>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</si>
  <si>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</si>
  <si>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</si>
  <si>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</si>
  <si>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</si>
  <si>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Morgan, Cass, Brown, Pike</t>
  </si>
  <si>
    <t>830 Main Street</t>
  </si>
  <si>
    <t>Meredosia</t>
  </si>
  <si>
    <t>cbrowning@mcsd11.net</t>
  </si>
  <si>
    <t>Thad Walker</t>
  </si>
  <si>
    <t>twalker@mcsd11.net</t>
  </si>
  <si>
    <t>217-584-1744</t>
  </si>
  <si>
    <t>217-584-1129</t>
  </si>
  <si>
    <t>Zumbahlen, Eyth, Surratt, Foote &amp; Flynn, Ltd.</t>
  </si>
  <si>
    <t>Adam R. Withee</t>
  </si>
  <si>
    <t>1395 Lincoln Ave</t>
  </si>
  <si>
    <t>Jacksonville</t>
  </si>
  <si>
    <t>IL</t>
  </si>
  <si>
    <t>217-245-5121</t>
  </si>
  <si>
    <t>217-243-3356</t>
  </si>
  <si>
    <t>066-004993</t>
  </si>
  <si>
    <t>awithee@zescpa.com</t>
  </si>
  <si>
    <t>Purchase of Chromebooks</t>
  </si>
  <si>
    <t>General Obligation School Bonds 2019</t>
  </si>
  <si>
    <t>Capital Lease</t>
  </si>
  <si>
    <t>General Obligation School Bonds 2015</t>
  </si>
  <si>
    <t>Ed- Instruction- Purchased Services</t>
  </si>
  <si>
    <t>Quality Network Solutions</t>
  </si>
  <si>
    <t>Page 10, Line 74: Other Food Service- Educational Fund- Rebates</t>
  </si>
  <si>
    <t>Page 10, Line 92: Other Textbooks Income- Educational Fund- Donations &amp; Employee Reimbursements</t>
  </si>
  <si>
    <t>Page 12, Line 168: Other Restricted Revenue from State Sources- Educational Fund- Health Community Grant</t>
  </si>
  <si>
    <t>Page 13, Line 203: Title I- Other- Educational Fund- Title I School Improvement and Accountability Grant</t>
  </si>
  <si>
    <t>Page 18, Line 171: Debt Services- Other- Debt Services Fund- Bond Registration Fees</t>
  </si>
  <si>
    <t>Social Work - Triopia School District</t>
  </si>
  <si>
    <t>Four Rivers Special Education</t>
  </si>
  <si>
    <t>Athletics - Triopia School District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</si>
  <si>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</si>
  <si>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</si>
  <si>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</si>
  <si>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</si>
  <si>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</si>
  <si>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</si>
  <si>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</si>
  <si>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</si>
  <si>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</si>
  <si>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</si>
  <si>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</si>
  <si>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</si>
  <si>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</si>
  <si>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</si>
  <si>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</si>
  <si>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</si>
  <si>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</si>
  <si>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</si>
  <si>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</si>
  <si>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</si>
  <si>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</si>
  <si>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</si>
  <si>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</si>
  <si>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</si>
  <si>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</si>
  <si>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</si>
  <si>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</si>
  <si>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</si>
  <si>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</si>
  <si>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</si>
  <si>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</si>
  <si>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</si>
  <si>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</si>
  <si>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</si>
  <si>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</si>
  <si>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</si>
  <si>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</si>
  <si>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11, Line 107: Other Local Revenues- Educational Fund- Refunds and Reimbursements</t>
  </si>
  <si>
    <t>Page 11, Line 107: Other Local Revenues- O&amp;M Fund- Refunds and Reimbursements</t>
  </si>
  <si>
    <t>Page 11, Line 107: Other Local Revenues-Capital Projects and Tort-Insurance Reimbursements</t>
  </si>
  <si>
    <t>Meredosia- Chambersburg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</si>
</sst>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2" fillId="0" borderId="0" xfId="20"/>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applyAlignment="1"/>
    <xf numFmtId="0" fontId="57" fillId="0" borderId="189" xfId="20" applyFont="1" applyBorder="1" applyAlignment="1"/>
    <xf numFmtId="0" fontId="57" fillId="0" borderId="191" xfId="20" applyFont="1" applyBorder="1" applyAlignment="1"/>
    <xf numFmtId="0" fontId="57" fillId="0" borderId="192" xfId="20" applyFont="1" applyBorder="1" applyAlignment="1"/>
    <xf numFmtId="0" fontId="65" fillId="0" borderId="180" xfId="20" applyFont="1" applyBorder="1" applyAlignment="1"/>
    <xf numFmtId="0" fontId="65" fillId="0" borderId="77" xfId="20" applyFont="1" applyBorder="1" applyAlignment="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7</xdr:row>
          <xdr:rowOff>161925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FF00"/>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5">
        <f>+'AFR20'!E4</f>
        <v>44119</v>
      </c>
      <c r="C1" s="2035"/>
      <c r="D1" s="2036"/>
      <c r="I1" s="2114" t="s">
        <v>402</v>
      </c>
      <c r="J1" s="2115"/>
      <c r="K1" s="2115"/>
      <c r="L1" s="2115"/>
      <c r="M1" s="2115"/>
      <c r="N1" s="2115"/>
      <c r="O1" s="2115"/>
      <c r="P1" s="2115"/>
      <c r="Q1" s="2115"/>
      <c r="R1" s="2115"/>
      <c r="S1" s="2115"/>
    </row>
    <row r="2" spans="1:32" ht="12" customHeight="1" x14ac:dyDescent="0.2">
      <c r="A2" s="1830" t="str">
        <f>"Due to ISBE on "</f>
        <v xml:space="preserve">Due to ISBE on </v>
      </c>
      <c r="B2" s="2037">
        <f>+'AFR20'!F4</f>
        <v>44151</v>
      </c>
      <c r="C2" s="2037"/>
      <c r="D2" s="2038"/>
      <c r="I2" s="2116" t="s">
        <v>2006</v>
      </c>
      <c r="J2" s="2115"/>
      <c r="K2" s="2115"/>
      <c r="L2" s="2115"/>
      <c r="M2" s="2115"/>
      <c r="N2" s="2115"/>
      <c r="O2" s="2115"/>
      <c r="P2" s="2115"/>
      <c r="Q2" s="2115"/>
      <c r="R2" s="2115"/>
      <c r="S2" s="2115"/>
    </row>
    <row r="3" spans="1:32" ht="12" customHeight="1" x14ac:dyDescent="0.2">
      <c r="A3" s="1833"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521</v>
      </c>
      <c r="J4" s="2115"/>
      <c r="K4" s="2115"/>
      <c r="L4" s="2115"/>
      <c r="M4" s="2115"/>
      <c r="N4" s="2115"/>
      <c r="O4" s="2115"/>
      <c r="P4" s="2115"/>
      <c r="Q4" s="2115"/>
      <c r="R4" s="2115"/>
      <c r="S4" s="2115"/>
    </row>
    <row r="5" spans="1:32" ht="14.1" customHeight="1" x14ac:dyDescent="0.2">
      <c r="B5" s="101" t="s">
        <v>2021</v>
      </c>
      <c r="C5" s="26" t="s">
        <v>904</v>
      </c>
      <c r="D5" s="81"/>
      <c r="E5" s="81"/>
      <c r="H5" s="38"/>
      <c r="I5" s="2123" t="s">
        <v>675</v>
      </c>
      <c r="J5" s="2068"/>
      <c r="K5" s="2068"/>
      <c r="L5" s="2068"/>
      <c r="M5" s="2068"/>
      <c r="N5" s="2068"/>
      <c r="O5" s="2068"/>
      <c r="P5" s="2068"/>
      <c r="Q5" s="2068"/>
      <c r="R5" s="2068"/>
      <c r="S5" s="2068"/>
      <c r="AF5" s="1826"/>
    </row>
    <row r="6" spans="1:32" ht="14.1" customHeight="1" x14ac:dyDescent="0.2">
      <c r="B6" s="101"/>
      <c r="C6" s="26" t="s">
        <v>905</v>
      </c>
      <c r="D6" s="81"/>
      <c r="E6" s="81"/>
      <c r="I6" s="2122" t="s">
        <v>877</v>
      </c>
      <c r="J6" s="2068"/>
      <c r="K6" s="2068"/>
      <c r="L6" s="2068"/>
      <c r="M6" s="2068"/>
      <c r="N6" s="2068"/>
      <c r="O6" s="2068"/>
      <c r="P6" s="2068"/>
      <c r="Q6" s="2068"/>
      <c r="R6" s="2068"/>
      <c r="S6" s="2068"/>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9" t="s">
        <v>669</v>
      </c>
      <c r="J9" s="2120"/>
      <c r="K9" s="2120"/>
      <c r="L9" s="2120"/>
      <c r="M9" s="2120"/>
      <c r="N9" s="2120"/>
      <c r="O9" s="2120"/>
      <c r="P9" s="2120"/>
      <c r="Q9" s="2120"/>
      <c r="R9" s="2120"/>
      <c r="S9" s="2121"/>
      <c r="T9" s="2064" t="s">
        <v>530</v>
      </c>
      <c r="U9" s="2065"/>
      <c r="V9" s="2065"/>
      <c r="W9" s="2065"/>
      <c r="X9" s="2065"/>
      <c r="Y9" s="2065"/>
      <c r="Z9" s="2065"/>
      <c r="AA9" s="2066"/>
    </row>
    <row r="10" spans="1:32" ht="13.5" customHeight="1" x14ac:dyDescent="0.2">
      <c r="A10" s="2073" t="s">
        <v>670</v>
      </c>
      <c r="B10" s="2074"/>
      <c r="C10" s="2074"/>
      <c r="D10" s="2074"/>
      <c r="E10" s="2074"/>
      <c r="F10" s="2074"/>
      <c r="G10" s="2074"/>
      <c r="H10" s="2075"/>
      <c r="I10" s="29"/>
      <c r="J10" s="30"/>
      <c r="K10" s="28"/>
      <c r="R10" s="30"/>
      <c r="S10" s="30"/>
      <c r="T10" s="2067"/>
      <c r="U10" s="2068"/>
      <c r="V10" s="2068"/>
      <c r="W10" s="2068"/>
      <c r="X10" s="2068"/>
      <c r="Y10" s="2068"/>
      <c r="Z10" s="2068"/>
      <c r="AA10" s="2069"/>
    </row>
    <row r="11" spans="1:32" ht="14.25" customHeight="1" x14ac:dyDescent="0.2">
      <c r="A11" s="2076" t="s">
        <v>949</v>
      </c>
      <c r="B11" s="2077"/>
      <c r="C11" s="2077"/>
      <c r="D11" s="2077"/>
      <c r="E11" s="2077"/>
      <c r="F11" s="2077"/>
      <c r="G11" s="2077"/>
      <c r="H11" s="2078"/>
      <c r="I11" s="27"/>
      <c r="J11" s="71"/>
      <c r="K11" s="27"/>
      <c r="O11" s="144" t="s">
        <v>2021</v>
      </c>
      <c r="P11" s="97" t="s">
        <v>199</v>
      </c>
      <c r="Q11" s="30"/>
      <c r="R11" s="28"/>
      <c r="S11" s="27"/>
      <c r="T11" s="2070"/>
      <c r="U11" s="2071"/>
      <c r="V11" s="2071"/>
      <c r="W11" s="2071"/>
      <c r="X11" s="2071"/>
      <c r="Y11" s="2071"/>
      <c r="Z11" s="2071"/>
      <c r="AA11" s="207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1069011026</v>
      </c>
      <c r="B13" s="2085"/>
      <c r="C13" s="2085"/>
      <c r="D13" s="2085"/>
      <c r="E13" s="2085"/>
      <c r="F13" s="2085"/>
      <c r="G13" s="2085"/>
      <c r="H13" s="2086"/>
      <c r="I13" s="31"/>
      <c r="J13" s="30"/>
      <c r="K13" s="28"/>
      <c r="L13" s="30"/>
      <c r="M13" s="30"/>
      <c r="N13" s="30"/>
      <c r="O13" s="30"/>
      <c r="P13" s="30"/>
      <c r="Q13" s="30"/>
      <c r="R13" s="30"/>
      <c r="S13" s="30"/>
      <c r="T13" s="2089" t="s">
        <v>2030</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2" t="s">
        <v>2022</v>
      </c>
      <c r="B15" s="2087"/>
      <c r="C15" s="2087"/>
      <c r="D15" s="2087"/>
      <c r="E15" s="2087"/>
      <c r="F15" s="2087"/>
      <c r="G15" s="2087"/>
      <c r="H15" s="2088"/>
      <c r="T15" s="2050" t="s">
        <v>2031</v>
      </c>
      <c r="U15" s="2051"/>
      <c r="V15" s="2051"/>
      <c r="W15" s="2051"/>
      <c r="X15" s="2051"/>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2" t="s">
        <v>2093</v>
      </c>
      <c r="B17" s="2112"/>
      <c r="C17" s="2112"/>
      <c r="D17" s="2112"/>
      <c r="E17" s="2112"/>
      <c r="F17" s="2112"/>
      <c r="G17" s="2112"/>
      <c r="H17" s="2113"/>
      <c r="T17" s="2099" t="s">
        <v>2032</v>
      </c>
      <c r="U17" s="2100"/>
      <c r="V17" s="2100"/>
      <c r="W17" s="2100"/>
      <c r="X17" s="2100"/>
      <c r="Y17" s="2100"/>
      <c r="Z17" s="2100"/>
      <c r="AA17" s="2101"/>
    </row>
    <row r="18" spans="1:27" ht="13.5" customHeight="1" x14ac:dyDescent="0.2">
      <c r="A18" s="82" t="s">
        <v>527</v>
      </c>
      <c r="B18" s="73"/>
      <c r="C18" s="69"/>
      <c r="D18" s="73"/>
      <c r="E18" s="73"/>
      <c r="F18" s="73"/>
      <c r="G18" s="73"/>
      <c r="H18" s="53"/>
      <c r="I18" s="2109" t="s">
        <v>671</v>
      </c>
      <c r="J18" s="2110"/>
      <c r="K18" s="2110"/>
      <c r="L18" s="2110"/>
      <c r="M18" s="2110"/>
      <c r="N18" s="2110"/>
      <c r="O18" s="2110"/>
      <c r="P18" s="2110"/>
      <c r="Q18" s="2110"/>
      <c r="R18" s="2110"/>
      <c r="S18" s="2111"/>
      <c r="T18" s="82" t="s">
        <v>706</v>
      </c>
      <c r="U18" s="48"/>
      <c r="V18" s="69"/>
      <c r="W18" s="47"/>
      <c r="X18" s="82" t="s">
        <v>264</v>
      </c>
      <c r="Y18" s="78"/>
      <c r="Z18" s="154" t="s">
        <v>672</v>
      </c>
      <c r="AA18" s="44"/>
    </row>
    <row r="19" spans="1:27" ht="13.5" customHeight="1" x14ac:dyDescent="0.2">
      <c r="A19" s="2082" t="s">
        <v>2023</v>
      </c>
      <c r="B19" s="2083"/>
      <c r="C19" s="2083"/>
      <c r="D19" s="2083"/>
      <c r="E19" s="2083"/>
      <c r="F19" s="2083"/>
      <c r="G19" s="2083"/>
      <c r="H19" s="2081"/>
      <c r="I19" s="30"/>
      <c r="J19" s="96"/>
      <c r="K19" s="40"/>
      <c r="L19" s="38"/>
      <c r="M19" s="109" t="s">
        <v>312</v>
      </c>
      <c r="P19" s="27"/>
      <c r="Q19" s="27"/>
      <c r="R19" s="27"/>
      <c r="S19" s="31"/>
      <c r="T19" s="2082" t="s">
        <v>2033</v>
      </c>
      <c r="U19" s="2080"/>
      <c r="V19" s="2080"/>
      <c r="W19" s="2081"/>
      <c r="X19" s="2097" t="s">
        <v>2034</v>
      </c>
      <c r="Y19" s="2098"/>
      <c r="Z19" s="2095">
        <v>62650</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9" t="s">
        <v>2024</v>
      </c>
      <c r="B21" s="2080"/>
      <c r="C21" s="2080"/>
      <c r="D21" s="2080"/>
      <c r="E21" s="2080"/>
      <c r="F21" s="2080"/>
      <c r="G21" s="2080"/>
      <c r="H21" s="2081"/>
      <c r="I21" s="2105" t="s">
        <v>673</v>
      </c>
      <c r="J21" s="2068"/>
      <c r="K21" s="2068"/>
      <c r="L21" s="2068"/>
      <c r="M21" s="2068"/>
      <c r="N21" s="2068"/>
      <c r="O21" s="2068"/>
      <c r="P21" s="2068"/>
      <c r="Q21" s="2068"/>
      <c r="R21" s="2068"/>
      <c r="S21" s="2069"/>
      <c r="T21" s="2047" t="s">
        <v>2035</v>
      </c>
      <c r="U21" s="2048"/>
      <c r="V21" s="2048"/>
      <c r="W21" s="2048"/>
      <c r="X21" s="2061" t="s">
        <v>2036</v>
      </c>
      <c r="Y21" s="2062"/>
      <c r="Z21" s="2062"/>
      <c r="AA21" s="2063"/>
    </row>
    <row r="22" spans="1:27" ht="13.5" customHeight="1" x14ac:dyDescent="0.2">
      <c r="A22" s="84" t="s">
        <v>528</v>
      </c>
      <c r="B22" s="56"/>
      <c r="C22" s="56"/>
      <c r="D22" s="56"/>
      <c r="E22" s="56"/>
      <c r="F22" s="56"/>
      <c r="G22" s="56"/>
      <c r="H22" s="57"/>
      <c r="I22" s="2106" t="s">
        <v>1415</v>
      </c>
      <c r="J22" s="2107"/>
      <c r="K22" s="2107"/>
      <c r="L22" s="2107"/>
      <c r="M22" s="2107"/>
      <c r="N22" s="2107"/>
      <c r="O22" s="2107"/>
      <c r="P22" s="2107"/>
      <c r="Q22" s="2107"/>
      <c r="R22" s="2107"/>
      <c r="S22" s="2108"/>
      <c r="T22" s="82" t="s">
        <v>1502</v>
      </c>
      <c r="U22" s="48"/>
      <c r="V22" s="69"/>
      <c r="W22" s="48"/>
      <c r="X22" s="155" t="s">
        <v>1309</v>
      </c>
      <c r="Z22" s="43"/>
      <c r="AA22" s="44"/>
    </row>
    <row r="23" spans="1:27" ht="13.5" customHeight="1" x14ac:dyDescent="0.2">
      <c r="A23" s="2102" t="s">
        <v>2025</v>
      </c>
      <c r="B23" s="2103"/>
      <c r="C23" s="2103"/>
      <c r="D23" s="2103"/>
      <c r="E23" s="2103"/>
      <c r="F23" s="2103"/>
      <c r="G23" s="2103"/>
      <c r="H23" s="2104"/>
      <c r="T23" s="2042" t="s">
        <v>2037</v>
      </c>
      <c r="U23" s="2043"/>
      <c r="V23" s="2043"/>
      <c r="W23" s="2043"/>
      <c r="X23" s="2058">
        <v>44530</v>
      </c>
      <c r="Y23" s="2059"/>
      <c r="Z23" s="2059"/>
      <c r="AA23" s="2060"/>
    </row>
    <row r="24" spans="1:27" ht="14.1" customHeight="1" x14ac:dyDescent="0.2">
      <c r="A24" s="85" t="s">
        <v>672</v>
      </c>
      <c r="B24" s="46"/>
      <c r="C24" s="46"/>
      <c r="D24" s="46"/>
      <c r="E24" s="46"/>
      <c r="F24" s="46"/>
      <c r="G24" s="46"/>
      <c r="H24" s="58"/>
      <c r="J24" s="2144">
        <f>IF(B5="x",IF(AUDITCHECK!D29="AFR form Incomplete.","",IF(AUDITCHECK!D29="Deficit reduction plan is required.","School District must complete a deficit reduction plan in the 2019-2020 Budget",)),"")</f>
        <v>0</v>
      </c>
      <c r="K24" s="2144"/>
      <c r="L24" s="2144"/>
      <c r="M24" s="2144"/>
      <c r="N24" s="2144"/>
      <c r="O24" s="2144"/>
      <c r="P24" s="2144"/>
      <c r="Q24" s="2144"/>
      <c r="R24" s="2144"/>
      <c r="S24" s="2145"/>
      <c r="T24" s="102" t="s">
        <v>528</v>
      </c>
      <c r="U24" s="103"/>
      <c r="V24" s="103"/>
      <c r="W24" s="103"/>
      <c r="X24" s="104"/>
      <c r="Y24" s="104"/>
      <c r="Z24" s="104"/>
      <c r="AA24" s="105"/>
    </row>
    <row r="25" spans="1:27" ht="14.1" customHeight="1" x14ac:dyDescent="0.2">
      <c r="A25" s="2079">
        <v>62665</v>
      </c>
      <c r="B25" s="2080"/>
      <c r="C25" s="2080"/>
      <c r="D25" s="2080"/>
      <c r="E25" s="2080"/>
      <c r="F25" s="2080"/>
      <c r="G25" s="2080"/>
      <c r="H25" s="2081"/>
      <c r="I25" s="110"/>
      <c r="J25" s="2146"/>
      <c r="K25" s="2146"/>
      <c r="L25" s="2146"/>
      <c r="M25" s="2146"/>
      <c r="N25" s="2146"/>
      <c r="O25" s="2146"/>
      <c r="P25" s="2146"/>
      <c r="Q25" s="2146"/>
      <c r="R25" s="2146"/>
      <c r="S25" s="2147"/>
      <c r="T25" s="2039" t="s">
        <v>2038</v>
      </c>
      <c r="U25" s="2040"/>
      <c r="V25" s="2040"/>
      <c r="W25" s="2040"/>
      <c r="X25" s="2040"/>
      <c r="Y25" s="2040"/>
      <c r="Z25" s="2040"/>
      <c r="AA25" s="20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7" t="s">
        <v>1497</v>
      </c>
      <c r="J27" s="2110"/>
      <c r="K27" s="2110"/>
      <c r="L27" s="2110"/>
      <c r="M27" s="2110"/>
      <c r="N27" s="2110"/>
      <c r="O27" s="2110"/>
      <c r="P27" s="2110"/>
      <c r="Q27" s="2110"/>
      <c r="R27" s="2110"/>
      <c r="S27" s="211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80"/>
      <c r="R35" s="208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2" t="s">
        <v>2026</v>
      </c>
      <c r="B38" s="2112"/>
      <c r="C38" s="2112"/>
      <c r="D38" s="2112"/>
      <c r="E38" s="2112"/>
      <c r="F38" s="2080"/>
      <c r="G38" s="2080"/>
      <c r="H38" s="2081"/>
      <c r="I38" s="2131"/>
      <c r="J38" s="2051"/>
      <c r="K38" s="2051"/>
      <c r="L38" s="2051"/>
      <c r="M38" s="2051"/>
      <c r="N38" s="2051"/>
      <c r="O38" s="2051"/>
      <c r="P38" s="2052"/>
      <c r="Q38" s="2052"/>
      <c r="R38" s="2052"/>
      <c r="S38" s="2053"/>
      <c r="T38" s="2050"/>
      <c r="U38" s="2051"/>
      <c r="V38" s="2051"/>
      <c r="W38" s="2051"/>
      <c r="X38" s="2052"/>
      <c r="Y38" s="2052"/>
      <c r="Z38" s="2052"/>
      <c r="AA38" s="2053"/>
    </row>
    <row r="39" spans="1:27" ht="12" customHeight="1" x14ac:dyDescent="0.2">
      <c r="A39" s="2135" t="s">
        <v>528</v>
      </c>
      <c r="B39" s="2136"/>
      <c r="C39" s="69"/>
      <c r="D39" s="66"/>
      <c r="E39" s="66"/>
      <c r="F39" s="76"/>
      <c r="G39" s="66"/>
      <c r="H39" s="53"/>
      <c r="I39" s="2135" t="s">
        <v>528</v>
      </c>
      <c r="J39" s="2136"/>
      <c r="K39" s="2136"/>
      <c r="L39" s="2136"/>
      <c r="M39" s="2136"/>
      <c r="N39" s="64"/>
      <c r="O39" s="69"/>
      <c r="P39" s="69"/>
      <c r="Q39" s="75"/>
      <c r="R39" s="69"/>
      <c r="S39" s="53"/>
      <c r="T39" s="69" t="s">
        <v>528</v>
      </c>
      <c r="U39" s="48"/>
      <c r="V39" s="69"/>
      <c r="W39" s="47"/>
      <c r="X39" s="75"/>
      <c r="Y39" s="43"/>
      <c r="Z39" s="43"/>
      <c r="AA39" s="44"/>
    </row>
    <row r="40" spans="1:27" ht="13.5" customHeight="1" x14ac:dyDescent="0.2">
      <c r="A40" s="2138" t="s">
        <v>2027</v>
      </c>
      <c r="B40" s="2139"/>
      <c r="C40" s="2140"/>
      <c r="D40" s="2140"/>
      <c r="E40" s="2140"/>
      <c r="F40" s="2141"/>
      <c r="G40" s="2141"/>
      <c r="H40" s="2142"/>
      <c r="I40" s="2054"/>
      <c r="J40" s="2056"/>
      <c r="K40" s="2056"/>
      <c r="L40" s="2056"/>
      <c r="M40" s="2056"/>
      <c r="N40" s="2056"/>
      <c r="O40" s="2056"/>
      <c r="P40" s="2056"/>
      <c r="Q40" s="2056"/>
      <c r="R40" s="2056"/>
      <c r="S40" s="2057"/>
      <c r="T40" s="2054"/>
      <c r="U40" s="2055"/>
      <c r="V40" s="2056"/>
      <c r="W40" s="2056"/>
      <c r="X40" s="2056"/>
      <c r="Y40" s="2056"/>
      <c r="Z40" s="2056"/>
      <c r="AA40" s="205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8" t="s">
        <v>2028</v>
      </c>
      <c r="B42" s="2129"/>
      <c r="C42" s="2130"/>
      <c r="D42" s="2143" t="s">
        <v>2029</v>
      </c>
      <c r="E42" s="2129"/>
      <c r="F42" s="2129"/>
      <c r="G42" s="2129"/>
      <c r="H42" s="2130"/>
      <c r="I42" s="2049"/>
      <c r="J42" s="2045"/>
      <c r="K42" s="2045"/>
      <c r="L42" s="2045"/>
      <c r="M42" s="2045"/>
      <c r="N42" s="2045"/>
      <c r="O42" s="2046"/>
      <c r="P42" s="2044"/>
      <c r="Q42" s="2045"/>
      <c r="R42" s="2045"/>
      <c r="S42" s="2046"/>
      <c r="T42" s="2049"/>
      <c r="U42" s="2045"/>
      <c r="V42" s="2045"/>
      <c r="W42" s="2046"/>
      <c r="X42" s="2044"/>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2"/>
      <c r="B44" s="2133"/>
      <c r="C44" s="2133"/>
      <c r="D44" s="2133"/>
      <c r="E44" s="2133"/>
      <c r="F44" s="2133"/>
      <c r="G44" s="2133"/>
      <c r="H44" s="2134"/>
      <c r="I44" s="2124"/>
      <c r="J44" s="2126"/>
      <c r="K44" s="2126"/>
      <c r="L44" s="2126"/>
      <c r="M44" s="2126"/>
      <c r="N44" s="2126"/>
      <c r="O44" s="2126"/>
      <c r="P44" s="2126"/>
      <c r="Q44" s="2126"/>
      <c r="R44" s="2126"/>
      <c r="S44" s="2127"/>
      <c r="T44" s="2124"/>
      <c r="U44" s="2125"/>
      <c r="V44" s="2125"/>
      <c r="W44" s="2125"/>
      <c r="X44" s="2125"/>
      <c r="Y44" s="2125"/>
      <c r="Z44" s="2126"/>
      <c r="AA44" s="212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FF00"/>
  </sheetPr>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6"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7"/>
      <c r="B3" s="1293"/>
      <c r="C3" s="1294"/>
      <c r="D3" s="1295" t="s">
        <v>254</v>
      </c>
      <c r="E3" s="1294"/>
      <c r="F3" s="1295" t="s">
        <v>255</v>
      </c>
    </row>
    <row r="4" spans="1:8" ht="13.7" customHeight="1" x14ac:dyDescent="0.2">
      <c r="A4" s="579" t="s">
        <v>1147</v>
      </c>
      <c r="B4" s="1720">
        <f>'Revenues 9-14'!C5</f>
        <v>922486</v>
      </c>
      <c r="C4" s="1721">
        <v>215425</v>
      </c>
      <c r="D4" s="1722">
        <f>B4-C4</f>
        <v>707061</v>
      </c>
      <c r="E4" s="1721">
        <v>720732</v>
      </c>
      <c r="F4" s="1722">
        <f>E4-C4</f>
        <v>505307</v>
      </c>
    </row>
    <row r="5" spans="1:8" ht="13.7" customHeight="1" x14ac:dyDescent="0.2">
      <c r="A5" s="579" t="s">
        <v>865</v>
      </c>
      <c r="B5" s="1723">
        <f>'Revenues 9-14'!D5</f>
        <v>167736</v>
      </c>
      <c r="C5" s="1663">
        <v>39168</v>
      </c>
      <c r="D5" s="1724">
        <f t="shared" ref="D5:D18" si="0">B5-C5</f>
        <v>128568</v>
      </c>
      <c r="E5" s="1663">
        <v>131042</v>
      </c>
      <c r="F5" s="1724">
        <f>E5-C5</f>
        <v>91874</v>
      </c>
    </row>
    <row r="6" spans="1:8" ht="13.7" customHeight="1" x14ac:dyDescent="0.2">
      <c r="A6" s="579" t="s">
        <v>408</v>
      </c>
      <c r="B6" s="1723">
        <f>'Revenues 9-14'!E5</f>
        <v>217389</v>
      </c>
      <c r="C6" s="1663">
        <v>51749</v>
      </c>
      <c r="D6" s="1724">
        <f t="shared" si="0"/>
        <v>165640</v>
      </c>
      <c r="E6" s="1663">
        <v>167089</v>
      </c>
      <c r="F6" s="1724">
        <f t="shared" ref="F6:F18" si="1">E6-C6</f>
        <v>115340</v>
      </c>
    </row>
    <row r="7" spans="1:8" ht="13.7" customHeight="1" x14ac:dyDescent="0.2">
      <c r="A7" s="579" t="s">
        <v>154</v>
      </c>
      <c r="B7" s="1723">
        <f>'Revenues 9-14'!F5</f>
        <v>67070</v>
      </c>
      <c r="C7" s="1663">
        <v>15667</v>
      </c>
      <c r="D7" s="1724">
        <f t="shared" si="0"/>
        <v>51403</v>
      </c>
      <c r="E7" s="1663">
        <v>52417</v>
      </c>
      <c r="F7" s="1724">
        <f t="shared" si="1"/>
        <v>36750</v>
      </c>
    </row>
    <row r="8" spans="1:8" ht="13.7" customHeight="1" x14ac:dyDescent="0.2">
      <c r="A8" s="579" t="s">
        <v>1171</v>
      </c>
      <c r="B8" s="1723">
        <f>'Revenues 9-14'!G5</f>
        <v>59522</v>
      </c>
      <c r="C8" s="1663">
        <v>13937</v>
      </c>
      <c r="D8" s="1724">
        <f t="shared" si="0"/>
        <v>45585</v>
      </c>
      <c r="E8" s="1663">
        <v>45000</v>
      </c>
      <c r="F8" s="1724">
        <f t="shared" si="1"/>
        <v>31063</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16768</v>
      </c>
      <c r="C10" s="1663">
        <v>3917</v>
      </c>
      <c r="D10" s="1724">
        <f t="shared" si="0"/>
        <v>12851</v>
      </c>
      <c r="E10" s="1663">
        <v>13104</v>
      </c>
      <c r="F10" s="1724">
        <f t="shared" si="1"/>
        <v>9187</v>
      </c>
    </row>
    <row r="11" spans="1:8" x14ac:dyDescent="0.2">
      <c r="A11" s="579" t="s">
        <v>406</v>
      </c>
      <c r="B11" s="1723">
        <f>'Revenues 9-14'!J5</f>
        <v>359057</v>
      </c>
      <c r="C11" s="1663">
        <v>82227</v>
      </c>
      <c r="D11" s="1724">
        <f t="shared" si="0"/>
        <v>276830</v>
      </c>
      <c r="E11" s="1663">
        <v>265499</v>
      </c>
      <c r="F11" s="1724">
        <f t="shared" si="1"/>
        <v>183272</v>
      </c>
    </row>
    <row r="12" spans="1:8" ht="13.7" customHeight="1" x14ac:dyDescent="0.2">
      <c r="A12" s="579" t="s">
        <v>156</v>
      </c>
      <c r="B12" s="1723">
        <f>'Revenues 9-14'!K5</f>
        <v>16768</v>
      </c>
      <c r="C12" s="1663">
        <v>3917</v>
      </c>
      <c r="D12" s="1724">
        <f t="shared" si="0"/>
        <v>12851</v>
      </c>
      <c r="E12" s="1663">
        <v>13105</v>
      </c>
      <c r="F12" s="1724">
        <f t="shared" si="1"/>
        <v>9188</v>
      </c>
    </row>
    <row r="13" spans="1:8" ht="13.7" customHeight="1" x14ac:dyDescent="0.2">
      <c r="A13" s="579" t="s">
        <v>930</v>
      </c>
      <c r="B13" s="1723">
        <f>SUM('Revenues 9-14'!C6:D6)</f>
        <v>16768</v>
      </c>
      <c r="C13" s="1663">
        <v>3917</v>
      </c>
      <c r="D13" s="1724">
        <f t="shared" si="0"/>
        <v>12851</v>
      </c>
      <c r="E13" s="1663">
        <v>13105</v>
      </c>
      <c r="F13" s="1724">
        <f t="shared" si="1"/>
        <v>9188</v>
      </c>
    </row>
    <row r="14" spans="1:8" ht="13.7" customHeight="1" x14ac:dyDescent="0.2">
      <c r="A14" s="579" t="s">
        <v>407</v>
      </c>
      <c r="B14" s="1723">
        <f>SUM('Revenues 9-14'!C7:D7,'Revenues 9-14'!F7:H7)</f>
        <v>13421</v>
      </c>
      <c r="C14" s="1663">
        <v>3133</v>
      </c>
      <c r="D14" s="1724">
        <f t="shared" si="0"/>
        <v>10288</v>
      </c>
      <c r="E14" s="1663">
        <v>10483</v>
      </c>
      <c r="F14" s="1724">
        <f t="shared" si="1"/>
        <v>7350</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80683</v>
      </c>
      <c r="C16" s="1663">
        <v>18892</v>
      </c>
      <c r="D16" s="1724">
        <f t="shared" si="0"/>
        <v>61791</v>
      </c>
      <c r="E16" s="1663">
        <v>61000</v>
      </c>
      <c r="F16" s="1724">
        <f t="shared" si="1"/>
        <v>42108</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1153</v>
      </c>
      <c r="B19" s="1725">
        <f>SUM(B4:B18)</f>
        <v>1937668</v>
      </c>
      <c r="C19" s="1725">
        <f>SUM(C4:C18)</f>
        <v>451949</v>
      </c>
      <c r="D19" s="1725">
        <f>SUM(D4:D18)</f>
        <v>1485719</v>
      </c>
      <c r="E19" s="1725">
        <f>SUM(E4:E18)</f>
        <v>1492576</v>
      </c>
      <c r="F19" s="1725">
        <f>SUM(F4:F18)</f>
        <v>1040627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FF00"/>
    <pageSetUpPr fitToPage="1"/>
  </sheetPr>
  <dimension ref="A1:K59"/>
  <sheetViews>
    <sheetView showGridLines="0" defaultGridColor="0" colorId="8" zoomScale="110" zoomScaleNormal="110" workbookViewId="0">
      <selection activeCell="D34" sqref="D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3"/>
      <c r="C1" s="585"/>
    </row>
    <row r="2" spans="1:7" ht="33.75" x14ac:dyDescent="0.2">
      <c r="A2" s="2301" t="s">
        <v>1782</v>
      </c>
      <c r="B2" s="2302"/>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5" t="s">
        <v>1106</v>
      </c>
      <c r="B3" s="2306"/>
      <c r="C3" s="2294"/>
      <c r="D3" s="2295"/>
      <c r="E3" s="2295"/>
      <c r="F3" s="2296"/>
    </row>
    <row r="4" spans="1:7" ht="12.75" customHeight="1" thickBot="1" x14ac:dyDescent="0.25">
      <c r="A4" s="2303" t="s">
        <v>626</v>
      </c>
      <c r="B4" s="2304"/>
      <c r="C4" s="1655"/>
      <c r="D4" s="1655"/>
      <c r="E4" s="1655"/>
      <c r="F4" s="1731">
        <f>SUM(C4+D4)-E4</f>
        <v>0</v>
      </c>
    </row>
    <row r="5" spans="1:7" ht="15.75" customHeight="1" thickTop="1" x14ac:dyDescent="0.2">
      <c r="A5" s="2288" t="s">
        <v>1103</v>
      </c>
      <c r="B5" s="2289"/>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0" t="s">
        <v>627</v>
      </c>
      <c r="B15" s="2291"/>
      <c r="C15" s="1731">
        <f>SUM(C6:C14)</f>
        <v>0</v>
      </c>
      <c r="D15" s="1731">
        <f>SUM(D6:D14)</f>
        <v>0</v>
      </c>
      <c r="E15" s="1731">
        <f>SUM(E6:E14)</f>
        <v>0</v>
      </c>
      <c r="F15" s="1731">
        <f>SUM(F6:F14)</f>
        <v>0</v>
      </c>
      <c r="G15" s="473"/>
    </row>
    <row r="16" spans="1:7" s="197" customFormat="1" ht="15.75" customHeight="1" thickTop="1" x14ac:dyDescent="0.2">
      <c r="A16" s="2300" t="s">
        <v>1104</v>
      </c>
      <c r="B16" s="2289"/>
      <c r="C16" s="2297"/>
      <c r="D16" s="2298"/>
      <c r="E16" s="2298"/>
      <c r="F16" s="2299"/>
    </row>
    <row r="17" spans="1:11" ht="12.75" customHeight="1" thickBot="1" x14ac:dyDescent="0.25">
      <c r="A17" s="2313" t="s">
        <v>64</v>
      </c>
      <c r="B17" s="2314"/>
      <c r="C17" s="1732"/>
      <c r="D17" s="1663"/>
      <c r="E17" s="1732"/>
      <c r="F17" s="1731">
        <f>SUM(C17+D17)-E17</f>
        <v>0</v>
      </c>
    </row>
    <row r="18" spans="1:11" ht="12.75" customHeight="1" thickTop="1" thickBot="1" x14ac:dyDescent="0.25">
      <c r="A18" s="2313" t="s">
        <v>6</v>
      </c>
      <c r="B18" s="2314"/>
      <c r="C18" s="1732"/>
      <c r="D18" s="1663"/>
      <c r="E18" s="1732"/>
      <c r="F18" s="1731">
        <f>SUM(C18+D18)-E18</f>
        <v>0</v>
      </c>
    </row>
    <row r="19" spans="1:11" ht="12.75" customHeight="1" thickTop="1" thickBot="1" x14ac:dyDescent="0.25">
      <c r="A19" s="2313" t="s">
        <v>385</v>
      </c>
      <c r="B19" s="2314"/>
      <c r="C19" s="1732"/>
      <c r="D19" s="1663"/>
      <c r="E19" s="1732"/>
      <c r="F19" s="1731">
        <f>SUM(C19+D19)-E19</f>
        <v>0</v>
      </c>
    </row>
    <row r="20" spans="1:11" ht="12.75" customHeight="1" thickTop="1" thickBot="1" x14ac:dyDescent="0.25">
      <c r="A20" s="2313" t="s">
        <v>445</v>
      </c>
      <c r="B20" s="2314"/>
      <c r="C20" s="1732"/>
      <c r="D20" s="1663"/>
      <c r="E20" s="1732"/>
      <c r="F20" s="1731">
        <f>SUM(C20+D20)-E20</f>
        <v>0</v>
      </c>
    </row>
    <row r="21" spans="1:11" ht="14.25" thickTop="1" thickBot="1" x14ac:dyDescent="0.25">
      <c r="A21" s="2290" t="s">
        <v>628</v>
      </c>
      <c r="B21" s="2291"/>
      <c r="C21" s="1731">
        <f>SUM(C17:C20)</f>
        <v>0</v>
      </c>
      <c r="D21" s="1731">
        <f>SUM(D17:D20)</f>
        <v>0</v>
      </c>
      <c r="E21" s="1731">
        <f>SUM(E17:E20)</f>
        <v>0</v>
      </c>
      <c r="F21" s="1731">
        <f>SUM(F17:F20)</f>
        <v>0</v>
      </c>
      <c r="G21" s="473"/>
    </row>
    <row r="22" spans="1:11" ht="15.75" customHeight="1" thickTop="1" x14ac:dyDescent="0.2">
      <c r="A22" s="2315" t="s">
        <v>1105</v>
      </c>
      <c r="B22" s="2289"/>
      <c r="C22" s="2297"/>
      <c r="D22" s="2298"/>
      <c r="E22" s="2298"/>
      <c r="F22" s="2299"/>
    </row>
    <row r="23" spans="1:11" ht="13.5" thickBot="1" x14ac:dyDescent="0.25">
      <c r="A23" s="2303" t="s">
        <v>629</v>
      </c>
      <c r="B23" s="2304"/>
      <c r="C23" s="1655"/>
      <c r="D23" s="1655"/>
      <c r="E23" s="1655"/>
      <c r="F23" s="1731">
        <f>SUM(C23+D23)-E23</f>
        <v>0</v>
      </c>
      <c r="G23" s="473"/>
    </row>
    <row r="24" spans="1:11" ht="15.75" customHeight="1" thickTop="1" x14ac:dyDescent="0.2">
      <c r="A24" s="2315" t="s">
        <v>2009</v>
      </c>
      <c r="B24" s="2289"/>
      <c r="C24" s="2297"/>
      <c r="D24" s="2298"/>
      <c r="E24" s="2298"/>
      <c r="F24" s="2299"/>
    </row>
    <row r="25" spans="1:11" ht="13.5" thickBot="1" x14ac:dyDescent="0.25">
      <c r="A25" s="2303" t="s">
        <v>2010</v>
      </c>
      <c r="B25" s="2304"/>
      <c r="C25" s="1655"/>
      <c r="D25" s="1655"/>
      <c r="E25" s="1655"/>
      <c r="F25" s="1731">
        <f>SUM(C25+D25)-E25</f>
        <v>0</v>
      </c>
      <c r="G25" s="473"/>
    </row>
    <row r="26" spans="1:11" ht="15.75" customHeight="1" thickTop="1" x14ac:dyDescent="0.2">
      <c r="A26" s="2288" t="s">
        <v>652</v>
      </c>
      <c r="B26" s="2289"/>
      <c r="C26" s="589"/>
      <c r="D26" s="589"/>
      <c r="E26" s="589"/>
      <c r="F26" s="590"/>
    </row>
    <row r="27" spans="1:11" ht="13.5" thickBot="1" x14ac:dyDescent="0.25">
      <c r="A27" s="2290" t="s">
        <v>1063</v>
      </c>
      <c r="B27" s="2291"/>
      <c r="C27" s="1663"/>
      <c r="D27" s="1663"/>
      <c r="E27" s="1663"/>
      <c r="F27" s="1731">
        <f>SUM(C27+D27)-E27</f>
        <v>0</v>
      </c>
      <c r="G27" s="473"/>
    </row>
    <row r="28" spans="1:11" ht="7.5" customHeight="1" thickTop="1" x14ac:dyDescent="0.2">
      <c r="A28" s="489"/>
    </row>
    <row r="29" spans="1:11" ht="23.25" customHeight="1" x14ac:dyDescent="0.2">
      <c r="A29" s="2316" t="s">
        <v>578</v>
      </c>
      <c r="B29" s="2293"/>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2042</v>
      </c>
      <c r="B31" s="595">
        <v>42185</v>
      </c>
      <c r="C31" s="1733">
        <v>500000</v>
      </c>
      <c r="D31" s="1734">
        <v>1</v>
      </c>
      <c r="E31" s="1733">
        <v>60000</v>
      </c>
      <c r="F31" s="1733"/>
      <c r="G31" s="1733"/>
      <c r="H31" s="1733">
        <v>60000</v>
      </c>
      <c r="I31" s="1735">
        <f>((E31+F31)-H31)+G31</f>
        <v>0</v>
      </c>
      <c r="J31" s="1733"/>
      <c r="K31" s="596"/>
    </row>
    <row r="32" spans="1:11" ht="12" customHeight="1" x14ac:dyDescent="0.2">
      <c r="A32" s="594" t="s">
        <v>2039</v>
      </c>
      <c r="B32" s="595">
        <v>43077</v>
      </c>
      <c r="C32" s="1733">
        <v>18669</v>
      </c>
      <c r="D32" s="1734">
        <v>7</v>
      </c>
      <c r="E32" s="1733">
        <v>6223</v>
      </c>
      <c r="F32" s="1733"/>
      <c r="G32" s="1733"/>
      <c r="H32" s="1733">
        <v>6223</v>
      </c>
      <c r="I32" s="1735">
        <f>((E32+F32)-H32)+G32</f>
        <v>0</v>
      </c>
      <c r="J32" s="1733"/>
      <c r="K32" s="596"/>
    </row>
    <row r="33" spans="1:11" ht="12" customHeight="1" x14ac:dyDescent="0.2">
      <c r="A33" s="594" t="s">
        <v>2040</v>
      </c>
      <c r="B33" s="595">
        <v>43531</v>
      </c>
      <c r="C33" s="1733">
        <v>300000</v>
      </c>
      <c r="D33" s="1734">
        <v>1</v>
      </c>
      <c r="E33" s="1733">
        <v>300000</v>
      </c>
      <c r="F33" s="1733"/>
      <c r="G33" s="1733"/>
      <c r="H33" s="1733">
        <v>85000</v>
      </c>
      <c r="I33" s="1735">
        <f t="shared" ref="I33:I48" si="1">((E33+F33)-H33)+G33</f>
        <v>215000</v>
      </c>
      <c r="J33" s="1733">
        <f>215000-113568</f>
        <v>101432</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818669</v>
      </c>
      <c r="D49" s="1741"/>
      <c r="E49" s="1735">
        <f t="shared" ref="E49:J49" si="2">SUM(E31:E48)</f>
        <v>366223</v>
      </c>
      <c r="F49" s="1735">
        <f t="shared" si="2"/>
        <v>0</v>
      </c>
      <c r="G49" s="1735">
        <f t="shared" si="2"/>
        <v>0</v>
      </c>
      <c r="H49" s="1735">
        <f t="shared" si="2"/>
        <v>151223</v>
      </c>
      <c r="I49" s="1735">
        <f t="shared" si="2"/>
        <v>215000</v>
      </c>
      <c r="J49" s="1735">
        <f t="shared" si="2"/>
        <v>101432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7" t="s">
        <v>580</v>
      </c>
      <c r="C52" s="2308"/>
      <c r="D52" s="2308"/>
      <c r="E52" s="603" t="s">
        <v>840</v>
      </c>
      <c r="F52" s="2309" t="s">
        <v>2041</v>
      </c>
      <c r="G52" s="2310"/>
      <c r="H52" s="596"/>
      <c r="I52" s="596"/>
      <c r="J52" s="600"/>
    </row>
    <row r="53" spans="1:11" ht="11.25" customHeight="1" x14ac:dyDescent="0.2">
      <c r="A53" s="604" t="s">
        <v>907</v>
      </c>
      <c r="B53" s="605" t="s">
        <v>945</v>
      </c>
      <c r="C53" s="600"/>
      <c r="D53" s="597"/>
      <c r="E53" s="603" t="s">
        <v>494</v>
      </c>
      <c r="F53" s="2311"/>
      <c r="G53" s="2312"/>
      <c r="H53" s="596"/>
      <c r="I53" s="596"/>
      <c r="J53" s="600"/>
    </row>
    <row r="54" spans="1:11" ht="11.25" customHeight="1" x14ac:dyDescent="0.2">
      <c r="A54" s="606" t="s">
        <v>908</v>
      </c>
      <c r="B54" s="601" t="s">
        <v>946</v>
      </c>
      <c r="C54" s="600"/>
      <c r="D54" s="597"/>
      <c r="E54" s="603" t="s">
        <v>495</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FF00"/>
  </sheetPr>
  <dimension ref="A1:O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7"/>
      <c r="I1" s="614"/>
      <c r="J1" s="400"/>
    </row>
    <row r="2" spans="1:11" ht="26.25" x14ac:dyDescent="0.2">
      <c r="A2" s="2320" t="s">
        <v>1661</v>
      </c>
      <c r="B2" s="2321"/>
      <c r="C2" s="2321"/>
      <c r="D2" s="2321"/>
      <c r="E2" s="2322"/>
      <c r="F2" s="615" t="s">
        <v>898</v>
      </c>
      <c r="G2" s="616" t="s">
        <v>1658</v>
      </c>
      <c r="H2" s="616" t="s">
        <v>407</v>
      </c>
      <c r="I2" s="616" t="s">
        <v>1150</v>
      </c>
      <c r="J2" s="616" t="s">
        <v>1792</v>
      </c>
      <c r="K2" s="616" t="s">
        <v>137</v>
      </c>
    </row>
    <row r="3" spans="1:11" x14ac:dyDescent="0.2">
      <c r="A3" s="2323" t="str">
        <f>"Cash Basis Fund Balance as of July 1, "&amp;'AFR20'!E2-1</f>
        <v>Cash Basis Fund Balance as of July 1, 2019</v>
      </c>
      <c r="B3" s="2324"/>
      <c r="C3" s="2324"/>
      <c r="D3" s="2324"/>
      <c r="E3" s="2325"/>
      <c r="F3" s="617"/>
      <c r="G3" s="1743"/>
      <c r="H3" s="1743"/>
      <c r="I3" s="1743"/>
      <c r="J3" s="1744">
        <v>223723</v>
      </c>
      <c r="K3" s="1744"/>
    </row>
    <row r="4" spans="1:11" x14ac:dyDescent="0.2">
      <c r="A4" s="2326" t="s">
        <v>366</v>
      </c>
      <c r="B4" s="2327"/>
      <c r="C4" s="2327"/>
      <c r="D4" s="2327"/>
      <c r="E4" s="2308"/>
      <c r="F4" s="620"/>
      <c r="G4" s="1745"/>
      <c r="H4" s="1746"/>
      <c r="I4" s="1745"/>
      <c r="J4" s="1747"/>
      <c r="K4" s="1747"/>
    </row>
    <row r="5" spans="1:11" x14ac:dyDescent="0.2">
      <c r="A5" s="2346" t="s">
        <v>1062</v>
      </c>
      <c r="B5" s="2317"/>
      <c r="C5" s="2317"/>
      <c r="D5" s="2317"/>
      <c r="E5" s="2347"/>
      <c r="F5" s="622" t="s">
        <v>843</v>
      </c>
      <c r="G5" s="1748"/>
      <c r="H5" s="1743">
        <v>13421</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1510</v>
      </c>
    </row>
    <row r="8" spans="1:11" x14ac:dyDescent="0.2">
      <c r="A8" s="629" t="s">
        <v>342</v>
      </c>
      <c r="B8" s="630"/>
      <c r="C8" s="630"/>
      <c r="D8" s="630"/>
      <c r="E8" s="631"/>
      <c r="F8" s="622" t="s">
        <v>846</v>
      </c>
      <c r="G8" s="1752"/>
      <c r="H8" s="1752"/>
      <c r="I8" s="1752"/>
      <c r="J8" s="1744">
        <v>126344</v>
      </c>
      <c r="K8" s="1747"/>
    </row>
    <row r="9" spans="1:11" x14ac:dyDescent="0.2">
      <c r="A9" s="629" t="s">
        <v>137</v>
      </c>
      <c r="B9" s="630"/>
      <c r="C9" s="630"/>
      <c r="D9" s="630"/>
      <c r="E9" s="631"/>
      <c r="F9" s="628" t="s">
        <v>848</v>
      </c>
      <c r="G9" s="1752"/>
      <c r="H9" s="1748"/>
      <c r="I9" s="1748"/>
      <c r="J9" s="1751"/>
      <c r="K9" s="1744">
        <v>2114</v>
      </c>
    </row>
    <row r="10" spans="1:11" x14ac:dyDescent="0.2">
      <c r="A10" s="2346" t="s">
        <v>1793</v>
      </c>
      <c r="B10" s="2317"/>
      <c r="C10" s="2317"/>
      <c r="D10" s="2317"/>
      <c r="E10" s="2348"/>
      <c r="F10" s="633" t="s">
        <v>857</v>
      </c>
      <c r="G10" s="1752"/>
      <c r="H10" s="1753"/>
      <c r="I10" s="1743"/>
      <c r="J10" s="1744">
        <v>5400</v>
      </c>
      <c r="K10" s="1744"/>
    </row>
    <row r="11" spans="1:11" x14ac:dyDescent="0.2">
      <c r="A11" s="2346" t="s">
        <v>159</v>
      </c>
      <c r="B11" s="2317"/>
      <c r="C11" s="2317"/>
      <c r="D11" s="2317"/>
      <c r="E11" s="2347"/>
      <c r="F11" s="622" t="s">
        <v>847</v>
      </c>
      <c r="G11" s="1748"/>
      <c r="H11" s="1743"/>
      <c r="I11" s="1743"/>
      <c r="J11" s="1744"/>
      <c r="K11" s="1750"/>
    </row>
    <row r="12" spans="1:11" ht="13.5" thickBot="1" x14ac:dyDescent="0.25">
      <c r="A12" s="2334" t="s">
        <v>899</v>
      </c>
      <c r="B12" s="2335"/>
      <c r="C12" s="2335"/>
      <c r="D12" s="2335"/>
      <c r="E12" s="2336"/>
      <c r="F12" s="1432"/>
      <c r="G12" s="1754">
        <f>SUM(G5:G11)</f>
        <v>0</v>
      </c>
      <c r="H12" s="1754">
        <f>SUM(H5:H11)</f>
        <v>13421</v>
      </c>
      <c r="I12" s="1754">
        <f>SUM(I5:I11)</f>
        <v>0</v>
      </c>
      <c r="J12" s="1754">
        <f>SUM(J5:J11)</f>
        <v>131744</v>
      </c>
      <c r="K12" s="1754">
        <f>SUM(K5:K11)</f>
        <v>3624</v>
      </c>
    </row>
    <row r="13" spans="1:11" ht="13.5" thickTop="1" x14ac:dyDescent="0.2">
      <c r="A13" s="2328" t="s">
        <v>367</v>
      </c>
      <c r="B13" s="2329"/>
      <c r="C13" s="2329"/>
      <c r="D13" s="2329"/>
      <c r="E13" s="2330"/>
      <c r="F13" s="634"/>
      <c r="G13" s="1755"/>
      <c r="H13" s="1756"/>
      <c r="I13" s="1757"/>
      <c r="J13" s="1757"/>
      <c r="K13" s="1757"/>
    </row>
    <row r="14" spans="1:11" x14ac:dyDescent="0.2">
      <c r="A14" s="2352" t="s">
        <v>453</v>
      </c>
      <c r="B14" s="2352"/>
      <c r="C14" s="2352"/>
      <c r="D14" s="2352"/>
      <c r="E14" s="2353"/>
      <c r="F14" s="635" t="s">
        <v>849</v>
      </c>
      <c r="G14" s="1752"/>
      <c r="H14" s="1743">
        <v>13421</v>
      </c>
      <c r="I14" s="1748"/>
      <c r="J14" s="1750"/>
      <c r="K14" s="1744">
        <v>3624</v>
      </c>
    </row>
    <row r="15" spans="1:11" x14ac:dyDescent="0.2">
      <c r="A15" s="2317" t="s">
        <v>4</v>
      </c>
      <c r="B15" s="2317"/>
      <c r="C15" s="2317"/>
      <c r="D15" s="2317"/>
      <c r="E15" s="2347"/>
      <c r="F15" s="635" t="s">
        <v>850</v>
      </c>
      <c r="G15" s="1748"/>
      <c r="H15" s="1743"/>
      <c r="I15" s="1743"/>
      <c r="J15" s="1744">
        <v>206298</v>
      </c>
      <c r="K15" s="1744"/>
    </row>
    <row r="16" spans="1:11" x14ac:dyDescent="0.2">
      <c r="A16" s="2317" t="s">
        <v>295</v>
      </c>
      <c r="B16" s="2317"/>
      <c r="C16" s="2317"/>
      <c r="D16" s="2317"/>
      <c r="E16" s="2347"/>
      <c r="F16" s="635" t="s">
        <v>917</v>
      </c>
      <c r="G16" s="1749"/>
      <c r="H16" s="1745"/>
      <c r="I16" s="1745"/>
      <c r="J16" s="1747"/>
      <c r="K16" s="1747"/>
    </row>
    <row r="17" spans="1:15" x14ac:dyDescent="0.2">
      <c r="A17" s="2341" t="s">
        <v>929</v>
      </c>
      <c r="B17" s="2341"/>
      <c r="C17" s="2341"/>
      <c r="D17" s="2341"/>
      <c r="E17" s="2342"/>
      <c r="F17" s="636"/>
      <c r="G17" s="1758"/>
      <c r="H17" s="1759"/>
      <c r="I17" s="1759"/>
      <c r="J17" s="1760"/>
      <c r="K17" s="1761"/>
    </row>
    <row r="18" spans="1:15" x14ac:dyDescent="0.2">
      <c r="A18" s="2331" t="s">
        <v>365</v>
      </c>
      <c r="B18" s="2332"/>
      <c r="C18" s="2332"/>
      <c r="D18" s="2332"/>
      <c r="E18" s="2333"/>
      <c r="F18" s="635" t="s">
        <v>926</v>
      </c>
      <c r="G18" s="1752"/>
      <c r="H18" s="1752"/>
      <c r="I18" s="1752"/>
      <c r="J18" s="1744"/>
      <c r="K18" s="1762"/>
    </row>
    <row r="19" spans="1:15" ht="21.75" customHeight="1" x14ac:dyDescent="0.2">
      <c r="A19" s="2354" t="s">
        <v>1789</v>
      </c>
      <c r="B19" s="2354"/>
      <c r="C19" s="2354"/>
      <c r="D19" s="2354"/>
      <c r="E19" s="2355"/>
      <c r="F19" s="635" t="s">
        <v>927</v>
      </c>
      <c r="G19" s="1752"/>
      <c r="H19" s="1752"/>
      <c r="I19" s="1752"/>
      <c r="J19" s="1744"/>
      <c r="K19" s="1762"/>
    </row>
    <row r="20" spans="1:15" x14ac:dyDescent="0.2">
      <c r="A20" s="2331" t="s">
        <v>1794</v>
      </c>
      <c r="B20" s="2332"/>
      <c r="C20" s="2332"/>
      <c r="D20" s="2332"/>
      <c r="E20" s="2333"/>
      <c r="F20" s="635" t="s">
        <v>928</v>
      </c>
      <c r="G20" s="1752"/>
      <c r="H20" s="1752"/>
      <c r="I20" s="1752"/>
      <c r="J20" s="1744"/>
      <c r="K20" s="1762"/>
    </row>
    <row r="21" spans="1:15" ht="13.5" thickBot="1" x14ac:dyDescent="0.25">
      <c r="A21" s="2337" t="s">
        <v>633</v>
      </c>
      <c r="B21" s="2337"/>
      <c r="C21" s="2337"/>
      <c r="D21" s="2337"/>
      <c r="E21" s="2337"/>
      <c r="F21" s="1433"/>
      <c r="G21" s="1759"/>
      <c r="H21" s="1763"/>
      <c r="I21" s="1763"/>
      <c r="J21" s="1764">
        <f>SUM(J18:J20)</f>
        <v>0</v>
      </c>
      <c r="K21" s="1760"/>
    </row>
    <row r="22" spans="1:15" ht="13.5" thickTop="1" x14ac:dyDescent="0.2">
      <c r="A22" s="2317" t="s">
        <v>1795</v>
      </c>
      <c r="B22" s="2317"/>
      <c r="C22" s="2317"/>
      <c r="D22" s="2317"/>
      <c r="E22" s="2347"/>
      <c r="F22" s="635" t="s">
        <v>857</v>
      </c>
      <c r="G22" s="1752"/>
      <c r="H22" s="1743"/>
      <c r="I22" s="1743"/>
      <c r="J22" s="1765"/>
      <c r="K22" s="1744"/>
    </row>
    <row r="23" spans="1:15" ht="13.5" thickBot="1" x14ac:dyDescent="0.25">
      <c r="A23" s="2338" t="s">
        <v>900</v>
      </c>
      <c r="B23" s="2337"/>
      <c r="C23" s="2337"/>
      <c r="D23" s="2337"/>
      <c r="E23" s="2337"/>
      <c r="F23" s="1435"/>
      <c r="G23" s="1754">
        <f>SUM(G14:G16,G21,G22)</f>
        <v>0</v>
      </c>
      <c r="H23" s="1754">
        <f>SUM(H14:H16,H21,H22)</f>
        <v>13421</v>
      </c>
      <c r="I23" s="1754">
        <f>SUM(I14:I16,I21,I22)</f>
        <v>0</v>
      </c>
      <c r="J23" s="1754">
        <f>SUM(J14:J16,J21,J22)</f>
        <v>206298</v>
      </c>
      <c r="K23" s="1754">
        <f>SUM(K14:K16,K21,K22)</f>
        <v>3624</v>
      </c>
      <c r="M23" s="1845"/>
      <c r="N23" s="1845"/>
      <c r="O23" s="1845"/>
    </row>
    <row r="24" spans="1:15" ht="14.25" thickTop="1" thickBot="1" x14ac:dyDescent="0.25">
      <c r="A24" s="2339" t="str">
        <f>"Ending Cash Basis Fund Balance as of June 30, "&amp;'AFR20'!E2</f>
        <v>Ending Cash Basis Fund Balance as of June 30, 2020</v>
      </c>
      <c r="B24" s="2340"/>
      <c r="C24" s="2340"/>
      <c r="D24" s="2340"/>
      <c r="E24" s="2340"/>
      <c r="F24" s="1436"/>
      <c r="G24" s="1766">
        <f>SUM(G3,G12)-G23</f>
        <v>0</v>
      </c>
      <c r="H24" s="1766">
        <f>SUM(H3,H12)-H23</f>
        <v>0</v>
      </c>
      <c r="I24" s="1766">
        <f>SUM(I3,I12)-I23</f>
        <v>0</v>
      </c>
      <c r="J24" s="1766">
        <f>SUM(J3,J12)-J23</f>
        <v>149169</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v>149169</v>
      </c>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1879</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1161</v>
      </c>
      <c r="B33" s="341"/>
      <c r="C33" s="341"/>
      <c r="D33" s="341"/>
      <c r="E33" s="341"/>
      <c r="F33" s="341"/>
      <c r="G33" s="653"/>
      <c r="H33" s="2351"/>
      <c r="I33" s="2350"/>
      <c r="J33" s="2350"/>
      <c r="K33" s="235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7"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1790</v>
      </c>
      <c r="B46" s="382" t="s">
        <v>1659</v>
      </c>
    </row>
    <row r="47" spans="1:11" s="663" customFormat="1" ht="12.75" customHeight="1" x14ac:dyDescent="0.2">
      <c r="A47" s="661"/>
      <c r="B47" s="662" t="s">
        <v>1660</v>
      </c>
      <c r="E47" s="662"/>
      <c r="K47" s="664"/>
    </row>
    <row r="48" spans="1:11" ht="12.75" customHeight="1" x14ac:dyDescent="0.2">
      <c r="A48" s="1299"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FF00"/>
  </sheetPr>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1878</v>
      </c>
      <c r="B1" s="2359"/>
      <c r="C1" s="2360"/>
      <c r="D1" s="666"/>
      <c r="E1" s="667"/>
      <c r="F1" s="667"/>
      <c r="G1" s="668"/>
      <c r="H1" s="669"/>
      <c r="I1" s="670"/>
      <c r="J1" s="2356"/>
      <c r="K1" s="2357"/>
      <c r="L1" s="2357"/>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4500</v>
      </c>
      <c r="D5" s="1769"/>
      <c r="E5" s="1769"/>
      <c r="F5" s="1764">
        <f>(C5+D5)-E5</f>
        <v>4500</v>
      </c>
      <c r="G5" s="676"/>
      <c r="H5" s="680"/>
      <c r="I5" s="680"/>
      <c r="J5" s="680"/>
      <c r="K5" s="637"/>
      <c r="L5" s="1441">
        <f>F5-K5</f>
        <v>4500</v>
      </c>
    </row>
    <row r="6" spans="1:14" ht="14.25" thickTop="1" thickBot="1" x14ac:dyDescent="0.25">
      <c r="A6" s="629" t="s">
        <v>1109</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3220715</v>
      </c>
      <c r="D8" s="1770">
        <v>480463</v>
      </c>
      <c r="E8" s="1770"/>
      <c r="F8" s="1764">
        <f>(C8+D8)-E8</f>
        <v>3701178</v>
      </c>
      <c r="G8" s="681">
        <v>50</v>
      </c>
      <c r="H8" s="619">
        <v>2071371</v>
      </c>
      <c r="I8" s="619">
        <f>60086-14173-4500-387</f>
        <v>41026</v>
      </c>
      <c r="J8" s="619"/>
      <c r="K8" s="1441">
        <f>(H8+I8)-J8</f>
        <v>2112397</v>
      </c>
      <c r="L8" s="1441">
        <f>F8-K8</f>
        <v>1588781</v>
      </c>
    </row>
    <row r="9" spans="1:14" ht="14.25" thickTop="1" thickBot="1" x14ac:dyDescent="0.25">
      <c r="A9" s="629" t="s">
        <v>1111</v>
      </c>
      <c r="B9" s="679">
        <v>232</v>
      </c>
      <c r="C9" s="1744">
        <v>7745</v>
      </c>
      <c r="D9" s="1744"/>
      <c r="E9" s="1744"/>
      <c r="F9" s="1764">
        <f>(C9+D9)-E9</f>
        <v>7745</v>
      </c>
      <c r="G9" s="681">
        <v>20</v>
      </c>
      <c r="H9" s="619">
        <v>194</v>
      </c>
      <c r="I9" s="619">
        <v>387</v>
      </c>
      <c r="J9" s="619"/>
      <c r="K9" s="1441">
        <f>(H9+I9)-J9</f>
        <v>581</v>
      </c>
      <c r="L9" s="1441">
        <f>F9-K9</f>
        <v>7164</v>
      </c>
    </row>
    <row r="10" spans="1:14" ht="24" thickTop="1" thickBot="1" x14ac:dyDescent="0.25">
      <c r="A10" s="682" t="s">
        <v>1112</v>
      </c>
      <c r="B10" s="679">
        <v>240</v>
      </c>
      <c r="C10" s="1771">
        <v>1108736</v>
      </c>
      <c r="D10" s="1771"/>
      <c r="E10" s="1771"/>
      <c r="F10" s="1772">
        <f>(C10+D10)-E10</f>
        <v>1108736</v>
      </c>
      <c r="G10" s="681">
        <v>20</v>
      </c>
      <c r="H10" s="683">
        <v>169497</v>
      </c>
      <c r="I10" s="683">
        <f>14173+4500+4224</f>
        <v>22897</v>
      </c>
      <c r="J10" s="683"/>
      <c r="K10" s="1441">
        <f>(H10+I10)-J10</f>
        <v>192394</v>
      </c>
      <c r="L10" s="1441">
        <f>F10-K10</f>
        <v>916342</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426552</v>
      </c>
      <c r="D12" s="1770">
        <v>22906</v>
      </c>
      <c r="E12" s="1770"/>
      <c r="F12" s="1764">
        <f>(C12+D12)-E12</f>
        <v>449458</v>
      </c>
      <c r="G12" s="681">
        <v>10</v>
      </c>
      <c r="H12" s="619">
        <v>226206</v>
      </c>
      <c r="I12" s="619">
        <f>21608+15501-4759</f>
        <v>32350</v>
      </c>
      <c r="J12" s="619"/>
      <c r="K12" s="1441">
        <f>(H12+I12)-J12</f>
        <v>258556</v>
      </c>
      <c r="L12" s="1441">
        <f>F12-K12</f>
        <v>190902</v>
      </c>
    </row>
    <row r="13" spans="1:14" ht="14.25" thickTop="1" thickBot="1" x14ac:dyDescent="0.25">
      <c r="A13" s="684" t="s">
        <v>1114</v>
      </c>
      <c r="B13" s="679">
        <v>252</v>
      </c>
      <c r="C13" s="1770">
        <v>23252</v>
      </c>
      <c r="D13" s="1770">
        <v>10975</v>
      </c>
      <c r="E13" s="1770"/>
      <c r="F13" s="1764">
        <f>(C13+D13)-E13</f>
        <v>34227</v>
      </c>
      <c r="G13" s="681">
        <v>5</v>
      </c>
      <c r="H13" s="619">
        <v>2325</v>
      </c>
      <c r="I13" s="619">
        <f>4650+109</f>
        <v>4759</v>
      </c>
      <c r="J13" s="619"/>
      <c r="K13" s="1441">
        <f>(H13+I13)-J13</f>
        <v>7084</v>
      </c>
      <c r="L13" s="1441">
        <f>F13-K13</f>
        <v>27143</v>
      </c>
    </row>
    <row r="14" spans="1:14" ht="14.25" thickTop="1" thickBot="1" x14ac:dyDescent="0.25">
      <c r="A14" s="684" t="s">
        <v>1115</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4791500</v>
      </c>
      <c r="D16" s="1764">
        <f>SUM(D3,D5:D6,D8:D10,D12:D15)</f>
        <v>514344</v>
      </c>
      <c r="E16" s="1764">
        <f>SUM(E3,E5:E6,E8:E10,E12:E15)</f>
        <v>0</v>
      </c>
      <c r="F16" s="1764">
        <f>SUM(F3,F5:F6,F8:F10,F12:F15)</f>
        <v>5305844</v>
      </c>
      <c r="G16" s="681"/>
      <c r="H16" s="1434">
        <f>SUM(H3,H6,H8:H10,H12:H14,)</f>
        <v>2469593</v>
      </c>
      <c r="I16" s="1434">
        <f>SUM(I3,I6,I8:I10,I12:I14,)</f>
        <v>101419</v>
      </c>
      <c r="J16" s="1434">
        <f>SUM(J3,J6,J8:J10,J12:J14,)</f>
        <v>0</v>
      </c>
      <c r="K16" s="1434">
        <f>(H16+I16)-J16</f>
        <v>2571012</v>
      </c>
      <c r="L16" s="1434">
        <f>F16-K16</f>
        <v>2734832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101419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FF00"/>
  </sheetPr>
  <dimension ref="A1:I203"/>
  <sheetViews>
    <sheetView showGridLines="0" defaultGridColor="0" colorId="8" zoomScale="110" zoomScaleNormal="110" workbookViewId="0">
      <pane ySplit="5" topLeftCell="A52"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1097</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2360214</v>
      </c>
      <c r="G8" s="701"/>
    </row>
    <row r="9" spans="1:9" x14ac:dyDescent="0.2">
      <c r="A9" s="705" t="s">
        <v>457</v>
      </c>
      <c r="B9" s="706" t="s">
        <v>1851</v>
      </c>
      <c r="C9" s="707"/>
      <c r="D9" s="705" t="s">
        <v>498</v>
      </c>
      <c r="E9" s="704"/>
      <c r="F9" s="1774">
        <f>'Expenditures 15-22'!K151</f>
        <v>312807</v>
      </c>
      <c r="G9" s="708"/>
    </row>
    <row r="10" spans="1:9" x14ac:dyDescent="0.2">
      <c r="A10" s="705" t="s">
        <v>496</v>
      </c>
      <c r="B10" s="706" t="s">
        <v>1852</v>
      </c>
      <c r="C10" s="707"/>
      <c r="D10" s="705" t="s">
        <v>498</v>
      </c>
      <c r="E10" s="704"/>
      <c r="F10" s="1774">
        <f>'Expenditures 15-22'!K174</f>
        <v>170736</v>
      </c>
      <c r="G10" s="708"/>
    </row>
    <row r="11" spans="1:9" x14ac:dyDescent="0.2">
      <c r="A11" s="705" t="s">
        <v>458</v>
      </c>
      <c r="B11" s="706" t="s">
        <v>1853</v>
      </c>
      <c r="C11" s="707"/>
      <c r="D11" s="705" t="s">
        <v>498</v>
      </c>
      <c r="E11" s="704"/>
      <c r="F11" s="1774">
        <f>'Expenditures 15-22'!K210</f>
        <v>141668</v>
      </c>
      <c r="G11" s="708"/>
    </row>
    <row r="12" spans="1:9" x14ac:dyDescent="0.2">
      <c r="A12" s="705" t="s">
        <v>459</v>
      </c>
      <c r="B12" s="706" t="s">
        <v>1854</v>
      </c>
      <c r="C12" s="707"/>
      <c r="D12" s="705" t="s">
        <v>498</v>
      </c>
      <c r="E12" s="704"/>
      <c r="F12" s="1774">
        <f>'Expenditures 15-22'!K295</f>
        <v>100012</v>
      </c>
      <c r="G12" s="708"/>
    </row>
    <row r="13" spans="1:9" x14ac:dyDescent="0.2">
      <c r="A13" s="705" t="s">
        <v>106</v>
      </c>
      <c r="B13" s="706" t="s">
        <v>1855</v>
      </c>
      <c r="C13" s="707"/>
      <c r="D13" s="705" t="s">
        <v>498</v>
      </c>
      <c r="E13" s="704"/>
      <c r="F13" s="1774">
        <f>'Expenditures 15-22'!K342</f>
        <v>456474</v>
      </c>
      <c r="G13" s="709"/>
    </row>
    <row r="14" spans="1:9" ht="12" customHeight="1" thickBot="1" x14ac:dyDescent="0.25">
      <c r="A14" s="1442"/>
      <c r="B14" s="1443"/>
      <c r="C14" s="1444"/>
      <c r="D14" s="1445" t="s">
        <v>498</v>
      </c>
      <c r="E14" s="1446" t="s">
        <v>952</v>
      </c>
      <c r="F14" s="1775">
        <f>SUM(F8:F13)</f>
        <v>3541911</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63409</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69960</v>
      </c>
      <c r="G53" s="701"/>
    </row>
    <row r="54" spans="1:7" x14ac:dyDescent="0.2">
      <c r="A54" s="705" t="s">
        <v>456</v>
      </c>
      <c r="B54" s="705" t="s">
        <v>1462</v>
      </c>
      <c r="C54" s="724" t="s">
        <v>975</v>
      </c>
      <c r="D54" s="720" t="s">
        <v>1088</v>
      </c>
      <c r="E54" s="704"/>
      <c r="F54" s="1781">
        <f>'Expenditures 15-22'!G114</f>
        <v>33881</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52685</v>
      </c>
      <c r="G58" s="701"/>
    </row>
    <row r="59" spans="1:7" x14ac:dyDescent="0.2">
      <c r="A59" s="728" t="s">
        <v>457</v>
      </c>
      <c r="B59" s="692" t="s">
        <v>1858</v>
      </c>
      <c r="C59" s="729" t="s">
        <v>975</v>
      </c>
      <c r="D59" s="692" t="s">
        <v>288</v>
      </c>
      <c r="F59" s="1784">
        <f>'Expenditures 15-22'!I151</f>
        <v>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151223</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2938</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235438</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2"/>
      <c r="B77" s="1447"/>
      <c r="C77" s="1444"/>
      <c r="D77" s="1448" t="s">
        <v>2014</v>
      </c>
      <c r="E77" s="1446" t="s">
        <v>952</v>
      </c>
      <c r="F77" s="1786">
        <f>SUM(F18:F76)</f>
        <v>609534</v>
      </c>
      <c r="G77" s="701"/>
    </row>
    <row r="78" spans="1:9" s="728" customFormat="1" ht="12" customHeight="1" thickTop="1" thickBot="1" x14ac:dyDescent="0.25">
      <c r="A78" s="1449"/>
      <c r="B78" s="1447"/>
      <c r="C78" s="1444"/>
      <c r="D78" s="1448" t="s">
        <v>2015</v>
      </c>
      <c r="E78" s="1446"/>
      <c r="F78" s="1787">
        <f>(F14-F77)</f>
        <v>2932377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169.2</v>
      </c>
      <c r="G79" s="733"/>
      <c r="H79" s="705"/>
      <c r="I79" s="705"/>
    </row>
    <row r="80" spans="1:9" s="728" customFormat="1" ht="12" customHeight="1" thickBot="1" x14ac:dyDescent="0.25">
      <c r="A80" s="1451"/>
      <c r="B80" s="1447"/>
      <c r="C80" s="1444"/>
      <c r="D80" s="1448" t="s">
        <v>2016</v>
      </c>
      <c r="E80" s="1446" t="s">
        <v>952</v>
      </c>
      <c r="F80" s="1789">
        <f>IF(F79&gt;0,F78/F79," Complete Line 79")</f>
        <v>17330.833333333336</v>
      </c>
      <c r="G80" s="705"/>
    </row>
    <row r="81" spans="1:7" s="728" customFormat="1" ht="8.25" customHeight="1" thickTop="1" x14ac:dyDescent="0.2">
      <c r="A81" s="734"/>
      <c r="B81" s="705"/>
      <c r="C81" s="707"/>
      <c r="D81" s="735"/>
      <c r="E81" s="704"/>
      <c r="F81" s="1790"/>
      <c r="G81" s="705"/>
    </row>
    <row r="82" spans="1:7" s="728" customFormat="1" ht="12" thickBot="1" x14ac:dyDescent="0.25">
      <c r="A82" s="2361" t="s">
        <v>1098</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6027</v>
      </c>
      <c r="G95" s="745"/>
    </row>
    <row r="96" spans="1:7" x14ac:dyDescent="0.2">
      <c r="A96" s="741" t="s">
        <v>139</v>
      </c>
      <c r="B96" s="741" t="s">
        <v>174</v>
      </c>
      <c r="C96" s="743">
        <v>1700</v>
      </c>
      <c r="D96" s="751" t="str">
        <f>'Revenues 9-14'!A82</f>
        <v>Total District/School Activity Income</v>
      </c>
      <c r="E96" s="739"/>
      <c r="F96" s="1792">
        <f>SUM('Revenues 9-14'!C82,'Revenues 9-14'!D82)</f>
        <v>10162</v>
      </c>
      <c r="G96" s="745"/>
    </row>
    <row r="97" spans="1:7" x14ac:dyDescent="0.2">
      <c r="A97" s="741" t="s">
        <v>456</v>
      </c>
      <c r="B97" s="741" t="s">
        <v>175</v>
      </c>
      <c r="C97" s="743">
        <f>'Revenues 9-14'!B84</f>
        <v>1811</v>
      </c>
      <c r="D97" s="744" t="str">
        <f>'Revenues 9-14'!A84</f>
        <v>Rentals - Regular Textbooks</v>
      </c>
      <c r="E97" s="739"/>
      <c r="F97" s="1792">
        <f>'Revenues 9-14'!C84</f>
        <v>4160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1075</v>
      </c>
      <c r="G101" s="745"/>
    </row>
    <row r="102" spans="1:7" x14ac:dyDescent="0.2">
      <c r="A102" s="741" t="s">
        <v>139</v>
      </c>
      <c r="B102" s="741" t="s">
        <v>180</v>
      </c>
      <c r="C102" s="743">
        <f>'Revenues 9-14'!B95</f>
        <v>1910</v>
      </c>
      <c r="D102" s="744" t="str">
        <f>'Revenues 9-14'!A95</f>
        <v>Rentals</v>
      </c>
      <c r="E102" s="739"/>
      <c r="F102" s="1792">
        <f>SUM('Revenues 9-14'!C95:D95)</f>
        <v>1500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8246</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1309</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2114</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39535</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0</v>
      </c>
      <c r="G121" s="763"/>
    </row>
    <row r="122" spans="1:7" x14ac:dyDescent="0.2">
      <c r="A122" s="760" t="s">
        <v>497</v>
      </c>
      <c r="B122" s="760" t="s">
        <v>1929</v>
      </c>
      <c r="C122" s="761">
        <f>'Revenues 9-14'!B168</f>
        <v>3999</v>
      </c>
      <c r="D122" s="762" t="s">
        <v>540</v>
      </c>
      <c r="E122" s="764"/>
      <c r="F122" s="1792">
        <f>SUM('Revenues 9-14'!C168:G168,'Revenues 9-14'!J168)</f>
        <v>9459</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73749</v>
      </c>
      <c r="G126" s="763"/>
    </row>
    <row r="127" spans="1:7" x14ac:dyDescent="0.2">
      <c r="A127" s="760" t="s">
        <v>663</v>
      </c>
      <c r="B127" s="760" t="s">
        <v>1934</v>
      </c>
      <c r="C127" s="765">
        <v>4300</v>
      </c>
      <c r="D127" s="766" t="str">
        <f>'Revenues 9-14'!A204</f>
        <v>Total Title I</v>
      </c>
      <c r="E127" s="739"/>
      <c r="F127" s="1792">
        <f>SUM('Revenues 9-14'!C204,'Revenues 9-14'!D204,'Revenues 9-14'!F204,'Revenues 9-14'!G204)</f>
        <v>138149</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15580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8470</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8474</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12472</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1888</v>
      </c>
      <c r="C172" s="1530">
        <v>3100</v>
      </c>
      <c r="D172" s="1531" t="s">
        <v>1890</v>
      </c>
      <c r="E172" s="739"/>
      <c r="F172" s="1793">
        <v>71199</v>
      </c>
      <c r="G172" s="760"/>
    </row>
    <row r="173" spans="1:7" x14ac:dyDescent="0.2">
      <c r="A173" s="1528" t="s">
        <v>659</v>
      </c>
      <c r="B173" s="1529" t="s">
        <v>1888</v>
      </c>
      <c r="C173" s="1530">
        <v>3300</v>
      </c>
      <c r="D173" s="1531" t="s">
        <v>1891</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2019</v>
      </c>
      <c r="E175" s="1455" t="s">
        <v>952</v>
      </c>
      <c r="F175" s="1795">
        <f>SUM(F85:F133,F158:F173)</f>
        <v>411680</v>
      </c>
    </row>
    <row r="176" spans="1:7" ht="12" customHeight="1" x14ac:dyDescent="0.2">
      <c r="A176" s="1442"/>
      <c r="B176" s="1452"/>
      <c r="C176" s="1453"/>
      <c r="D176" s="1454" t="s">
        <v>2017</v>
      </c>
      <c r="E176" s="1455"/>
      <c r="F176" s="1792">
        <f>'PCTC-OEPP 27-28'!F78-F175</f>
        <v>2520697</v>
      </c>
    </row>
    <row r="177" spans="1:9" ht="12" customHeight="1" x14ac:dyDescent="0.2">
      <c r="A177" s="1442"/>
      <c r="B177" s="1452"/>
      <c r="C177" s="1453"/>
      <c r="D177" s="1454" t="s">
        <v>1797</v>
      </c>
      <c r="E177" s="1455"/>
      <c r="F177" s="1792">
        <f>'Cap Outlay Deprec 26'!I18</f>
        <v>101419</v>
      </c>
    </row>
    <row r="178" spans="1:9" ht="12" customHeight="1" x14ac:dyDescent="0.2">
      <c r="A178" s="1442"/>
      <c r="B178" s="1452"/>
      <c r="C178" s="1453"/>
      <c r="D178" s="1454" t="s">
        <v>2018</v>
      </c>
      <c r="E178" s="1455"/>
      <c r="F178" s="1792">
        <f>F176+F177</f>
        <v>2622116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169.2</v>
      </c>
      <c r="G179" s="763"/>
      <c r="I179" s="701"/>
    </row>
    <row r="180" spans="1:9" ht="12" customHeight="1" thickBot="1" x14ac:dyDescent="0.25">
      <c r="A180" s="1442"/>
      <c r="B180" s="1456"/>
      <c r="C180" s="1453"/>
      <c r="D180" s="1454" t="s">
        <v>2020</v>
      </c>
      <c r="E180" s="1455" t="s">
        <v>1531</v>
      </c>
      <c r="F180" s="1797">
        <f>F178/F179</f>
        <v>15497.139479905438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1893</v>
      </c>
      <c r="B186" s="153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G142"/>
  <sheetViews>
    <sheetView showGridLines="0" zoomScaleNormal="100" workbookViewId="0">
      <selection activeCell="E19" sqref="E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1810</v>
      </c>
      <c r="B1" s="1859"/>
      <c r="C1" s="1860"/>
      <c r="D1" s="1860"/>
      <c r="E1" s="1860"/>
      <c r="F1" s="1860"/>
    </row>
    <row r="2" spans="1:6" x14ac:dyDescent="0.25">
      <c r="A2" s="1862"/>
      <c r="B2" s="1863"/>
      <c r="C2" s="1912" t="s">
        <v>2006</v>
      </c>
      <c r="D2" s="1862"/>
      <c r="E2" s="1862"/>
      <c r="F2" s="1862"/>
    </row>
    <row r="3" spans="1:6" ht="5.25" customHeight="1" x14ac:dyDescent="0.25">
      <c r="A3" s="1864"/>
      <c r="B3" s="1865"/>
      <c r="C3" s="1864"/>
      <c r="D3" s="1864"/>
      <c r="E3" s="1864"/>
      <c r="F3" s="1864"/>
    </row>
    <row r="4" spans="1:6" ht="18.75" customHeight="1" x14ac:dyDescent="0.25">
      <c r="A4" s="2375" t="s">
        <v>1798</v>
      </c>
      <c r="B4" s="2376"/>
      <c r="C4" s="2376"/>
      <c r="D4" s="2376"/>
      <c r="E4" s="2376"/>
      <c r="F4" s="2377"/>
    </row>
    <row r="5" spans="1:6" x14ac:dyDescent="0.25">
      <c r="A5" s="2378"/>
      <c r="B5" s="2379"/>
      <c r="C5" s="2379"/>
      <c r="D5" s="2379"/>
      <c r="E5" s="2379"/>
      <c r="F5" s="2380"/>
    </row>
    <row r="6" spans="1:6" ht="18.75" x14ac:dyDescent="0.25">
      <c r="A6" s="1866" t="s">
        <v>1799</v>
      </c>
      <c r="B6" s="1867"/>
      <c r="C6" s="1868"/>
      <c r="D6" s="1868"/>
      <c r="E6" s="1868"/>
      <c r="F6" s="1869"/>
    </row>
    <row r="7" spans="1:6" ht="47.25" customHeight="1" x14ac:dyDescent="0.25">
      <c r="A7" s="2381" t="s">
        <v>1988</v>
      </c>
      <c r="B7" s="2382"/>
      <c r="C7" s="2382"/>
      <c r="D7" s="2382"/>
      <c r="E7" s="2382"/>
      <c r="F7" s="2383"/>
    </row>
    <row r="8" spans="1:6" ht="20.25" customHeight="1" x14ac:dyDescent="0.25">
      <c r="A8" s="1901" t="s">
        <v>1990</v>
      </c>
      <c r="B8" s="1902"/>
      <c r="C8" s="1902"/>
      <c r="D8" s="1902"/>
      <c r="E8" s="1870"/>
      <c r="F8" s="1871"/>
    </row>
    <row r="9" spans="1:6" ht="18" customHeight="1" x14ac:dyDescent="0.25">
      <c r="A9" s="1872" t="s">
        <v>1987</v>
      </c>
      <c r="B9" s="1874"/>
      <c r="C9" s="1874"/>
      <c r="D9" s="1874"/>
      <c r="E9" s="1870"/>
      <c r="F9" s="1871"/>
    </row>
    <row r="10" spans="1:6" ht="15.75" customHeight="1" x14ac:dyDescent="0.25">
      <c r="A10" s="2384" t="s">
        <v>1984</v>
      </c>
      <c r="B10" s="2385"/>
      <c r="C10" s="2385"/>
      <c r="D10" s="2385"/>
      <c r="E10" s="2385"/>
      <c r="F10" s="2386"/>
    </row>
    <row r="11" spans="1:6" ht="33" customHeight="1" x14ac:dyDescent="0.25">
      <c r="A11" s="2381" t="s">
        <v>1989</v>
      </c>
      <c r="B11" s="2382"/>
      <c r="C11" s="2382"/>
      <c r="D11" s="2382"/>
      <c r="E11" s="2382"/>
      <c r="F11" s="2383"/>
    </row>
    <row r="12" spans="1:6" ht="15" customHeight="1" x14ac:dyDescent="0.25">
      <c r="A12" s="1872" t="s">
        <v>1985</v>
      </c>
      <c r="B12" s="1873"/>
      <c r="C12" s="1874"/>
      <c r="D12" s="1874"/>
      <c r="E12" s="1874"/>
      <c r="F12" s="1875"/>
    </row>
    <row r="13" spans="1:6" ht="17.25" customHeight="1" x14ac:dyDescent="0.25">
      <c r="A13" s="2381" t="s">
        <v>1986</v>
      </c>
      <c r="B13" s="2382"/>
      <c r="C13" s="2382"/>
      <c r="D13" s="2382"/>
      <c r="E13" s="2382"/>
      <c r="F13" s="2383"/>
    </row>
    <row r="14" spans="1:6" ht="15" customHeight="1" x14ac:dyDescent="0.25">
      <c r="A14" s="1872" t="s">
        <v>1803</v>
      </c>
      <c r="B14" s="1873"/>
      <c r="C14" s="1874"/>
      <c r="D14" s="1874"/>
      <c r="E14" s="1874"/>
      <c r="F14" s="1875"/>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6" t="s">
        <v>1802</v>
      </c>
      <c r="C17" s="1880" t="s">
        <v>1800</v>
      </c>
      <c r="D17" s="1881">
        <v>500000</v>
      </c>
      <c r="E17" s="1881" t="str">
        <f>IF(D17&lt;25000,D17,"25,000")</f>
        <v>25,000</v>
      </c>
      <c r="F17" s="1882">
        <f>IF(D17&gt;=25000,(D17-E17),"0")</f>
        <v>475000</v>
      </c>
    </row>
    <row r="18" spans="1:7" x14ac:dyDescent="0.25">
      <c r="A18" s="1919" t="s">
        <v>2043</v>
      </c>
      <c r="B18" s="1907">
        <v>101000300</v>
      </c>
      <c r="C18" s="1920" t="s">
        <v>2044</v>
      </c>
      <c r="D18" s="1885">
        <v>29515</v>
      </c>
      <c r="E18" s="1905" t="str">
        <f>IF(D18&lt;25000,D18,"25,000")</f>
        <v>25,000</v>
      </c>
      <c r="F18" s="1905">
        <f t="shared" ref="F18:F81" si="0">IF(D18&gt;=25000,(D18-E18),"0")</f>
        <v>4515</v>
      </c>
      <c r="G18" s="1886"/>
    </row>
    <row r="19" spans="1:7" x14ac:dyDescent="0.25">
      <c r="A19" s="1887"/>
      <c r="B19" s="1907"/>
      <c r="C19" s="1884"/>
      <c r="D19" s="1885"/>
      <c r="E19" s="1905">
        <f t="shared" ref="E19:E81" si="1">IF(D19&lt;25000,D19,"25,000")</f>
        <v>0</v>
      </c>
      <c r="F19" s="1905" t="str">
        <f t="shared" si="0"/>
        <v>0</v>
      </c>
    </row>
    <row r="20" spans="1:7" x14ac:dyDescent="0.25">
      <c r="A20" s="1887"/>
      <c r="B20" s="1907"/>
      <c r="C20" s="1884"/>
      <c r="D20" s="1885"/>
      <c r="E20" s="1905">
        <f t="shared" si="1"/>
        <v>0</v>
      </c>
      <c r="F20" s="1905" t="str">
        <f t="shared" si="0"/>
        <v>0</v>
      </c>
    </row>
    <row r="21" spans="1:7" x14ac:dyDescent="0.25">
      <c r="A21" s="1887"/>
      <c r="B21" s="1907"/>
      <c r="C21" s="1884"/>
      <c r="D21" s="1885"/>
      <c r="E21" s="1905">
        <f t="shared" si="1"/>
        <v>0</v>
      </c>
      <c r="F21" s="1905" t="str">
        <f t="shared" si="0"/>
        <v>0</v>
      </c>
    </row>
    <row r="22" spans="1:7" x14ac:dyDescent="0.25">
      <c r="A22" s="1887"/>
      <c r="B22" s="1907"/>
      <c r="C22" s="1884"/>
      <c r="D22" s="1885"/>
      <c r="E22" s="1905">
        <f t="shared" si="1"/>
        <v>0</v>
      </c>
      <c r="F22" s="1905" t="str">
        <f t="shared" si="0"/>
        <v>0</v>
      </c>
    </row>
    <row r="23" spans="1:7" x14ac:dyDescent="0.25">
      <c r="A23" s="1887"/>
      <c r="B23" s="1907"/>
      <c r="C23" s="1884"/>
      <c r="D23" s="1885"/>
      <c r="E23" s="1905">
        <f t="shared" si="1"/>
        <v>0</v>
      </c>
      <c r="F23" s="1905" t="str">
        <f t="shared" si="0"/>
        <v>0</v>
      </c>
    </row>
    <row r="24" spans="1:7" x14ac:dyDescent="0.25">
      <c r="A24" s="1887"/>
      <c r="B24" s="1907"/>
      <c r="C24" s="1884"/>
      <c r="D24" s="1885"/>
      <c r="E24" s="1905">
        <f t="shared" si="1"/>
        <v>0</v>
      </c>
      <c r="F24" s="1905" t="str">
        <f t="shared" si="0"/>
        <v>0</v>
      </c>
    </row>
    <row r="25" spans="1:7" x14ac:dyDescent="0.25">
      <c r="A25" s="1887"/>
      <c r="B25" s="1907"/>
      <c r="C25" s="1884"/>
      <c r="D25" s="1885"/>
      <c r="E25" s="1905">
        <f t="shared" si="1"/>
        <v>0</v>
      </c>
      <c r="F25" s="1905" t="str">
        <f t="shared" si="0"/>
        <v>0</v>
      </c>
    </row>
    <row r="26" spans="1:7" x14ac:dyDescent="0.25">
      <c r="A26" s="1887"/>
      <c r="B26" s="1907"/>
      <c r="C26" s="1884"/>
      <c r="D26" s="1885"/>
      <c r="E26" s="1905">
        <f t="shared" si="1"/>
        <v>0</v>
      </c>
      <c r="F26" s="1905" t="str">
        <f t="shared" si="0"/>
        <v>0</v>
      </c>
    </row>
    <row r="27" spans="1:7" x14ac:dyDescent="0.25">
      <c r="A27" s="1887"/>
      <c r="B27" s="1907"/>
      <c r="C27" s="1888"/>
      <c r="D27" s="1885"/>
      <c r="E27" s="1905">
        <f t="shared" si="1"/>
        <v>0</v>
      </c>
      <c r="F27" s="1905" t="str">
        <f t="shared" si="0"/>
        <v>0</v>
      </c>
    </row>
    <row r="28" spans="1:7" x14ac:dyDescent="0.25">
      <c r="A28" s="1887"/>
      <c r="B28" s="1907"/>
      <c r="C28" s="1888"/>
      <c r="D28" s="1885"/>
      <c r="E28" s="1905">
        <f t="shared" si="1"/>
        <v>0</v>
      </c>
      <c r="F28" s="1905" t="str">
        <f t="shared" si="0"/>
        <v>0</v>
      </c>
    </row>
    <row r="29" spans="1:7" x14ac:dyDescent="0.25">
      <c r="A29" s="1887"/>
      <c r="B29" s="1907"/>
      <c r="C29" s="1888"/>
      <c r="D29" s="1885"/>
      <c r="E29" s="1905">
        <f t="shared" si="1"/>
        <v>0</v>
      </c>
      <c r="F29" s="1905" t="str">
        <f t="shared" si="0"/>
        <v>0</v>
      </c>
    </row>
    <row r="30" spans="1:7" x14ac:dyDescent="0.25">
      <c r="A30" s="1887"/>
      <c r="B30" s="1907"/>
      <c r="C30" s="1888"/>
      <c r="D30" s="1885"/>
      <c r="E30" s="1905">
        <f t="shared" si="1"/>
        <v>0</v>
      </c>
      <c r="F30" s="1905" t="str">
        <f t="shared" si="0"/>
        <v>0</v>
      </c>
    </row>
    <row r="31" spans="1:7" x14ac:dyDescent="0.25">
      <c r="A31" s="1887"/>
      <c r="B31" s="1907"/>
      <c r="C31" s="1888"/>
      <c r="D31" s="1885"/>
      <c r="E31" s="1905">
        <f t="shared" si="1"/>
        <v>0</v>
      </c>
      <c r="F31" s="1905" t="str">
        <f t="shared" si="0"/>
        <v>0</v>
      </c>
    </row>
    <row r="32" spans="1:7" x14ac:dyDescent="0.25">
      <c r="A32" s="1887"/>
      <c r="B32" s="1907"/>
      <c r="C32" s="1888"/>
      <c r="D32" s="1885"/>
      <c r="E32" s="1905">
        <f t="shared" si="1"/>
        <v>0</v>
      </c>
      <c r="F32" s="1905" t="str">
        <f t="shared" si="0"/>
        <v>0</v>
      </c>
    </row>
    <row r="33" spans="1:6" x14ac:dyDescent="0.25">
      <c r="A33" s="1887"/>
      <c r="B33" s="1907"/>
      <c r="C33" s="1888"/>
      <c r="D33" s="1885"/>
      <c r="E33" s="1905">
        <f t="shared" si="1"/>
        <v>0</v>
      </c>
      <c r="F33" s="1905" t="str">
        <f t="shared" si="0"/>
        <v>0</v>
      </c>
    </row>
    <row r="34" spans="1:6" x14ac:dyDescent="0.25">
      <c r="A34" s="1887"/>
      <c r="B34" s="1907"/>
      <c r="C34" s="1888"/>
      <c r="D34" s="1885"/>
      <c r="E34" s="1905">
        <f t="shared" si="1"/>
        <v>0</v>
      </c>
      <c r="F34" s="1905" t="str">
        <f t="shared" si="0"/>
        <v>0</v>
      </c>
    </row>
    <row r="35" spans="1:6" x14ac:dyDescent="0.25">
      <c r="A35" s="1887"/>
      <c r="B35" s="1907"/>
      <c r="C35" s="1888"/>
      <c r="D35" s="1885"/>
      <c r="E35" s="1905">
        <f t="shared" si="1"/>
        <v>0</v>
      </c>
      <c r="F35" s="1905" t="str">
        <f t="shared" si="0"/>
        <v>0</v>
      </c>
    </row>
    <row r="36" spans="1:6" x14ac:dyDescent="0.25">
      <c r="A36" s="1887"/>
      <c r="B36" s="1907"/>
      <c r="C36" s="1888"/>
      <c r="D36" s="1885"/>
      <c r="E36" s="1905">
        <f t="shared" si="1"/>
        <v>0</v>
      </c>
      <c r="F36" s="1905" t="str">
        <f t="shared" si="0"/>
        <v>0</v>
      </c>
    </row>
    <row r="37" spans="1:6" x14ac:dyDescent="0.25">
      <c r="A37" s="1887"/>
      <c r="B37" s="1907"/>
      <c r="C37" s="1888"/>
      <c r="D37" s="1885"/>
      <c r="E37" s="1905">
        <f t="shared" si="1"/>
        <v>0</v>
      </c>
      <c r="F37" s="1905" t="str">
        <f t="shared" si="0"/>
        <v>0</v>
      </c>
    </row>
    <row r="38" spans="1:6" x14ac:dyDescent="0.25">
      <c r="A38" s="1887"/>
      <c r="B38" s="1907"/>
      <c r="C38" s="1888"/>
      <c r="D38" s="1885"/>
      <c r="E38" s="1905">
        <f t="shared" si="1"/>
        <v>0</v>
      </c>
      <c r="F38" s="1905" t="str">
        <f t="shared" si="0"/>
        <v>0</v>
      </c>
    </row>
    <row r="39" spans="1:6" x14ac:dyDescent="0.25">
      <c r="A39" s="1887"/>
      <c r="B39" s="1908"/>
      <c r="C39" s="1888"/>
      <c r="D39" s="1885"/>
      <c r="E39" s="1905">
        <f t="shared" si="1"/>
        <v>0</v>
      </c>
      <c r="F39" s="1905" t="str">
        <f t="shared" si="0"/>
        <v>0</v>
      </c>
    </row>
    <row r="40" spans="1:6" x14ac:dyDescent="0.25">
      <c r="A40" s="1887"/>
      <c r="B40" s="1908"/>
      <c r="C40" s="1888"/>
      <c r="D40" s="1885"/>
      <c r="E40" s="1905">
        <f t="shared" si="1"/>
        <v>0</v>
      </c>
      <c r="F40" s="1905" t="str">
        <f t="shared" si="0"/>
        <v>0</v>
      </c>
    </row>
    <row r="41" spans="1:6" x14ac:dyDescent="0.25">
      <c r="A41" s="1887"/>
      <c r="B41" s="1908"/>
      <c r="C41" s="1888"/>
      <c r="D41" s="1885"/>
      <c r="E41" s="1905">
        <f t="shared" si="1"/>
        <v>0</v>
      </c>
      <c r="F41" s="1905" t="str">
        <f t="shared" si="0"/>
        <v>0</v>
      </c>
    </row>
    <row r="42" spans="1:6" x14ac:dyDescent="0.25">
      <c r="A42" s="1887"/>
      <c r="B42" s="1908"/>
      <c r="C42" s="1888"/>
      <c r="D42" s="1885"/>
      <c r="E42" s="1905">
        <f t="shared" si="1"/>
        <v>0</v>
      </c>
      <c r="F42" s="1905" t="str">
        <f t="shared" si="0"/>
        <v>0</v>
      </c>
    </row>
    <row r="43" spans="1:6" x14ac:dyDescent="0.25">
      <c r="A43" s="1887"/>
      <c r="B43" s="1908"/>
      <c r="C43" s="1888"/>
      <c r="D43" s="1885"/>
      <c r="E43" s="1905">
        <f t="shared" si="1"/>
        <v>0</v>
      </c>
      <c r="F43" s="1905" t="str">
        <f t="shared" si="0"/>
        <v>0</v>
      </c>
    </row>
    <row r="44" spans="1:6" x14ac:dyDescent="0.25">
      <c r="A44" s="1887"/>
      <c r="B44" s="1908"/>
      <c r="C44" s="1888"/>
      <c r="D44" s="1885"/>
      <c r="E44" s="1905">
        <f t="shared" si="1"/>
        <v>0</v>
      </c>
      <c r="F44" s="1905" t="str">
        <f t="shared" si="0"/>
        <v>0</v>
      </c>
    </row>
    <row r="45" spans="1:6" x14ac:dyDescent="0.25">
      <c r="A45" s="1887"/>
      <c r="B45" s="1908"/>
      <c r="C45" s="1888"/>
      <c r="D45" s="1885"/>
      <c r="E45" s="1905">
        <f t="shared" si="1"/>
        <v>0</v>
      </c>
      <c r="F45" s="1905" t="str">
        <f t="shared" si="0"/>
        <v>0</v>
      </c>
    </row>
    <row r="46" spans="1:6" x14ac:dyDescent="0.25">
      <c r="A46" s="1887"/>
      <c r="B46" s="1908"/>
      <c r="C46" s="1888"/>
      <c r="D46" s="1885"/>
      <c r="E46" s="1905">
        <f t="shared" si="1"/>
        <v>0</v>
      </c>
      <c r="F46" s="1905" t="str">
        <f t="shared" si="0"/>
        <v>0</v>
      </c>
    </row>
    <row r="47" spans="1:6" x14ac:dyDescent="0.25">
      <c r="A47" s="1887"/>
      <c r="B47" s="1908"/>
      <c r="C47" s="1888"/>
      <c r="D47" s="1885"/>
      <c r="E47" s="1905">
        <f t="shared" si="1"/>
        <v>0</v>
      </c>
      <c r="F47" s="1905" t="str">
        <f t="shared" si="0"/>
        <v>0</v>
      </c>
    </row>
    <row r="48" spans="1:6" x14ac:dyDescent="0.25">
      <c r="A48" s="1887"/>
      <c r="B48" s="1908"/>
      <c r="C48" s="1888"/>
      <c r="D48" s="1885"/>
      <c r="E48" s="1905">
        <f t="shared" si="1"/>
        <v>0</v>
      </c>
      <c r="F48" s="1905" t="str">
        <f t="shared" si="0"/>
        <v>0</v>
      </c>
    </row>
    <row r="49" spans="1:6" x14ac:dyDescent="0.25">
      <c r="A49" s="1887"/>
      <c r="B49" s="1908"/>
      <c r="C49" s="1888"/>
      <c r="D49" s="1885"/>
      <c r="E49" s="1905">
        <f t="shared" si="1"/>
        <v>0</v>
      </c>
      <c r="F49" s="1905" t="str">
        <f t="shared" si="0"/>
        <v>0</v>
      </c>
    </row>
    <row r="50" spans="1:6" x14ac:dyDescent="0.25">
      <c r="A50" s="1887"/>
      <c r="B50" s="1908"/>
      <c r="C50" s="1888"/>
      <c r="D50" s="1885"/>
      <c r="E50" s="1905">
        <f t="shared" si="1"/>
        <v>0</v>
      </c>
      <c r="F50" s="1905" t="str">
        <f t="shared" si="0"/>
        <v>0</v>
      </c>
    </row>
    <row r="51" spans="1:6" x14ac:dyDescent="0.25">
      <c r="A51" s="1887"/>
      <c r="B51" s="1908"/>
      <c r="C51" s="1888"/>
      <c r="D51" s="1885"/>
      <c r="E51" s="1905">
        <f t="shared" si="1"/>
        <v>0</v>
      </c>
      <c r="F51" s="1905" t="str">
        <f t="shared" si="0"/>
        <v>0</v>
      </c>
    </row>
    <row r="52" spans="1:6" x14ac:dyDescent="0.25">
      <c r="A52" s="1887"/>
      <c r="B52" s="1908"/>
      <c r="C52" s="1888"/>
      <c r="D52" s="1885"/>
      <c r="E52" s="1905">
        <f t="shared" si="1"/>
        <v>0</v>
      </c>
      <c r="F52" s="1905" t="str">
        <f t="shared" si="0"/>
        <v>0</v>
      </c>
    </row>
    <row r="53" spans="1:6" x14ac:dyDescent="0.25">
      <c r="A53" s="1887"/>
      <c r="B53" s="1908"/>
      <c r="C53" s="1888"/>
      <c r="D53" s="1885"/>
      <c r="E53" s="1905">
        <f t="shared" si="1"/>
        <v>0</v>
      </c>
      <c r="F53" s="1905" t="str">
        <f t="shared" si="0"/>
        <v>0</v>
      </c>
    </row>
    <row r="54" spans="1:6" x14ac:dyDescent="0.25">
      <c r="A54" s="1887"/>
      <c r="B54" s="1908"/>
      <c r="C54" s="1888"/>
      <c r="D54" s="1885"/>
      <c r="E54" s="1905">
        <f t="shared" si="1"/>
        <v>0</v>
      </c>
      <c r="F54" s="1905" t="str">
        <f t="shared" si="0"/>
        <v>0</v>
      </c>
    </row>
    <row r="55" spans="1:6" x14ac:dyDescent="0.25">
      <c r="A55" s="1887"/>
      <c r="B55" s="1908"/>
      <c r="C55" s="1888"/>
      <c r="D55" s="1885"/>
      <c r="E55" s="1905">
        <f t="shared" si="1"/>
        <v>0</v>
      </c>
      <c r="F55" s="1905" t="str">
        <f t="shared" si="0"/>
        <v>0</v>
      </c>
    </row>
    <row r="56" spans="1:6" x14ac:dyDescent="0.25">
      <c r="A56" s="1887"/>
      <c r="B56" s="1908"/>
      <c r="C56" s="1888"/>
      <c r="D56" s="1885"/>
      <c r="E56" s="1905">
        <f t="shared" si="1"/>
        <v>0</v>
      </c>
      <c r="F56" s="1905" t="str">
        <f t="shared" si="0"/>
        <v>0</v>
      </c>
    </row>
    <row r="57" spans="1:6" x14ac:dyDescent="0.25">
      <c r="A57" s="1887"/>
      <c r="B57" s="1908"/>
      <c r="C57" s="1888"/>
      <c r="D57" s="1885"/>
      <c r="E57" s="1905">
        <f t="shared" si="1"/>
        <v>0</v>
      </c>
      <c r="F57" s="1905" t="str">
        <f t="shared" si="0"/>
        <v>0</v>
      </c>
    </row>
    <row r="58" spans="1:6" x14ac:dyDescent="0.25">
      <c r="A58" s="1887"/>
      <c r="B58" s="1908"/>
      <c r="C58" s="1888"/>
      <c r="D58" s="1885"/>
      <c r="E58" s="1905">
        <f t="shared" si="1"/>
        <v>0</v>
      </c>
      <c r="F58" s="1905" t="str">
        <f t="shared" si="0"/>
        <v>0</v>
      </c>
    </row>
    <row r="59" spans="1:6" x14ac:dyDescent="0.25">
      <c r="A59" s="1887"/>
      <c r="B59" s="1908"/>
      <c r="C59" s="1888"/>
      <c r="D59" s="1885"/>
      <c r="E59" s="1905">
        <f t="shared" si="1"/>
        <v>0</v>
      </c>
      <c r="F59" s="1905" t="str">
        <f t="shared" si="0"/>
        <v>0</v>
      </c>
    </row>
    <row r="60" spans="1:6" x14ac:dyDescent="0.25">
      <c r="A60" s="1887"/>
      <c r="B60" s="1908"/>
      <c r="C60" s="1888"/>
      <c r="D60" s="1885"/>
      <c r="E60" s="1905">
        <f t="shared" si="1"/>
        <v>0</v>
      </c>
      <c r="F60" s="1905" t="str">
        <f t="shared" si="0"/>
        <v>0</v>
      </c>
    </row>
    <row r="61" spans="1:6" x14ac:dyDescent="0.25">
      <c r="A61" s="1887"/>
      <c r="B61" s="1908"/>
      <c r="C61" s="1888"/>
      <c r="D61" s="1885"/>
      <c r="E61" s="1905">
        <f t="shared" si="1"/>
        <v>0</v>
      </c>
      <c r="F61" s="1905" t="str">
        <f t="shared" si="0"/>
        <v>0</v>
      </c>
    </row>
    <row r="62" spans="1:6" x14ac:dyDescent="0.25">
      <c r="A62" s="1887"/>
      <c r="B62" s="1908"/>
      <c r="C62" s="1888"/>
      <c r="D62" s="1885"/>
      <c r="E62" s="1905">
        <f t="shared" si="1"/>
        <v>0</v>
      </c>
      <c r="F62" s="1905" t="str">
        <f t="shared" si="0"/>
        <v>0</v>
      </c>
    </row>
    <row r="63" spans="1:6" x14ac:dyDescent="0.25">
      <c r="A63" s="1887"/>
      <c r="B63" s="1908"/>
      <c r="C63" s="1888"/>
      <c r="D63" s="1885"/>
      <c r="E63" s="1905">
        <f t="shared" si="1"/>
        <v>0</v>
      </c>
      <c r="F63" s="1905" t="str">
        <f t="shared" si="0"/>
        <v>0</v>
      </c>
    </row>
    <row r="64" spans="1:6" x14ac:dyDescent="0.25">
      <c r="A64" s="1887"/>
      <c r="B64" s="1908"/>
      <c r="C64" s="1888"/>
      <c r="D64" s="1885"/>
      <c r="E64" s="1905">
        <f t="shared" si="1"/>
        <v>0</v>
      </c>
      <c r="F64" s="1905" t="str">
        <f t="shared" si="0"/>
        <v>0</v>
      </c>
    </row>
    <row r="65" spans="1:6" x14ac:dyDescent="0.25">
      <c r="A65" s="1883"/>
      <c r="B65" s="1908"/>
      <c r="C65" s="1884"/>
      <c r="D65" s="1885"/>
      <c r="E65" s="1905">
        <f t="shared" si="1"/>
        <v>0</v>
      </c>
      <c r="F65" s="1905" t="str">
        <f t="shared" si="0"/>
        <v>0</v>
      </c>
    </row>
    <row r="66" spans="1:6" x14ac:dyDescent="0.25">
      <c r="A66" s="1887"/>
      <c r="B66" s="1908"/>
      <c r="C66" s="1888"/>
      <c r="D66" s="1885"/>
      <c r="E66" s="1905">
        <f t="shared" si="1"/>
        <v>0</v>
      </c>
      <c r="F66" s="1905" t="str">
        <f t="shared" si="0"/>
        <v>0</v>
      </c>
    </row>
    <row r="67" spans="1:6" x14ac:dyDescent="0.25">
      <c r="A67" s="1887"/>
      <c r="B67" s="1908"/>
      <c r="C67" s="1888"/>
      <c r="D67" s="1885"/>
      <c r="E67" s="1905">
        <f t="shared" si="1"/>
        <v>0</v>
      </c>
      <c r="F67" s="1905" t="str">
        <f t="shared" si="0"/>
        <v>0</v>
      </c>
    </row>
    <row r="68" spans="1:6" x14ac:dyDescent="0.25">
      <c r="A68" s="1887"/>
      <c r="B68" s="1908"/>
      <c r="C68" s="1888"/>
      <c r="D68" s="1885"/>
      <c r="E68" s="1905">
        <f t="shared" si="1"/>
        <v>0</v>
      </c>
      <c r="F68" s="1905" t="str">
        <f t="shared" si="0"/>
        <v>0</v>
      </c>
    </row>
    <row r="69" spans="1:6" x14ac:dyDescent="0.25">
      <c r="A69" s="1887"/>
      <c r="B69" s="1908"/>
      <c r="C69" s="1888"/>
      <c r="D69" s="1885"/>
      <c r="E69" s="1905">
        <f t="shared" si="1"/>
        <v>0</v>
      </c>
      <c r="F69" s="1905" t="str">
        <f t="shared" si="0"/>
        <v>0</v>
      </c>
    </row>
    <row r="70" spans="1:6" x14ac:dyDescent="0.25">
      <c r="A70" s="1887"/>
      <c r="B70" s="1908"/>
      <c r="C70" s="1888"/>
      <c r="D70" s="1885"/>
      <c r="E70" s="1905">
        <f t="shared" si="1"/>
        <v>0</v>
      </c>
      <c r="F70" s="1905" t="str">
        <f t="shared" si="0"/>
        <v>0</v>
      </c>
    </row>
    <row r="71" spans="1:6" x14ac:dyDescent="0.25">
      <c r="A71" s="1887"/>
      <c r="B71" s="1908"/>
      <c r="C71" s="1888"/>
      <c r="D71" s="1885"/>
      <c r="E71" s="1905">
        <f t="shared" si="1"/>
        <v>0</v>
      </c>
      <c r="F71" s="1905" t="str">
        <f t="shared" si="0"/>
        <v>0</v>
      </c>
    </row>
    <row r="72" spans="1:6" x14ac:dyDescent="0.25">
      <c r="A72" s="1887"/>
      <c r="B72" s="1908"/>
      <c r="C72" s="1888"/>
      <c r="D72" s="1885"/>
      <c r="E72" s="1905">
        <f t="shared" si="1"/>
        <v>0</v>
      </c>
      <c r="F72" s="1905" t="str">
        <f t="shared" si="0"/>
        <v>0</v>
      </c>
    </row>
    <row r="73" spans="1:6" x14ac:dyDescent="0.25">
      <c r="A73" s="1887"/>
      <c r="B73" s="1908"/>
      <c r="C73" s="1888"/>
      <c r="D73" s="1885"/>
      <c r="E73" s="1905">
        <f t="shared" si="1"/>
        <v>0</v>
      </c>
      <c r="F73" s="1905" t="str">
        <f t="shared" si="0"/>
        <v>0</v>
      </c>
    </row>
    <row r="74" spans="1:6" x14ac:dyDescent="0.25">
      <c r="A74" s="1887"/>
      <c r="B74" s="1908"/>
      <c r="C74" s="1888"/>
      <c r="D74" s="1885"/>
      <c r="E74" s="1905">
        <f t="shared" si="1"/>
        <v>0</v>
      </c>
      <c r="F74" s="1905" t="str">
        <f t="shared" si="0"/>
        <v>0</v>
      </c>
    </row>
    <row r="75" spans="1:6" x14ac:dyDescent="0.25">
      <c r="A75" s="1887"/>
      <c r="B75" s="1908"/>
      <c r="C75" s="1888"/>
      <c r="D75" s="1885"/>
      <c r="E75" s="1905">
        <f t="shared" si="1"/>
        <v>0</v>
      </c>
      <c r="F75" s="1905" t="str">
        <f t="shared" si="0"/>
        <v>0</v>
      </c>
    </row>
    <row r="76" spans="1:6" x14ac:dyDescent="0.25">
      <c r="A76" s="1887"/>
      <c r="B76" s="1908"/>
      <c r="C76" s="1888"/>
      <c r="D76" s="1885"/>
      <c r="E76" s="1905">
        <f t="shared" si="1"/>
        <v>0</v>
      </c>
      <c r="F76" s="1905" t="str">
        <f t="shared" si="0"/>
        <v>0</v>
      </c>
    </row>
    <row r="77" spans="1:6" x14ac:dyDescent="0.25">
      <c r="A77" s="1887"/>
      <c r="B77" s="1908"/>
      <c r="C77" s="1888"/>
      <c r="D77" s="1885"/>
      <c r="E77" s="1905">
        <f t="shared" si="1"/>
        <v>0</v>
      </c>
      <c r="F77" s="1905" t="str">
        <f t="shared" si="0"/>
        <v>0</v>
      </c>
    </row>
    <row r="78" spans="1:6" x14ac:dyDescent="0.25">
      <c r="A78" s="1887"/>
      <c r="B78" s="1908"/>
      <c r="C78" s="1888"/>
      <c r="D78" s="1885"/>
      <c r="E78" s="1905">
        <f t="shared" si="1"/>
        <v>0</v>
      </c>
      <c r="F78" s="1905" t="str">
        <f t="shared" si="0"/>
        <v>0</v>
      </c>
    </row>
    <row r="79" spans="1:6" x14ac:dyDescent="0.25">
      <c r="A79" s="1887"/>
      <c r="B79" s="1908"/>
      <c r="C79" s="1888"/>
      <c r="D79" s="1885"/>
      <c r="E79" s="1905">
        <f t="shared" si="1"/>
        <v>0</v>
      </c>
      <c r="F79" s="1905" t="str">
        <f t="shared" si="0"/>
        <v>0</v>
      </c>
    </row>
    <row r="80" spans="1:6" x14ac:dyDescent="0.25">
      <c r="A80" s="1887"/>
      <c r="B80" s="1908"/>
      <c r="C80" s="1888"/>
      <c r="D80" s="1885"/>
      <c r="E80" s="1905">
        <f t="shared" si="1"/>
        <v>0</v>
      </c>
      <c r="F80" s="1905" t="str">
        <f t="shared" si="0"/>
        <v>0</v>
      </c>
    </row>
    <row r="81" spans="1:6" x14ac:dyDescent="0.25">
      <c r="A81" s="1887"/>
      <c r="B81" s="1908"/>
      <c r="C81" s="1888"/>
      <c r="D81" s="1885"/>
      <c r="E81" s="1905">
        <f t="shared" si="1"/>
        <v>0</v>
      </c>
      <c r="F81" s="1905" t="str">
        <f t="shared" si="0"/>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29515</v>
      </c>
      <c r="E142" s="1892">
        <f>SUM(E18:E141)</f>
        <v>0</v>
      </c>
      <c r="F142" s="1893">
        <f>SUM(F18:F141)</f>
        <v>4515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4294967295" verticalDpi="4294967295"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FF00"/>
  </sheetPr>
  <dimension ref="A1:M46"/>
  <sheetViews>
    <sheetView showGridLines="0" defaultGridColor="0" topLeftCell="A22"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1663</v>
      </c>
      <c r="B5" s="2388"/>
      <c r="C5" s="2388"/>
      <c r="D5" s="2388"/>
      <c r="E5" s="2388"/>
      <c r="F5" s="2388"/>
      <c r="G5" s="2389"/>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v>64603</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0">
        <v>9283</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1571516</v>
      </c>
      <c r="F19" s="1801"/>
      <c r="G19" s="1803">
        <f>'Expenditures 15-22'!K33-SUM('Expenditures 15-22'!G33,'Expenditures 15-22'!I33)+'Expenditures 15-22'!D229</f>
        <v>1571516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116208</v>
      </c>
      <c r="F21" s="1804"/>
      <c r="G21" s="1807">
        <f>'Expenditures 15-22'!K42-SUM('Expenditures 15-22'!G42,'Expenditures 15-22'!I42)+'Expenditures 15-22'!K120-SUM('Expenditures 15-22'!G120,'Expenditures 15-22'!I120)+'Expenditures 15-22'!K180-SUM('Expenditures 15-22'!G180,'Expenditures 15-22'!I180)+'Expenditures 15-22'!D238</f>
        <v>116208</v>
      </c>
      <c r="H21" s="817"/>
      <c r="I21" s="157"/>
    </row>
    <row r="22" spans="1:9" s="542" customFormat="1" ht="12" customHeight="1" x14ac:dyDescent="0.2">
      <c r="A22" s="824" t="s">
        <v>560</v>
      </c>
      <c r="B22" s="825"/>
      <c r="C22" s="823">
        <v>2200</v>
      </c>
      <c r="D22" s="1804"/>
      <c r="E22" s="1806">
        <f>'Expenditures 15-22'!K47-SUM('Expenditures 15-22'!G47,'Expenditures 15-22'!I47)+'Expenditures 15-22'!D243</f>
        <v>47905</v>
      </c>
      <c r="F22" s="1804"/>
      <c r="G22" s="1807">
        <f>'Expenditures 15-22'!K47-SUM('Expenditures 15-22'!G47,'Expenditures 15-22'!I47)+'Expenditures 15-22'!D243</f>
        <v>47905</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419620</v>
      </c>
      <c r="F23" s="1804"/>
      <c r="G23" s="1806">
        <f>'Expenditures 15-22'!K53-SUM('Expenditures 15-22'!G53,'Expenditures 15-22'!I53)+'Expenditures 15-22'!D257+'Expenditures 15-22'!K330-SUM('Expenditures 15-22'!G330,'Expenditures 15-22'!I330)</f>
        <v>419620</v>
      </c>
      <c r="H23" s="817"/>
      <c r="I23" s="157"/>
    </row>
    <row r="24" spans="1:9" s="542" customFormat="1" ht="12" customHeight="1" x14ac:dyDescent="0.2">
      <c r="A24" s="824" t="s">
        <v>562</v>
      </c>
      <c r="B24" s="825"/>
      <c r="C24" s="823">
        <v>2400</v>
      </c>
      <c r="D24" s="1804"/>
      <c r="E24" s="1806">
        <f>'Expenditures 15-22'!K57-SUM('Expenditures 15-22'!G57,'Expenditures 15-22'!I57)+'Expenditures 15-22'!D261</f>
        <v>163509</v>
      </c>
      <c r="F24" s="1804"/>
      <c r="G24" s="1807">
        <f>'Expenditures 15-22'!K57-SUM('Expenditures 15-22'!G57,'Expenditures 15-22'!I57)+'Expenditures 15-22'!D261</f>
        <v>163509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66443</v>
      </c>
      <c r="E27" s="1806">
        <f>E8</f>
        <v>0</v>
      </c>
      <c r="F27" s="1806">
        <f>'Expenditures 15-22'!K60-SUM('Expenditures 15-22'!G60,'Expenditures 15-22'!I60)+'Expenditures 15-22'!D264-E8</f>
        <v>66443</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277018</v>
      </c>
      <c r="F28" s="1808">
        <f>'Expenditures 15-22'!K61-SUM('Expenditures 15-22'!G61,'Expenditures 15-22'!I61)+'Expenditures 15-22'!K124-SUM('Expenditures 15-22'!G124,'Expenditures 15-22'!I124)+'Expenditures 15-22'!D266-E9</f>
        <v>277018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152607</v>
      </c>
      <c r="F29" s="1804"/>
      <c r="G29" s="1807">
        <f>'Expenditures 15-22'!K62-SUM('Expenditures 15-22'!G62,'Expenditures 15-22'!I62)+'Expenditures 15-22'!K125-SUM('Expenditures 15-22'!G125,'Expenditures 15-22'!I125)+'Expenditures 15-22'!K182-SUM('Expenditures 15-22'!G182,'Expenditures 15-22'!I182)+'Expenditures 15-22'!D267</f>
        <v>152607</v>
      </c>
      <c r="H29" s="815"/>
    </row>
    <row r="30" spans="1:9" ht="12" customHeight="1" x14ac:dyDescent="0.2">
      <c r="A30" s="824" t="s">
        <v>100</v>
      </c>
      <c r="B30" s="827"/>
      <c r="C30" s="823">
        <v>2560</v>
      </c>
      <c r="D30" s="1804"/>
      <c r="E30" s="1806">
        <f>'Expenditures 15-22'!K63-SUM('Expenditures 15-22'!G63,'Expenditures 15-22'!I63)+'Expenditures 15-22'!D268-E10</f>
        <v>92173</v>
      </c>
      <c r="F30" s="1804"/>
      <c r="G30" s="1806">
        <f>'Expenditures 15-22'!K63-SUM('Expenditures 15-22'!G63,'Expenditures 15-22'!I63)+'Expenditures 15-22'!D268-E10</f>
        <v>92173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7609</v>
      </c>
      <c r="F34" s="1804"/>
      <c r="G34" s="1806">
        <f>'Expenditures 15-22'!K68-SUM('Expenditures 15-22'!G68,'Expenditures 15-22'!I68)+'Expenditures 15-22'!D273</f>
        <v>7609</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29'!F142</f>
        <v>-4515</v>
      </c>
      <c r="F40" s="1804"/>
      <c r="G40" s="1808">
        <f>-'Contracts Paid in CY 29'!F142</f>
        <v>-4515</v>
      </c>
    </row>
    <row r="41" spans="1:7" ht="12" customHeight="1" x14ac:dyDescent="0.2">
      <c r="A41" s="828" t="s">
        <v>155</v>
      </c>
      <c r="B41" s="829"/>
      <c r="C41" s="830"/>
      <c r="D41" s="1808">
        <f>SUM(D19:D39)</f>
        <v>66443</v>
      </c>
      <c r="E41" s="1808">
        <f>SUM(E19:E40)</f>
        <v>2843650</v>
      </c>
      <c r="F41" s="1808">
        <f>SUM(F19:F39)</f>
        <v>343461</v>
      </c>
      <c r="G41" s="1808">
        <f>SUM(G19:G40)</f>
        <v>2566632</v>
      </c>
    </row>
    <row r="42" spans="1:7" x14ac:dyDescent="0.2">
      <c r="A42" s="817"/>
      <c r="B42" s="157"/>
      <c r="C42" s="831"/>
      <c r="D42" s="2390" t="s">
        <v>519</v>
      </c>
      <c r="E42" s="2391"/>
      <c r="F42" s="832" t="s">
        <v>520</v>
      </c>
      <c r="G42" s="833"/>
    </row>
    <row r="43" spans="1:7" ht="12" customHeight="1" x14ac:dyDescent="0.2">
      <c r="A43" s="817"/>
      <c r="B43" s="157"/>
      <c r="C43" s="831"/>
      <c r="D43" s="1457" t="s">
        <v>470</v>
      </c>
      <c r="E43" s="1809">
        <f>D41</f>
        <v>66443</v>
      </c>
      <c r="F43" s="1457" t="s">
        <v>470</v>
      </c>
      <c r="G43" s="1809">
        <f>F41</f>
        <v>343461</v>
      </c>
    </row>
    <row r="44" spans="1:7" ht="12" customHeight="1" x14ac:dyDescent="0.2">
      <c r="A44" s="817"/>
      <c r="B44" s="157"/>
      <c r="C44" s="831"/>
      <c r="D44" s="1457" t="s">
        <v>471</v>
      </c>
      <c r="E44" s="1809">
        <f>E41</f>
        <v>2843650</v>
      </c>
      <c r="F44" s="1457" t="s">
        <v>471</v>
      </c>
      <c r="G44" s="1809">
        <f>G41</f>
        <v>2566632</v>
      </c>
    </row>
    <row r="45" spans="1:7" ht="12" customHeight="1" x14ac:dyDescent="0.2">
      <c r="A45" s="817"/>
      <c r="B45" s="157"/>
      <c r="C45" s="157"/>
      <c r="D45" s="1458" t="s">
        <v>999</v>
      </c>
      <c r="E45" s="1810">
        <f>(E43/E44)</f>
        <v>2.3365393068767254E-2</v>
      </c>
      <c r="F45" s="1458" t="s">
        <v>999</v>
      </c>
      <c r="G45" s="1810">
        <f>(G43/G44)</f>
        <v>0.13381778143497003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FF00"/>
    <pageSetUpPr fitToPage="1"/>
  </sheetPr>
  <dimension ref="A1:O97"/>
  <sheetViews>
    <sheetView showGridLines="0" zoomScale="110" zoomScaleNormal="110" workbookViewId="0">
      <pane ySplit="4" topLeftCell="A20" activePane="bottomLeft" state="frozen"/>
      <selection activeCell="A47" sqref="A47"/>
      <selection pane="bottomLeft" activeCell="F30" sqref="F30"/>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8" t="s">
        <v>1365</v>
      </c>
      <c r="B1" s="2398"/>
      <c r="C1" s="2398"/>
      <c r="D1" s="2398"/>
      <c r="E1" s="2398"/>
      <c r="F1" s="2398"/>
    </row>
    <row r="2" spans="1:15" x14ac:dyDescent="0.2">
      <c r="A2" s="1512" t="s">
        <v>1881</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399" t="s">
        <v>1532</v>
      </c>
      <c r="B5" s="2400"/>
      <c r="C5" s="2401"/>
      <c r="D5" s="2401"/>
      <c r="E5" s="2401"/>
      <c r="F5" s="2401"/>
      <c r="G5" s="1506"/>
      <c r="L5" s="1506"/>
      <c r="M5" s="1854"/>
      <c r="N5" s="1854"/>
      <c r="O5" s="1854"/>
    </row>
    <row r="6" spans="1:15" ht="12" customHeight="1" x14ac:dyDescent="0.25">
      <c r="A6" s="1479"/>
      <c r="B6" s="1480"/>
      <c r="C6" s="2402" t="str">
        <f>COVER!A17</f>
        <v>Meredosia- Chambersburg CUSD 11</v>
      </c>
      <c r="D6" s="2402"/>
      <c r="E6" s="2402"/>
      <c r="F6" s="1481"/>
      <c r="G6" s="1506"/>
      <c r="L6" s="1506"/>
      <c r="M6" s="1854"/>
      <c r="N6" s="1854"/>
      <c r="O6" s="1854"/>
    </row>
    <row r="7" spans="1:15" ht="11.25" customHeight="1" thickBot="1" x14ac:dyDescent="0.3">
      <c r="A7" s="1479"/>
      <c r="B7" s="1480"/>
      <c r="C7" s="2403">
        <f>COVER!A13</f>
        <v>1069011026</v>
      </c>
      <c r="D7" s="2403"/>
      <c r="E7" s="2403"/>
      <c r="F7" s="1481"/>
      <c r="G7" s="1506"/>
      <c r="L7" s="1506"/>
      <c r="M7" s="1854"/>
      <c r="N7" s="1854"/>
      <c r="O7" s="1854"/>
    </row>
    <row r="8" spans="1:15" ht="25.5" customHeight="1" thickBot="1" x14ac:dyDescent="0.25">
      <c r="A8" s="1518" t="s">
        <v>1877</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t="s">
        <v>2021</v>
      </c>
      <c r="D25" s="1494" t="s">
        <v>2021</v>
      </c>
      <c r="E25" s="1497"/>
      <c r="F25" s="1496" t="s">
        <v>2050</v>
      </c>
      <c r="G25" s="1506"/>
      <c r="H25" s="1506">
        <f t="shared" si="0"/>
        <v>5</v>
      </c>
      <c r="I25" s="1506">
        <f t="shared" si="1"/>
        <v>5</v>
      </c>
      <c r="J25" s="1506">
        <f t="shared" si="2"/>
        <v>0</v>
      </c>
      <c r="L25" s="1506"/>
      <c r="M25" s="1854"/>
      <c r="N25" s="1854"/>
      <c r="O25" s="1854"/>
    </row>
    <row r="26" spans="1:15" ht="12" customHeight="1" x14ac:dyDescent="0.2">
      <c r="A26" s="1492" t="s">
        <v>1520</v>
      </c>
      <c r="B26" s="1493"/>
      <c r="C26" s="1494" t="s">
        <v>2021</v>
      </c>
      <c r="D26" s="1494" t="s">
        <v>2021</v>
      </c>
      <c r="E26" s="1497"/>
      <c r="F26" s="1496" t="s">
        <v>2051</v>
      </c>
      <c r="G26" s="1506"/>
      <c r="H26" s="1506">
        <f t="shared" si="0"/>
        <v>5</v>
      </c>
      <c r="I26" s="1506">
        <f t="shared" si="1"/>
        <v>5</v>
      </c>
      <c r="J26" s="1506">
        <f t="shared" si="2"/>
        <v>0</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t="s">
        <v>2021</v>
      </c>
      <c r="D33" s="1494" t="s">
        <v>2021</v>
      </c>
      <c r="E33" s="1497"/>
      <c r="F33" s="1496" t="s">
        <v>2052</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1378</v>
      </c>
      <c r="B35" s="1500"/>
      <c r="C35" s="2404"/>
      <c r="D35" s="2404"/>
      <c r="E35" s="2404"/>
      <c r="F35" s="2405"/>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409"/>
      <c r="B38" s="2410"/>
      <c r="C38" s="2410"/>
      <c r="D38" s="2410"/>
      <c r="E38" s="2410"/>
      <c r="F38" s="2411"/>
    </row>
    <row r="39" spans="1:15" ht="4.5" hidden="1" customHeight="1" x14ac:dyDescent="0.2">
      <c r="A39" s="1501"/>
      <c r="B39" s="1501"/>
      <c r="C39" s="1501"/>
      <c r="D39" s="1501"/>
      <c r="E39" s="1501"/>
      <c r="F39" s="1501"/>
    </row>
    <row r="40" spans="1:15" s="1498" customFormat="1" ht="12" customHeight="1" x14ac:dyDescent="0.25">
      <c r="A40" s="1502" t="s">
        <v>1377</v>
      </c>
      <c r="B40" s="1503"/>
      <c r="C40" s="2412"/>
      <c r="D40" s="2412"/>
      <c r="E40" s="2412"/>
      <c r="F40" s="2413"/>
      <c r="H40" s="1507"/>
      <c r="I40" s="1507"/>
      <c r="J40" s="1507"/>
      <c r="K40" s="1507"/>
    </row>
    <row r="41" spans="1:15" s="1498" customFormat="1" ht="12" customHeight="1" x14ac:dyDescent="0.25">
      <c r="A41" s="2414"/>
      <c r="B41" s="2415"/>
      <c r="C41" s="2415"/>
      <c r="D41" s="2415"/>
      <c r="E41" s="2415"/>
      <c r="F41" s="2416"/>
      <c r="H41" s="1507"/>
      <c r="I41" s="1507"/>
      <c r="J41" s="1507"/>
      <c r="K41" s="1507"/>
    </row>
    <row r="42" spans="1:15" s="1498" customFormat="1" ht="12" customHeight="1" x14ac:dyDescent="0.25">
      <c r="A42" s="2414"/>
      <c r="B42" s="2415"/>
      <c r="C42" s="2415"/>
      <c r="D42" s="2415"/>
      <c r="E42" s="2415"/>
      <c r="F42" s="2416"/>
      <c r="H42" s="1507"/>
      <c r="I42" s="1507"/>
      <c r="J42" s="1507"/>
      <c r="K42" s="1507"/>
    </row>
    <row r="43" spans="1:15" s="1498" customFormat="1" ht="15" x14ac:dyDescent="0.25">
      <c r="A43" s="2406"/>
      <c r="B43" s="2407"/>
      <c r="C43" s="2407"/>
      <c r="D43" s="2407"/>
      <c r="E43" s="2407"/>
      <c r="F43" s="2408"/>
      <c r="H43" s="1507"/>
      <c r="I43" s="1507"/>
      <c r="J43" s="1507"/>
      <c r="K43" s="1507"/>
    </row>
    <row r="44" spans="1:15" s="1498" customFormat="1" ht="12" hidden="1" customHeight="1" x14ac:dyDescent="0.25">
      <c r="A44" s="2406"/>
      <c r="B44" s="2407"/>
      <c r="C44" s="2407"/>
      <c r="D44" s="2407"/>
      <c r="E44" s="2407"/>
      <c r="F44" s="240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zoomScaleNormal="100" workbookViewId="0">
      <selection activeCell="E67" sqref="E67"/>
    </sheetView>
  </sheetViews>
  <sheetFormatPr defaultColWidth="8.85546875" defaultRowHeight="15" x14ac:dyDescent="0.25"/>
  <cols>
    <col min="1" max="1" width="2.7109375" style="1926" customWidth="1"/>
    <col min="2" max="2" width="3" style="1926" customWidth="1"/>
    <col min="3" max="3" width="38" style="1926" customWidth="1"/>
    <col min="4" max="4" width="7.7109375" style="1926" customWidth="1"/>
    <col min="5" max="5" width="10.7109375" style="1926" customWidth="1"/>
    <col min="6" max="6" width="11" style="1926" customWidth="1"/>
    <col min="7" max="8" width="8.85546875" style="1926"/>
    <col min="9" max="9" width="10.85546875" style="1926" customWidth="1"/>
    <col min="10" max="10" width="12.42578125" style="1926" customWidth="1"/>
    <col min="11" max="11" width="8.85546875" style="1926"/>
    <col min="12" max="12" width="13.140625" style="1926" customWidth="1"/>
    <col min="13" max="13" width="8.85546875" style="1926"/>
    <col min="14" max="14" width="17.85546875" style="1926" customWidth="1"/>
    <col min="15" max="16384" width="8.85546875" style="1926"/>
  </cols>
  <sheetData>
    <row r="1" spans="1:14" x14ac:dyDescent="0.25">
      <c r="A1" s="1921"/>
      <c r="B1" s="1922"/>
      <c r="C1" s="1922"/>
      <c r="D1" s="1922"/>
      <c r="E1" s="1922"/>
      <c r="F1" s="1922"/>
      <c r="G1" s="1923" t="s">
        <v>402</v>
      </c>
      <c r="H1" s="1924"/>
      <c r="I1" s="1922"/>
      <c r="J1" s="1922"/>
      <c r="K1" s="1922"/>
      <c r="L1" s="1922"/>
      <c r="M1" s="1922"/>
      <c r="N1" s="1925"/>
    </row>
    <row r="2" spans="1:14" x14ac:dyDescent="0.25">
      <c r="A2" s="1927"/>
      <c r="B2" s="838"/>
      <c r="C2" s="838"/>
      <c r="D2" s="838"/>
      <c r="E2" s="838"/>
      <c r="F2" s="838"/>
      <c r="G2" s="1928" t="s">
        <v>2005</v>
      </c>
      <c r="H2" s="1929"/>
      <c r="I2" s="838"/>
      <c r="J2" s="838"/>
      <c r="K2" s="838"/>
      <c r="L2" s="838"/>
      <c r="M2" s="838"/>
      <c r="N2" s="1930"/>
    </row>
    <row r="3" spans="1:14" x14ac:dyDescent="0.25">
      <c r="A3" s="1927"/>
      <c r="B3" s="838"/>
      <c r="C3" s="838"/>
      <c r="D3" s="838"/>
      <c r="E3" s="838"/>
      <c r="F3" s="838"/>
      <c r="G3" s="1928" t="s">
        <v>403</v>
      </c>
      <c r="H3" s="838"/>
      <c r="I3" s="838"/>
      <c r="J3" s="838"/>
      <c r="K3" s="838"/>
      <c r="L3" s="838"/>
      <c r="M3" s="838"/>
      <c r="N3" s="1930"/>
    </row>
    <row r="4" spans="1:14" x14ac:dyDescent="0.25">
      <c r="A4" s="1927"/>
      <c r="B4" s="838"/>
      <c r="C4" s="838"/>
      <c r="D4" s="838"/>
      <c r="E4" s="838"/>
      <c r="F4" s="838"/>
      <c r="G4" s="1928" t="s">
        <v>863</v>
      </c>
      <c r="H4" s="838"/>
      <c r="I4" s="838"/>
      <c r="J4" s="838"/>
      <c r="K4" s="838"/>
      <c r="L4" s="838"/>
      <c r="M4" s="838"/>
      <c r="N4" s="1930"/>
    </row>
    <row r="5" spans="1:14" x14ac:dyDescent="0.25">
      <c r="A5" s="1927"/>
      <c r="B5" s="838"/>
      <c r="C5" s="838"/>
      <c r="D5" s="838"/>
      <c r="E5" s="838"/>
      <c r="F5" s="1928"/>
      <c r="G5" s="1928"/>
      <c r="H5" s="838"/>
      <c r="I5" s="838"/>
      <c r="J5" s="838"/>
      <c r="K5" s="838"/>
      <c r="L5" s="838"/>
      <c r="M5" s="838"/>
      <c r="N5" s="1930"/>
    </row>
    <row r="6" spans="1:14" x14ac:dyDescent="0.25">
      <c r="A6" s="1931" t="s">
        <v>667</v>
      </c>
      <c r="B6" s="1376"/>
      <c r="C6" s="1376"/>
      <c r="D6" s="1376"/>
      <c r="E6" s="1377"/>
      <c r="F6" s="1932"/>
      <c r="G6" s="1928"/>
      <c r="H6" s="838"/>
      <c r="I6" s="1933" t="s">
        <v>1021</v>
      </c>
      <c r="J6" s="2460" t="str">
        <f>COVER!A17</f>
        <v>Meredosia- Chambersburg CUSD 11</v>
      </c>
      <c r="K6" s="2460"/>
      <c r="L6" s="2461"/>
      <c r="M6" s="838"/>
      <c r="N6" s="1930"/>
    </row>
    <row r="7" spans="1:14" x14ac:dyDescent="0.25">
      <c r="A7" s="2462" t="s">
        <v>864</v>
      </c>
      <c r="B7" s="2463"/>
      <c r="C7" s="2463"/>
      <c r="D7" s="2463"/>
      <c r="E7" s="2464"/>
      <c r="F7" s="839"/>
      <c r="G7" s="838"/>
      <c r="H7" s="838"/>
      <c r="I7" s="1933" t="s">
        <v>369</v>
      </c>
      <c r="J7" s="2465">
        <f>COVER!A13</f>
        <v>1069011026</v>
      </c>
      <c r="K7" s="2465"/>
      <c r="L7" s="2465"/>
      <c r="M7" s="838"/>
      <c r="N7" s="1930"/>
    </row>
    <row r="8" spans="1:14" x14ac:dyDescent="0.25">
      <c r="A8" s="1934"/>
      <c r="B8" s="1935"/>
      <c r="C8" s="1935"/>
      <c r="D8" s="1935"/>
      <c r="E8" s="1936"/>
      <c r="F8" s="1937"/>
      <c r="G8" s="1911"/>
      <c r="H8" s="1911"/>
      <c r="I8" s="1911"/>
      <c r="J8" s="1911"/>
      <c r="K8" s="1911"/>
      <c r="L8" s="1911"/>
      <c r="M8" s="838"/>
      <c r="N8" s="1930"/>
    </row>
    <row r="9" spans="1:14" x14ac:dyDescent="0.25">
      <c r="A9" s="1938"/>
      <c r="B9" s="840"/>
      <c r="C9" s="840"/>
      <c r="D9" s="841"/>
      <c r="E9" s="1939" t="s">
        <v>2053</v>
      </c>
      <c r="F9" s="1856"/>
      <c r="G9" s="1856"/>
      <c r="H9" s="1856"/>
      <c r="I9" s="1940" t="s">
        <v>2054</v>
      </c>
      <c r="J9" s="1856"/>
      <c r="K9" s="1856"/>
      <c r="L9" s="1857"/>
      <c r="M9" s="838"/>
      <c r="N9" s="1930"/>
    </row>
    <row r="10" spans="1:14" x14ac:dyDescent="0.25">
      <c r="A10" s="1941"/>
      <c r="B10" s="1942"/>
      <c r="C10" s="1943"/>
      <c r="D10" s="1944"/>
      <c r="E10" s="1945" t="s">
        <v>422</v>
      </c>
      <c r="F10" s="1946" t="s">
        <v>423</v>
      </c>
      <c r="G10" s="1947" t="s">
        <v>429</v>
      </c>
      <c r="H10" s="1948"/>
      <c r="I10" s="1946" t="s">
        <v>422</v>
      </c>
      <c r="J10" s="1946" t="s">
        <v>423</v>
      </c>
      <c r="K10" s="1947" t="s">
        <v>429</v>
      </c>
      <c r="L10" s="1946"/>
      <c r="M10" s="838"/>
      <c r="N10" s="1930"/>
    </row>
    <row r="11" spans="1:14" ht="51" x14ac:dyDescent="0.25">
      <c r="A11" s="2466" t="s">
        <v>478</v>
      </c>
      <c r="B11" s="2467"/>
      <c r="C11" s="2468"/>
      <c r="D11" s="1949" t="s">
        <v>866</v>
      </c>
      <c r="E11" s="1949" t="s">
        <v>64</v>
      </c>
      <c r="F11" s="1949" t="s">
        <v>6</v>
      </c>
      <c r="G11" s="1950" t="s">
        <v>2055</v>
      </c>
      <c r="H11" s="1951" t="s">
        <v>155</v>
      </c>
      <c r="I11" s="1949" t="s">
        <v>64</v>
      </c>
      <c r="J11" s="1949" t="s">
        <v>6</v>
      </c>
      <c r="K11" s="1950" t="s">
        <v>2004</v>
      </c>
      <c r="L11" s="1951" t="s">
        <v>155</v>
      </c>
      <c r="M11" s="838"/>
      <c r="N11" s="1930"/>
    </row>
    <row r="12" spans="1:14" x14ac:dyDescent="0.25">
      <c r="A12" s="1952">
        <v>1</v>
      </c>
      <c r="B12" s="1953" t="s">
        <v>813</v>
      </c>
      <c r="C12" s="842"/>
      <c r="D12" s="1954">
        <v>2320</v>
      </c>
      <c r="E12" s="1955">
        <f>'Expenditures 15-22'!K50</f>
        <v>154883</v>
      </c>
      <c r="F12" s="1956"/>
      <c r="G12" s="1957">
        <f>G68</f>
        <v>0</v>
      </c>
      <c r="H12" s="1958">
        <f t="shared" ref="H12:H18" si="0">SUM(E12:G12)</f>
        <v>154883</v>
      </c>
      <c r="I12" s="1959">
        <v>104834</v>
      </c>
      <c r="J12" s="1956"/>
      <c r="K12" s="1959"/>
      <c r="L12" s="1958">
        <f t="shared" ref="L12:L18" si="1">SUM(I12:K12)</f>
        <v>104834</v>
      </c>
      <c r="M12" s="838"/>
      <c r="N12" s="1930"/>
    </row>
    <row r="13" spans="1:14" x14ac:dyDescent="0.25">
      <c r="A13" s="1952">
        <v>2</v>
      </c>
      <c r="B13" s="1953" t="s">
        <v>42</v>
      </c>
      <c r="C13" s="842"/>
      <c r="D13" s="1954">
        <v>2330</v>
      </c>
      <c r="E13" s="1955">
        <f>'Expenditures 15-22'!K51</f>
        <v>0</v>
      </c>
      <c r="F13" s="1956"/>
      <c r="G13" s="1957">
        <f>H68</f>
        <v>0</v>
      </c>
      <c r="H13" s="1958">
        <f t="shared" si="0"/>
        <v>0</v>
      </c>
      <c r="I13" s="1959"/>
      <c r="J13" s="1956"/>
      <c r="K13" s="1959"/>
      <c r="L13" s="1958">
        <f t="shared" si="1"/>
        <v>0</v>
      </c>
      <c r="M13" s="838"/>
      <c r="N13" s="1930"/>
    </row>
    <row r="14" spans="1:14" x14ac:dyDescent="0.25">
      <c r="A14" s="1952">
        <v>3</v>
      </c>
      <c r="B14" s="1953" t="s">
        <v>43</v>
      </c>
      <c r="C14" s="842"/>
      <c r="D14" s="1960">
        <v>2490</v>
      </c>
      <c r="E14" s="1955">
        <f>'Expenditures 15-22'!K56</f>
        <v>0</v>
      </c>
      <c r="F14" s="1956"/>
      <c r="G14" s="1957">
        <f>I68</f>
        <v>0</v>
      </c>
      <c r="H14" s="1958">
        <f t="shared" si="0"/>
        <v>0</v>
      </c>
      <c r="I14" s="1959"/>
      <c r="J14" s="1956"/>
      <c r="K14" s="1959"/>
      <c r="L14" s="1958">
        <f t="shared" si="1"/>
        <v>0</v>
      </c>
      <c r="M14" s="838"/>
      <c r="N14" s="1930"/>
    </row>
    <row r="15" spans="1:14" x14ac:dyDescent="0.25">
      <c r="A15" s="1952">
        <v>4</v>
      </c>
      <c r="B15" s="1953" t="s">
        <v>1061</v>
      </c>
      <c r="C15" s="842"/>
      <c r="D15" s="1954">
        <v>2510</v>
      </c>
      <c r="E15" s="1955">
        <f>'Expenditures 15-22'!K59</f>
        <v>0</v>
      </c>
      <c r="F15" s="1955">
        <f>'Expenditures 15-22'!K122</f>
        <v>0</v>
      </c>
      <c r="G15" s="1957">
        <f>J68</f>
        <v>0</v>
      </c>
      <c r="H15" s="1958">
        <f t="shared" si="0"/>
        <v>0</v>
      </c>
      <c r="I15" s="1959"/>
      <c r="J15" s="1959"/>
      <c r="K15" s="1959"/>
      <c r="L15" s="1958">
        <f t="shared" si="1"/>
        <v>0</v>
      </c>
      <c r="M15" s="838"/>
      <c r="N15" s="1930"/>
    </row>
    <row r="16" spans="1:14" x14ac:dyDescent="0.25">
      <c r="A16" s="1952">
        <v>5</v>
      </c>
      <c r="B16" s="1953" t="s">
        <v>101</v>
      </c>
      <c r="C16" s="842"/>
      <c r="D16" s="1954">
        <v>2570</v>
      </c>
      <c r="E16" s="1955">
        <f>'Expenditures 15-22'!K64</f>
        <v>0</v>
      </c>
      <c r="F16" s="1956"/>
      <c r="G16" s="1957">
        <f>K68</f>
        <v>0</v>
      </c>
      <c r="H16" s="1958">
        <f t="shared" si="0"/>
        <v>0</v>
      </c>
      <c r="I16" s="1959"/>
      <c r="J16" s="1956"/>
      <c r="K16" s="1959"/>
      <c r="L16" s="1958">
        <f t="shared" si="1"/>
        <v>0</v>
      </c>
      <c r="M16" s="838"/>
      <c r="N16" s="1930"/>
    </row>
    <row r="17" spans="1:14" x14ac:dyDescent="0.25">
      <c r="A17" s="1952">
        <v>6</v>
      </c>
      <c r="B17" s="1953" t="s">
        <v>1053</v>
      </c>
      <c r="C17" s="842"/>
      <c r="D17" s="1954">
        <v>2610</v>
      </c>
      <c r="E17" s="1955">
        <f>'Expenditures 15-22'!K67</f>
        <v>0</v>
      </c>
      <c r="F17" s="1956"/>
      <c r="G17" s="1957">
        <f>L68</f>
        <v>0</v>
      </c>
      <c r="H17" s="1958">
        <f t="shared" si="0"/>
        <v>0</v>
      </c>
      <c r="I17" s="1959"/>
      <c r="J17" s="1956"/>
      <c r="K17" s="1959"/>
      <c r="L17" s="1958">
        <f t="shared" si="1"/>
        <v>0</v>
      </c>
      <c r="M17" s="838"/>
      <c r="N17" s="1930"/>
    </row>
    <row r="18" spans="1:14" ht="28.5" customHeight="1" x14ac:dyDescent="0.25">
      <c r="A18" s="1961">
        <v>7</v>
      </c>
      <c r="B18" s="2469" t="s">
        <v>7</v>
      </c>
      <c r="C18" s="2470"/>
      <c r="D18" s="2471"/>
      <c r="E18" s="1962"/>
      <c r="F18" s="1962"/>
      <c r="G18" s="1959"/>
      <c r="H18" s="1963">
        <f t="shared" si="0"/>
        <v>0</v>
      </c>
      <c r="I18" s="1959"/>
      <c r="J18" s="1959"/>
      <c r="K18" s="1959"/>
      <c r="L18" s="1958">
        <f t="shared" si="1"/>
        <v>0</v>
      </c>
      <c r="M18" s="838"/>
      <c r="N18" s="1930"/>
    </row>
    <row r="19" spans="1:14" ht="15.75" thickBot="1" x14ac:dyDescent="0.3">
      <c r="A19" s="1952">
        <v>8</v>
      </c>
      <c r="B19" s="1964" t="s">
        <v>1153</v>
      </c>
      <c r="C19" s="838"/>
      <c r="D19" s="1965"/>
      <c r="E19" s="1966">
        <f t="shared" ref="E19:L19" si="2">SUM(E12:E17)-E18</f>
        <v>154883</v>
      </c>
      <c r="F19" s="1966">
        <f t="shared" si="2"/>
        <v>0</v>
      </c>
      <c r="G19" s="1966">
        <f t="shared" ref="G19" si="3">SUM(G12:G17)-G18</f>
        <v>0</v>
      </c>
      <c r="H19" s="1966">
        <f t="shared" si="2"/>
        <v>154883</v>
      </c>
      <c r="I19" s="1966">
        <f t="shared" si="2"/>
        <v>104834</v>
      </c>
      <c r="J19" s="1966">
        <f t="shared" si="2"/>
        <v>0</v>
      </c>
      <c r="K19" s="1966">
        <f t="shared" si="2"/>
        <v>0</v>
      </c>
      <c r="L19" s="1966">
        <f t="shared" si="2"/>
        <v>104834</v>
      </c>
      <c r="M19" s="838"/>
      <c r="N19" s="1930"/>
    </row>
    <row r="20" spans="1:14" ht="15.75" thickTop="1" x14ac:dyDescent="0.25">
      <c r="A20" s="1952">
        <v>9</v>
      </c>
      <c r="B20" s="2458" t="s">
        <v>2056</v>
      </c>
      <c r="C20" s="2458"/>
      <c r="D20" s="2459"/>
      <c r="E20" s="1967"/>
      <c r="F20" s="1967"/>
      <c r="G20" s="1967"/>
      <c r="H20" s="1967"/>
      <c r="I20" s="1967"/>
      <c r="J20" s="1967"/>
      <c r="K20" s="1967"/>
      <c r="L20" s="1968">
        <f>IF(AND(H19&gt;0,L19&gt;0),(((L19-H19)/H19)),"Enter Budget Data")</f>
        <v>-0.32314069329752138</v>
      </c>
      <c r="M20" s="838"/>
      <c r="N20" s="1930"/>
    </row>
    <row r="21" spans="1:14" x14ac:dyDescent="0.25">
      <c r="A21" s="1969" t="s">
        <v>194</v>
      </c>
      <c r="B21" s="1970" t="s">
        <v>2057</v>
      </c>
      <c r="C21" s="838"/>
      <c r="D21" s="1971"/>
      <c r="E21" s="1972"/>
      <c r="F21" s="1973"/>
      <c r="G21" s="1973"/>
      <c r="H21" s="1973"/>
      <c r="I21" s="1973"/>
      <c r="J21" s="1973"/>
      <c r="K21" s="1973"/>
      <c r="L21" s="1974"/>
      <c r="M21" s="838"/>
      <c r="N21" s="1930"/>
    </row>
    <row r="22" spans="1:14" x14ac:dyDescent="0.25">
      <c r="A22" s="1927"/>
      <c r="B22" s="1975"/>
      <c r="C22" s="838"/>
      <c r="D22" s="838"/>
      <c r="E22" s="838"/>
      <c r="F22" s="838"/>
      <c r="G22" s="838"/>
      <c r="H22" s="838"/>
      <c r="I22" s="838"/>
      <c r="J22" s="838"/>
      <c r="K22" s="838"/>
      <c r="L22" s="838"/>
      <c r="M22" s="838"/>
      <c r="N22" s="1930"/>
    </row>
    <row r="23" spans="1:14" x14ac:dyDescent="0.25">
      <c r="A23" s="1976" t="s">
        <v>132</v>
      </c>
      <c r="B23" s="1975"/>
      <c r="C23" s="838"/>
      <c r="D23" s="838"/>
      <c r="E23" s="838"/>
      <c r="F23" s="838"/>
      <c r="G23" s="838"/>
      <c r="H23" s="838"/>
      <c r="I23" s="838"/>
      <c r="J23" s="838"/>
      <c r="K23" s="838"/>
      <c r="L23" s="838"/>
      <c r="M23" s="838"/>
      <c r="N23" s="1930"/>
    </row>
    <row r="24" spans="1:14" x14ac:dyDescent="0.25">
      <c r="A24" s="1977" t="s">
        <v>2058</v>
      </c>
      <c r="B24" s="1978"/>
      <c r="C24" s="1979"/>
      <c r="D24" s="1979"/>
      <c r="E24" s="1979"/>
      <c r="F24" s="1979"/>
      <c r="G24" s="1979"/>
      <c r="H24" s="1979"/>
      <c r="I24" s="1979"/>
      <c r="J24" s="1979"/>
      <c r="K24" s="1979"/>
      <c r="L24" s="838"/>
      <c r="M24" s="838"/>
      <c r="N24" s="1930"/>
    </row>
    <row r="25" spans="1:14" x14ac:dyDescent="0.25">
      <c r="A25" s="1977" t="s">
        <v>2059</v>
      </c>
      <c r="B25" s="1978"/>
      <c r="C25" s="1979"/>
      <c r="D25" s="1979"/>
      <c r="E25" s="1979"/>
      <c r="F25" s="1979"/>
      <c r="G25" s="1979"/>
      <c r="H25" s="1979"/>
      <c r="I25" s="1979"/>
      <c r="J25" s="1979"/>
      <c r="K25" s="1979"/>
      <c r="L25" s="838"/>
      <c r="M25" s="838"/>
      <c r="N25" s="1930"/>
    </row>
    <row r="26" spans="1:14" x14ac:dyDescent="0.25">
      <c r="A26" s="1980"/>
      <c r="B26" s="1975"/>
      <c r="C26" s="838"/>
      <c r="D26" s="838"/>
      <c r="E26" s="838"/>
      <c r="F26" s="838"/>
      <c r="G26" s="838"/>
      <c r="H26" s="838"/>
      <c r="I26" s="838"/>
      <c r="J26" s="838"/>
      <c r="K26" s="838"/>
      <c r="L26" s="838"/>
      <c r="M26" s="838"/>
      <c r="N26" s="1930"/>
    </row>
    <row r="27" spans="1:14" x14ac:dyDescent="0.25">
      <c r="A27" s="1927"/>
      <c r="B27" s="1975"/>
      <c r="C27" s="2443"/>
      <c r="D27" s="2443"/>
      <c r="E27" s="843"/>
      <c r="F27" s="2444"/>
      <c r="G27" s="2444"/>
      <c r="H27" s="2444"/>
      <c r="I27" s="838"/>
      <c r="J27" s="838"/>
      <c r="K27" s="838"/>
      <c r="L27" s="838"/>
      <c r="M27" s="838"/>
      <c r="N27" s="1930"/>
    </row>
    <row r="28" spans="1:14" x14ac:dyDescent="0.25">
      <c r="A28" s="1927"/>
      <c r="B28" s="1975"/>
      <c r="C28" s="1981" t="s">
        <v>1026</v>
      </c>
      <c r="D28" s="844"/>
      <c r="E28" s="1982"/>
      <c r="F28" s="2445" t="s">
        <v>1495</v>
      </c>
      <c r="G28" s="2445"/>
      <c r="H28" s="2445"/>
      <c r="I28" s="838"/>
      <c r="J28" s="838"/>
      <c r="K28" s="838"/>
      <c r="L28" s="838"/>
      <c r="M28" s="838"/>
      <c r="N28" s="1930"/>
    </row>
    <row r="29" spans="1:14" x14ac:dyDescent="0.25">
      <c r="A29" s="1927"/>
      <c r="B29" s="1975"/>
      <c r="C29" s="2446" t="s">
        <v>2026</v>
      </c>
      <c r="D29" s="2446"/>
      <c r="E29" s="845"/>
      <c r="F29" s="2446" t="s">
        <v>2028</v>
      </c>
      <c r="G29" s="2446"/>
      <c r="H29" s="2446"/>
      <c r="I29" s="838"/>
      <c r="J29" s="838"/>
      <c r="K29" s="838"/>
      <c r="L29" s="838"/>
      <c r="M29" s="838"/>
      <c r="N29" s="1930"/>
    </row>
    <row r="30" spans="1:14" x14ac:dyDescent="0.25">
      <c r="A30" s="1927"/>
      <c r="B30" s="1975"/>
      <c r="C30" s="1983" t="s">
        <v>1547</v>
      </c>
      <c r="D30" s="838"/>
      <c r="E30" s="1984"/>
      <c r="F30" s="2447" t="s">
        <v>1496</v>
      </c>
      <c r="G30" s="2447"/>
      <c r="H30" s="2447"/>
      <c r="I30" s="838"/>
      <c r="J30" s="838"/>
      <c r="K30" s="838"/>
      <c r="L30" s="838"/>
      <c r="M30" s="838"/>
      <c r="N30" s="1930"/>
    </row>
    <row r="31" spans="1:14" x14ac:dyDescent="0.25">
      <c r="A31" s="1927"/>
      <c r="B31" s="1975"/>
      <c r="C31" s="1985"/>
      <c r="D31" s="838"/>
      <c r="E31" s="1971"/>
      <c r="F31" s="1972"/>
      <c r="G31" s="1972"/>
      <c r="H31" s="1972"/>
      <c r="I31" s="838"/>
      <c r="J31" s="838"/>
      <c r="K31" s="838"/>
      <c r="L31" s="838"/>
      <c r="M31" s="838"/>
      <c r="N31" s="1930"/>
    </row>
    <row r="32" spans="1:14" x14ac:dyDescent="0.25">
      <c r="A32" s="1927"/>
      <c r="B32" s="1986" t="s">
        <v>1027</v>
      </c>
      <c r="C32" s="838"/>
      <c r="D32" s="838"/>
      <c r="E32" s="838"/>
      <c r="F32" s="838"/>
      <c r="G32" s="838"/>
      <c r="H32" s="838"/>
      <c r="I32" s="838"/>
      <c r="J32" s="838"/>
      <c r="K32" s="838"/>
      <c r="L32" s="838"/>
      <c r="M32" s="838"/>
      <c r="N32" s="1930"/>
    </row>
    <row r="33" spans="1:14" x14ac:dyDescent="0.25">
      <c r="A33" s="1927"/>
      <c r="B33" s="1987"/>
      <c r="C33" s="838"/>
      <c r="D33" s="838"/>
      <c r="E33" s="838"/>
      <c r="F33" s="838"/>
      <c r="G33" s="838"/>
      <c r="H33" s="838"/>
      <c r="I33" s="838"/>
      <c r="J33" s="838"/>
      <c r="K33" s="838"/>
      <c r="L33" s="838"/>
      <c r="M33" s="838"/>
      <c r="N33" s="1930"/>
    </row>
    <row r="34" spans="1:14" x14ac:dyDescent="0.25">
      <c r="A34" s="1927"/>
      <c r="B34" s="846"/>
      <c r="C34" s="2448" t="s">
        <v>2060</v>
      </c>
      <c r="D34" s="2449"/>
      <c r="E34" s="2449"/>
      <c r="F34" s="2449"/>
      <c r="G34" s="2449"/>
      <c r="H34" s="2449"/>
      <c r="I34" s="2449"/>
      <c r="J34" s="2449"/>
      <c r="K34" s="1988"/>
      <c r="L34" s="838"/>
      <c r="M34" s="838"/>
      <c r="N34" s="1930"/>
    </row>
    <row r="35" spans="1:14" x14ac:dyDescent="0.25">
      <c r="A35" s="1927"/>
      <c r="B35" s="838"/>
      <c r="C35" s="2449"/>
      <c r="D35" s="2449"/>
      <c r="E35" s="2449"/>
      <c r="F35" s="2449"/>
      <c r="G35" s="2449"/>
      <c r="H35" s="2449"/>
      <c r="I35" s="2449"/>
      <c r="J35" s="2449"/>
      <c r="K35" s="1988"/>
      <c r="L35" s="838"/>
      <c r="M35" s="838"/>
      <c r="N35" s="1930"/>
    </row>
    <row r="36" spans="1:14" x14ac:dyDescent="0.25">
      <c r="A36" s="1927"/>
      <c r="B36" s="838"/>
      <c r="C36" s="1989"/>
      <c r="D36" s="838"/>
      <c r="E36" s="838"/>
      <c r="F36" s="838"/>
      <c r="G36" s="838"/>
      <c r="H36" s="838"/>
      <c r="I36" s="838"/>
      <c r="J36" s="838"/>
      <c r="K36" s="838"/>
      <c r="L36" s="838"/>
      <c r="M36" s="838"/>
      <c r="N36" s="1930"/>
    </row>
    <row r="37" spans="1:14" x14ac:dyDescent="0.25">
      <c r="A37" s="1927"/>
      <c r="B37" s="846"/>
      <c r="C37" s="2448" t="s">
        <v>2061</v>
      </c>
      <c r="D37" s="2449"/>
      <c r="E37" s="2449"/>
      <c r="F37" s="2449"/>
      <c r="G37" s="2449"/>
      <c r="H37" s="2449"/>
      <c r="I37" s="2449"/>
      <c r="J37" s="2449"/>
      <c r="K37" s="1988"/>
      <c r="L37" s="1990"/>
      <c r="M37" s="838"/>
      <c r="N37" s="1930"/>
    </row>
    <row r="38" spans="1:14" x14ac:dyDescent="0.25">
      <c r="A38" s="1927"/>
      <c r="B38" s="838"/>
      <c r="C38" s="2449"/>
      <c r="D38" s="2449"/>
      <c r="E38" s="2449"/>
      <c r="F38" s="2449"/>
      <c r="G38" s="2449"/>
      <c r="H38" s="2449"/>
      <c r="I38" s="2449"/>
      <c r="J38" s="2449"/>
      <c r="K38" s="1988"/>
      <c r="L38" s="1990"/>
      <c r="M38" s="838"/>
      <c r="N38" s="1930"/>
    </row>
    <row r="39" spans="1:14" x14ac:dyDescent="0.25">
      <c r="A39" s="1927"/>
      <c r="B39" s="838"/>
      <c r="C39" s="1989"/>
      <c r="D39" s="838"/>
      <c r="E39" s="1991"/>
      <c r="F39" s="1992"/>
      <c r="G39" s="1992"/>
      <c r="H39" s="1991"/>
      <c r="I39" s="838"/>
      <c r="J39" s="838"/>
      <c r="K39" s="838"/>
      <c r="L39" s="838"/>
      <c r="M39" s="838"/>
      <c r="N39" s="1930"/>
    </row>
    <row r="40" spans="1:14" x14ac:dyDescent="0.25">
      <c r="A40" s="1927"/>
      <c r="B40" s="846"/>
      <c r="C40" s="2450" t="s">
        <v>2062</v>
      </c>
      <c r="D40" s="2451"/>
      <c r="E40" s="2451"/>
      <c r="F40" s="2451"/>
      <c r="G40" s="2451"/>
      <c r="H40" s="2451"/>
      <c r="I40" s="2451"/>
      <c r="J40" s="2451"/>
      <c r="K40" s="1993"/>
      <c r="L40" s="838"/>
      <c r="M40" s="838"/>
      <c r="N40" s="1930"/>
    </row>
    <row r="41" spans="1:14" x14ac:dyDescent="0.25">
      <c r="A41" s="1927"/>
      <c r="B41" s="838"/>
      <c r="C41" s="1994"/>
      <c r="D41" s="1994"/>
      <c r="E41" s="1994"/>
      <c r="F41" s="1994"/>
      <c r="G41" s="1994"/>
      <c r="H41" s="1994"/>
      <c r="I41" s="1994"/>
      <c r="J41" s="1994"/>
      <c r="K41" s="1994"/>
      <c r="L41" s="838"/>
      <c r="M41" s="838"/>
      <c r="N41" s="1930"/>
    </row>
    <row r="42" spans="1:14" ht="15.75" thickBot="1" x14ac:dyDescent="0.3">
      <c r="A42" s="1995"/>
      <c r="B42" s="1996"/>
      <c r="C42" s="1996"/>
      <c r="D42" s="1996"/>
      <c r="E42" s="1996"/>
      <c r="F42" s="1996"/>
      <c r="G42" s="1996"/>
      <c r="H42" s="1996"/>
      <c r="I42" s="1996"/>
      <c r="J42" s="1996"/>
      <c r="K42" s="1996"/>
      <c r="L42" s="1996"/>
      <c r="M42" s="1996"/>
      <c r="N42" s="1997"/>
    </row>
    <row r="43" spans="1:14" ht="27" thickBot="1" x14ac:dyDescent="0.45">
      <c r="A43" s="2452" t="s">
        <v>2063</v>
      </c>
      <c r="B43" s="2453"/>
      <c r="C43" s="2453"/>
      <c r="D43" s="2453"/>
      <c r="E43" s="2453"/>
      <c r="F43" s="2453"/>
      <c r="G43" s="2453"/>
      <c r="H43" s="2453"/>
      <c r="I43" s="2453"/>
      <c r="J43" s="2453"/>
      <c r="K43" s="2453"/>
      <c r="L43" s="2453"/>
      <c r="M43" s="2453"/>
      <c r="N43" s="2454"/>
    </row>
    <row r="44" spans="1:14" x14ac:dyDescent="0.25">
      <c r="A44" s="1998"/>
      <c r="B44" s="1999"/>
      <c r="C44" s="1999"/>
      <c r="D44" s="1999"/>
      <c r="E44" s="1999"/>
      <c r="F44" s="1999"/>
      <c r="G44" s="1999"/>
      <c r="H44" s="1999"/>
      <c r="I44" s="1999"/>
      <c r="J44" s="1999"/>
      <c r="K44" s="1999"/>
      <c r="L44" s="1999"/>
      <c r="M44" s="1999"/>
      <c r="N44" s="2000"/>
    </row>
    <row r="45" spans="1:14" x14ac:dyDescent="0.25">
      <c r="A45" s="1998" t="s">
        <v>2064</v>
      </c>
      <c r="B45" s="1999"/>
      <c r="C45" s="1999"/>
      <c r="D45" s="1999"/>
      <c r="E45" s="1999"/>
      <c r="F45" s="1999"/>
      <c r="G45" s="1999"/>
      <c r="H45" s="1999"/>
      <c r="I45" s="1999"/>
      <c r="J45" s="1999"/>
      <c r="K45" s="1999"/>
      <c r="L45" s="1999"/>
      <c r="M45" s="1999"/>
      <c r="N45" s="2000"/>
    </row>
    <row r="46" spans="1:14" x14ac:dyDescent="0.25">
      <c r="A46" s="2455" t="s">
        <v>2065</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2001"/>
      <c r="B48" s="1999"/>
      <c r="C48" s="1999"/>
      <c r="D48" s="2002"/>
      <c r="E48" s="2002"/>
      <c r="F48" s="2002"/>
      <c r="G48" s="2002"/>
      <c r="H48" s="2002"/>
      <c r="I48" s="2002"/>
      <c r="J48" s="2002"/>
      <c r="K48" s="2002"/>
      <c r="L48" s="2002"/>
      <c r="M48" s="2002"/>
      <c r="N48" s="2003"/>
    </row>
    <row r="49" spans="1:14" ht="15.75" x14ac:dyDescent="0.25">
      <c r="A49" s="2004" t="s">
        <v>2066</v>
      </c>
      <c r="B49" s="2005"/>
      <c r="C49" s="2005"/>
      <c r="D49" s="2006"/>
      <c r="E49" s="2006"/>
      <c r="F49" s="2006"/>
      <c r="G49" s="2006"/>
      <c r="H49" s="2006"/>
      <c r="I49" s="2006"/>
      <c r="J49" s="2006"/>
      <c r="K49" s="2006"/>
      <c r="L49" s="2006"/>
      <c r="M49" s="2006"/>
      <c r="N49" s="2007"/>
    </row>
    <row r="50" spans="1:14" x14ac:dyDescent="0.25">
      <c r="A50" s="2004" t="s">
        <v>2067</v>
      </c>
      <c r="B50" s="1999"/>
      <c r="C50" s="1999"/>
      <c r="D50" s="1999"/>
      <c r="E50" s="1999"/>
      <c r="F50" s="1999"/>
      <c r="G50" s="1999"/>
      <c r="H50" s="1999"/>
      <c r="I50" s="1999"/>
      <c r="J50" s="1999"/>
      <c r="K50" s="1999"/>
      <c r="L50" s="1999"/>
      <c r="M50" s="1999"/>
      <c r="N50" s="2000"/>
    </row>
    <row r="51" spans="1:14" x14ac:dyDescent="0.25">
      <c r="A51" s="1998"/>
      <c r="B51" s="1999"/>
      <c r="C51" s="1999"/>
      <c r="D51" s="1999"/>
      <c r="E51" s="1999"/>
      <c r="F51" s="1999"/>
      <c r="G51" s="1999"/>
      <c r="H51" s="1999"/>
      <c r="I51" s="1999"/>
      <c r="J51" s="1999"/>
      <c r="K51" s="1999"/>
      <c r="L51" s="1999"/>
      <c r="M51" s="1999"/>
      <c r="N51" s="2000"/>
    </row>
    <row r="52" spans="1:14" x14ac:dyDescent="0.25">
      <c r="A52" s="1998"/>
      <c r="B52" s="1999"/>
      <c r="C52" s="1999"/>
      <c r="D52" s="1999"/>
      <c r="E52" s="1999"/>
      <c r="F52" s="1999"/>
      <c r="G52" s="1999"/>
      <c r="H52" s="1999"/>
      <c r="I52" s="1999"/>
      <c r="J52" s="1999"/>
      <c r="K52" s="1933" t="s">
        <v>1021</v>
      </c>
      <c r="L52" s="2441" t="str">
        <f>J6</f>
        <v>Meredosia- Chambersburg CUSD 11</v>
      </c>
      <c r="M52" s="2441"/>
      <c r="N52" s="2442"/>
    </row>
    <row r="53" spans="1:14" x14ac:dyDescent="0.25">
      <c r="A53" s="1998"/>
      <c r="B53" s="1999"/>
      <c r="C53" s="1999"/>
      <c r="D53" s="1999"/>
      <c r="E53" s="1999"/>
      <c r="F53" s="1999"/>
      <c r="G53" s="1999"/>
      <c r="H53" s="1999"/>
      <c r="I53" s="1999"/>
      <c r="J53" s="1999"/>
      <c r="K53" s="1933" t="s">
        <v>369</v>
      </c>
      <c r="L53" s="2428">
        <f>J7</f>
        <v>1069011026</v>
      </c>
      <c r="M53" s="2428"/>
      <c r="N53" s="2429"/>
    </row>
    <row r="54" spans="1:14" ht="15.75" thickBot="1" x14ac:dyDescent="0.3">
      <c r="A54" s="1998"/>
      <c r="B54" s="1999"/>
      <c r="C54" s="1999"/>
      <c r="D54" s="1999"/>
      <c r="E54" s="1999"/>
      <c r="F54" s="1999"/>
      <c r="G54" s="1999"/>
      <c r="H54" s="1999"/>
      <c r="I54" s="1999"/>
      <c r="J54" s="1999"/>
      <c r="K54" s="1999"/>
      <c r="L54" s="1999"/>
      <c r="M54" s="1999"/>
      <c r="N54" s="2000"/>
    </row>
    <row r="55" spans="1:14" x14ac:dyDescent="0.25">
      <c r="A55" s="2430"/>
      <c r="B55" s="2431"/>
      <c r="C55" s="2431"/>
      <c r="D55" s="2008"/>
      <c r="E55" s="2008"/>
      <c r="F55" s="2008"/>
      <c r="G55" s="2432" t="s">
        <v>2068</v>
      </c>
      <c r="H55" s="2432"/>
      <c r="I55" s="2432"/>
      <c r="J55" s="2432"/>
      <c r="K55" s="2432"/>
      <c r="L55" s="2432"/>
      <c r="M55" s="2432"/>
      <c r="N55" s="2433"/>
    </row>
    <row r="56" spans="1:14" ht="77.25" x14ac:dyDescent="0.25">
      <c r="A56" s="2434" t="s">
        <v>2069</v>
      </c>
      <c r="B56" s="2435"/>
      <c r="C56" s="2436"/>
      <c r="D56" s="2009" t="s">
        <v>2070</v>
      </c>
      <c r="E56" s="2009" t="s">
        <v>2071</v>
      </c>
      <c r="F56" s="2010"/>
      <c r="G56" s="2009" t="s">
        <v>2072</v>
      </c>
      <c r="H56" s="2009" t="s">
        <v>2073</v>
      </c>
      <c r="I56" s="2009" t="s">
        <v>2074</v>
      </c>
      <c r="J56" s="2009" t="s">
        <v>2075</v>
      </c>
      <c r="K56" s="2009" t="s">
        <v>2076</v>
      </c>
      <c r="L56" s="2009" t="s">
        <v>2077</v>
      </c>
      <c r="M56" s="2009" t="s">
        <v>2078</v>
      </c>
      <c r="N56" s="2011" t="s">
        <v>2079</v>
      </c>
    </row>
    <row r="57" spans="1:14" ht="24" customHeight="1" x14ac:dyDescent="0.25">
      <c r="A57" s="2437" t="s">
        <v>296</v>
      </c>
      <c r="B57" s="2438"/>
      <c r="C57" s="2438"/>
      <c r="D57" s="2012">
        <v>2361</v>
      </c>
      <c r="E57" s="2013">
        <f>'Expenditures 15-22'!K319</f>
        <v>0</v>
      </c>
      <c r="F57" s="2014"/>
      <c r="G57" s="2015"/>
      <c r="H57" s="2016"/>
      <c r="I57" s="2016"/>
      <c r="J57" s="2016"/>
      <c r="K57" s="2016"/>
      <c r="L57" s="2016"/>
      <c r="M57" s="2016"/>
      <c r="N57" s="2017">
        <f>IF((SUM(G57:M57))=E57,SUM(G57:M57),"Column N does not agree with Column E")</f>
        <v>0</v>
      </c>
    </row>
    <row r="58" spans="1:14" ht="24.75" customHeight="1" x14ac:dyDescent="0.25">
      <c r="A58" s="2439" t="s">
        <v>2080</v>
      </c>
      <c r="B58" s="2440"/>
      <c r="C58" s="2440"/>
      <c r="D58" s="2018">
        <v>2362</v>
      </c>
      <c r="E58" s="2013">
        <f>'Expenditures 15-22'!K320</f>
        <v>16173</v>
      </c>
      <c r="F58" s="2014"/>
      <c r="G58" s="2019"/>
      <c r="H58" s="2020"/>
      <c r="I58" s="2020"/>
      <c r="J58" s="2020"/>
      <c r="K58" s="2020"/>
      <c r="L58" s="2020"/>
      <c r="M58" s="2020">
        <v>16173</v>
      </c>
      <c r="N58" s="2017">
        <f>IF((SUM(G58:M58))=E58,SUM(G58:M58),"Column N does not agree with Column E")</f>
        <v>16173</v>
      </c>
    </row>
    <row r="59" spans="1:14" ht="24.75" customHeight="1" x14ac:dyDescent="0.25">
      <c r="A59" s="2421" t="s">
        <v>297</v>
      </c>
      <c r="B59" s="2422"/>
      <c r="C59" s="2422"/>
      <c r="D59" s="2018">
        <v>2363</v>
      </c>
      <c r="E59" s="2013">
        <f>'Expenditures 15-22'!K321</f>
        <v>4319</v>
      </c>
      <c r="F59" s="2014"/>
      <c r="G59" s="2019"/>
      <c r="H59" s="2020"/>
      <c r="I59" s="2020"/>
      <c r="J59" s="2020"/>
      <c r="K59" s="2020"/>
      <c r="L59" s="2020"/>
      <c r="M59" s="2020">
        <v>4319</v>
      </c>
      <c r="N59" s="2017">
        <f t="shared" ref="N59:N67" si="4">IF((SUM(G59:M59))=E59,SUM(G59:M59),"Column N does not agree with Column E")</f>
        <v>4319</v>
      </c>
    </row>
    <row r="60" spans="1:14" ht="24.75" customHeight="1" x14ac:dyDescent="0.25">
      <c r="A60" s="2421" t="s">
        <v>236</v>
      </c>
      <c r="B60" s="2422"/>
      <c r="C60" s="2422"/>
      <c r="D60" s="2018">
        <v>2364</v>
      </c>
      <c r="E60" s="2013">
        <f>'Expenditures 15-22'!K322</f>
        <v>27718</v>
      </c>
      <c r="F60" s="2014"/>
      <c r="G60" s="2019"/>
      <c r="H60" s="2020"/>
      <c r="I60" s="2020"/>
      <c r="J60" s="2020"/>
      <c r="K60" s="2020"/>
      <c r="L60" s="2020"/>
      <c r="M60" s="2020">
        <v>27718</v>
      </c>
      <c r="N60" s="2017">
        <f t="shared" si="4"/>
        <v>27718</v>
      </c>
    </row>
    <row r="61" spans="1:14" ht="24.75" customHeight="1" x14ac:dyDescent="0.25">
      <c r="A61" s="2421" t="s">
        <v>697</v>
      </c>
      <c r="B61" s="2422"/>
      <c r="C61" s="2422"/>
      <c r="D61" s="2018">
        <v>2365</v>
      </c>
      <c r="E61" s="2013">
        <f>'Expenditures 15-22'!K323</f>
        <v>270398</v>
      </c>
      <c r="F61" s="2014"/>
      <c r="G61" s="2019"/>
      <c r="H61" s="2020"/>
      <c r="I61" s="2020"/>
      <c r="J61" s="2020"/>
      <c r="K61" s="2020"/>
      <c r="L61" s="2020"/>
      <c r="M61" s="2020">
        <v>270398</v>
      </c>
      <c r="N61" s="2017">
        <f t="shared" si="4"/>
        <v>270398</v>
      </c>
    </row>
    <row r="62" spans="1:14" ht="24.75" customHeight="1" x14ac:dyDescent="0.25">
      <c r="A62" s="2421" t="s">
        <v>237</v>
      </c>
      <c r="B62" s="2422"/>
      <c r="C62" s="2422"/>
      <c r="D62" s="2018">
        <v>2366</v>
      </c>
      <c r="E62" s="2013">
        <f>'Expenditures 15-22'!K324</f>
        <v>0</v>
      </c>
      <c r="F62" s="2014"/>
      <c r="G62" s="2019"/>
      <c r="H62" s="2020"/>
      <c r="I62" s="2020"/>
      <c r="J62" s="2020"/>
      <c r="K62" s="2020"/>
      <c r="L62" s="2020"/>
      <c r="M62" s="2020"/>
      <c r="N62" s="2017">
        <f t="shared" si="4"/>
        <v>0</v>
      </c>
    </row>
    <row r="63" spans="1:14" ht="24.75" customHeight="1" x14ac:dyDescent="0.25">
      <c r="A63" s="2439" t="s">
        <v>1022</v>
      </c>
      <c r="B63" s="2440"/>
      <c r="C63" s="2440"/>
      <c r="D63" s="2018">
        <v>2367</v>
      </c>
      <c r="E63" s="2013">
        <f>'Expenditures 15-22'!K325</f>
        <v>134931</v>
      </c>
      <c r="F63" s="2014"/>
      <c r="G63" s="2019"/>
      <c r="H63" s="2020"/>
      <c r="I63" s="2020"/>
      <c r="J63" s="2020"/>
      <c r="K63" s="2020"/>
      <c r="L63" s="2020"/>
      <c r="M63" s="2020">
        <v>134931</v>
      </c>
      <c r="N63" s="2017">
        <f t="shared" si="4"/>
        <v>134931</v>
      </c>
    </row>
    <row r="64" spans="1:14" ht="24.75" customHeight="1" x14ac:dyDescent="0.25">
      <c r="A64" s="2421" t="s">
        <v>1023</v>
      </c>
      <c r="B64" s="2422"/>
      <c r="C64" s="2422"/>
      <c r="D64" s="2018">
        <v>2368</v>
      </c>
      <c r="E64" s="2013">
        <f>'Expenditures 15-22'!K326</f>
        <v>0</v>
      </c>
      <c r="F64" s="2014"/>
      <c r="G64" s="2019"/>
      <c r="H64" s="2020"/>
      <c r="I64" s="2020"/>
      <c r="J64" s="2020"/>
      <c r="K64" s="2020"/>
      <c r="L64" s="2020"/>
      <c r="M64" s="2020"/>
      <c r="N64" s="2017">
        <f t="shared" si="4"/>
        <v>0</v>
      </c>
    </row>
    <row r="65" spans="1:14" ht="24" customHeight="1" x14ac:dyDescent="0.25">
      <c r="A65" s="2421" t="s">
        <v>965</v>
      </c>
      <c r="B65" s="2422"/>
      <c r="C65" s="2422"/>
      <c r="D65" s="2018">
        <v>2369</v>
      </c>
      <c r="E65" s="2013">
        <f>'Expenditures 15-22'!K327</f>
        <v>2935</v>
      </c>
      <c r="F65" s="2014"/>
      <c r="G65" s="2019"/>
      <c r="H65" s="2020"/>
      <c r="I65" s="2020"/>
      <c r="J65" s="2020"/>
      <c r="K65" s="2020"/>
      <c r="L65" s="2020"/>
      <c r="M65" s="2020">
        <v>2935</v>
      </c>
      <c r="N65" s="2017">
        <f t="shared" si="4"/>
        <v>2935</v>
      </c>
    </row>
    <row r="66" spans="1:14" ht="24.75" customHeight="1" x14ac:dyDescent="0.25">
      <c r="A66" s="2421" t="s">
        <v>469</v>
      </c>
      <c r="B66" s="2422"/>
      <c r="C66" s="2422"/>
      <c r="D66" s="2018">
        <v>2371</v>
      </c>
      <c r="E66" s="2013">
        <f>'Expenditures 15-22'!K328</f>
        <v>0</v>
      </c>
      <c r="F66" s="2014"/>
      <c r="G66" s="2019"/>
      <c r="H66" s="2020"/>
      <c r="I66" s="2020"/>
      <c r="J66" s="2020"/>
      <c r="K66" s="2020"/>
      <c r="L66" s="2020"/>
      <c r="M66" s="2020"/>
      <c r="N66" s="2017">
        <f t="shared" si="4"/>
        <v>0</v>
      </c>
    </row>
    <row r="67" spans="1:14" ht="24.75" customHeight="1" x14ac:dyDescent="0.25">
      <c r="A67" s="2423" t="s">
        <v>2081</v>
      </c>
      <c r="B67" s="2424"/>
      <c r="C67" s="2424"/>
      <c r="D67" s="2021">
        <v>2372</v>
      </c>
      <c r="E67" s="2013">
        <f>'Expenditures 15-22'!K329</f>
        <v>0</v>
      </c>
      <c r="F67" s="2014"/>
      <c r="G67" s="2022"/>
      <c r="H67" s="2023"/>
      <c r="I67" s="2023"/>
      <c r="J67" s="2023"/>
      <c r="K67" s="2023"/>
      <c r="L67" s="2023"/>
      <c r="M67" s="2023"/>
      <c r="N67" s="2017">
        <f t="shared" si="4"/>
        <v>0</v>
      </c>
    </row>
    <row r="68" spans="1:14" x14ac:dyDescent="0.25">
      <c r="A68" s="2425" t="s">
        <v>1153</v>
      </c>
      <c r="B68" s="2426"/>
      <c r="C68" s="2426"/>
      <c r="D68" s="2008"/>
      <c r="E68" s="2024">
        <f>SUM(E57:E67)</f>
        <v>456474</v>
      </c>
      <c r="F68" s="2025"/>
      <c r="G68" s="2024">
        <f t="shared" ref="G68:N68" si="5">SUM(G57:G67)</f>
        <v>0</v>
      </c>
      <c r="H68" s="2024">
        <f t="shared" si="5"/>
        <v>0</v>
      </c>
      <c r="I68" s="2024">
        <f t="shared" si="5"/>
        <v>0</v>
      </c>
      <c r="J68" s="2024">
        <f t="shared" si="5"/>
        <v>0</v>
      </c>
      <c r="K68" s="2024">
        <f t="shared" si="5"/>
        <v>0</v>
      </c>
      <c r="L68" s="2024">
        <f t="shared" si="5"/>
        <v>0</v>
      </c>
      <c r="M68" s="2024">
        <f t="shared" si="5"/>
        <v>456474</v>
      </c>
      <c r="N68" s="2026">
        <f t="shared" si="5"/>
        <v>456474</v>
      </c>
    </row>
    <row r="69" spans="1:14" x14ac:dyDescent="0.25">
      <c r="A69" s="2027"/>
      <c r="B69" s="2028"/>
      <c r="C69" s="2028"/>
      <c r="D69" s="2028"/>
      <c r="E69" s="2028"/>
      <c r="F69" s="2028"/>
      <c r="G69" s="2028"/>
      <c r="H69" s="2029" t="s">
        <v>2082</v>
      </c>
      <c r="I69" s="2028"/>
      <c r="J69" s="2028"/>
      <c r="K69" s="2028"/>
      <c r="L69" s="2029" t="s">
        <v>2083</v>
      </c>
      <c r="M69" s="2028"/>
      <c r="N69" s="2030"/>
    </row>
    <row r="70" spans="1:14" ht="46.5" customHeight="1" x14ac:dyDescent="0.25">
      <c r="A70" s="2031" t="s">
        <v>2084</v>
      </c>
      <c r="B70" s="2028"/>
      <c r="C70" s="2028"/>
      <c r="D70" s="2028"/>
      <c r="E70" s="2028"/>
      <c r="F70" s="2028"/>
      <c r="G70" s="2028"/>
      <c r="H70" s="2417" t="s">
        <v>2085</v>
      </c>
      <c r="I70" s="2417"/>
      <c r="J70" s="2417"/>
      <c r="K70" s="2028"/>
      <c r="L70" s="2417" t="s">
        <v>2086</v>
      </c>
      <c r="M70" s="2417"/>
      <c r="N70" s="2427"/>
    </row>
    <row r="71" spans="1:14" ht="42.75" customHeight="1" x14ac:dyDescent="0.25">
      <c r="A71" s="2027"/>
      <c r="B71" s="2028"/>
      <c r="C71" s="2028"/>
      <c r="D71" s="2028"/>
      <c r="E71" s="2028"/>
      <c r="F71" s="2028"/>
      <c r="G71" s="2028"/>
      <c r="H71" s="2417" t="s">
        <v>2087</v>
      </c>
      <c r="I71" s="2417"/>
      <c r="J71" s="2417"/>
      <c r="K71" s="2028"/>
      <c r="L71" s="2418" t="s">
        <v>2088</v>
      </c>
      <c r="M71" s="2418"/>
      <c r="N71" s="2419"/>
    </row>
    <row r="72" spans="1:14" ht="52.5" customHeight="1" thickBot="1" x14ac:dyDescent="0.3">
      <c r="A72" s="2032"/>
      <c r="B72" s="2033"/>
      <c r="C72" s="2033"/>
      <c r="D72" s="2033"/>
      <c r="E72" s="2033"/>
      <c r="F72" s="2033"/>
      <c r="G72" s="2033"/>
      <c r="H72" s="2420" t="s">
        <v>2089</v>
      </c>
      <c r="I72" s="2420"/>
      <c r="J72" s="2420"/>
      <c r="K72" s="2033"/>
      <c r="L72" s="2033"/>
      <c r="M72" s="2033"/>
      <c r="N72" s="203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horizontalDpi="4294967295" verticalDpi="4294967295"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FF00"/>
    <pageSetUpPr fitToPage="1"/>
  </sheetPr>
  <dimension ref="A2:B66"/>
  <sheetViews>
    <sheetView showGridLines="0" zoomScale="110" zoomScaleNormal="110" workbookViewId="0">
      <selection activeCell="B1" sqref="B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2045</v>
      </c>
    </row>
    <row r="6" spans="1:2" x14ac:dyDescent="0.2">
      <c r="A6" s="847">
        <v>2</v>
      </c>
      <c r="B6" s="307" t="s">
        <v>2046</v>
      </c>
    </row>
    <row r="7" spans="1:2" x14ac:dyDescent="0.2">
      <c r="A7" s="847">
        <v>3</v>
      </c>
      <c r="B7" s="307" t="s">
        <v>2090</v>
      </c>
    </row>
    <row r="8" spans="1:2" x14ac:dyDescent="0.2">
      <c r="A8" s="847">
        <v>4</v>
      </c>
      <c r="B8" s="307" t="s">
        <v>2091</v>
      </c>
    </row>
    <row r="9" spans="1:2" x14ac:dyDescent="0.2">
      <c r="A9" s="847">
        <v>5</v>
      </c>
      <c r="B9" s="307" t="s">
        <v>2092</v>
      </c>
    </row>
    <row r="10" spans="1:2" x14ac:dyDescent="0.2">
      <c r="A10" s="847">
        <v>6</v>
      </c>
      <c r="B10" s="307" t="s">
        <v>2047</v>
      </c>
    </row>
    <row r="11" spans="1:2" x14ac:dyDescent="0.2">
      <c r="A11" s="847">
        <v>7</v>
      </c>
      <c r="B11" s="307" t="s">
        <v>2048</v>
      </c>
    </row>
    <row r="12" spans="1:2" x14ac:dyDescent="0.2">
      <c r="A12" s="847">
        <v>8</v>
      </c>
      <c r="B12" s="307" t="s">
        <v>2049</v>
      </c>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c r="B65" s="253" t="str">
        <f>COVER!A17</f>
        <v>Meredosia- Chambersburg CUSD 11</v>
      </c>
    </row>
    <row r="66" spans="1:2" x14ac:dyDescent="0.2">
      <c r="B66" s="848">
        <f>COVER!A13</f>
        <v>1069011026</v>
      </c>
    </row>
  </sheetData>
  <phoneticPr fontId="15" type="noConversion"/>
  <pageMargins left="0.2" right="0.2" top="1.17" bottom="0.75" header="0.19" footer="0.16"/>
  <pageSetup scale="77" firstPageNumber="32" orientation="portrait" useFirstPageNumber="1" horizontalDpi="4294967295" verticalDpi="4294967295"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I84"/>
  <sheetViews>
    <sheetView showGridLines="0" topLeftCell="A4" zoomScale="110" zoomScaleNormal="110" workbookViewId="0">
      <selection activeCell="A26" sqref="A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9" t="s">
        <v>1597</v>
      </c>
    </row>
    <row r="23" spans="1:5" x14ac:dyDescent="0.2">
      <c r="A23" s="163"/>
      <c r="B23" s="157" t="s">
        <v>1831</v>
      </c>
      <c r="D23" s="162" t="s">
        <v>632</v>
      </c>
      <c r="E23" s="146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1" t="s">
        <v>1058</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1594</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5" t="s">
        <v>1756</v>
      </c>
    </row>
    <row r="60" spans="1:3" x14ac:dyDescent="0.2">
      <c r="A60" s="191"/>
      <c r="B60" s="1255"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7"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6"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FF0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1479</v>
      </c>
    </row>
    <row r="15" spans="1:6" x14ac:dyDescent="0.2">
      <c r="A15" s="366" t="s">
        <v>852</v>
      </c>
    </row>
    <row r="16" spans="1:6" s="849" customFormat="1" ht="45" customHeight="1" x14ac:dyDescent="0.2">
      <c r="A16" s="851"/>
      <c r="B16" s="851" t="s">
        <v>1976</v>
      </c>
    </row>
    <row r="17" spans="1:2" ht="6" customHeight="1" x14ac:dyDescent="0.2"/>
    <row r="18" spans="1:2" ht="24.75" customHeight="1" x14ac:dyDescent="0.2">
      <c r="A18" s="2472" t="s">
        <v>1668</v>
      </c>
      <c r="B18" s="247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914400</xdr:colOff>
                <xdr:row>7</xdr:row>
                <xdr:rowOff>161925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FF0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1672</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2"/>
      <c r="H2" s="852"/>
    </row>
    <row r="3" spans="1:8" ht="57" customHeight="1" x14ac:dyDescent="0.2">
      <c r="A3" s="2486" t="s">
        <v>1975</v>
      </c>
      <c r="B3" s="2487"/>
      <c r="C3" s="2487"/>
      <c r="D3" s="2487"/>
      <c r="E3" s="2487"/>
      <c r="F3" s="2488"/>
      <c r="G3" s="852"/>
      <c r="H3" s="852"/>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2"/>
      <c r="H4" s="852"/>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2"/>
      <c r="H5" s="852"/>
    </row>
    <row r="6" spans="1:8" s="853" customFormat="1" ht="41.25" customHeight="1" x14ac:dyDescent="0.2">
      <c r="A6" s="2489" t="s">
        <v>1673</v>
      </c>
      <c r="B6" s="2490"/>
      <c r="C6" s="2490"/>
      <c r="D6" s="2490"/>
      <c r="E6" s="2490"/>
      <c r="F6" s="2491"/>
    </row>
    <row r="7" spans="1:8" ht="42" customHeight="1" x14ac:dyDescent="0.2">
      <c r="A7" s="854" t="s">
        <v>478</v>
      </c>
      <c r="B7" s="855" t="s">
        <v>1482</v>
      </c>
      <c r="C7" s="855" t="s">
        <v>1483</v>
      </c>
      <c r="D7" s="855" t="s">
        <v>1481</v>
      </c>
      <c r="E7" s="855" t="s">
        <v>1484</v>
      </c>
      <c r="F7" s="855" t="s">
        <v>1353</v>
      </c>
    </row>
    <row r="8" spans="1:8" s="857" customFormat="1" ht="14.25" customHeight="1" x14ac:dyDescent="0.2">
      <c r="A8" s="856" t="s">
        <v>1354</v>
      </c>
      <c r="B8" s="1812">
        <f>'Acct Summary 7-8'!C8</f>
        <v>2498526</v>
      </c>
      <c r="C8" s="1812">
        <f>'Acct Summary 7-8'!D8</f>
        <v>169326</v>
      </c>
      <c r="D8" s="1812">
        <f>'Acct Summary 7-8'!F8</f>
        <v>196605</v>
      </c>
      <c r="E8" s="1812">
        <f>'Acct Summary 7-8'!I8</f>
        <v>16768</v>
      </c>
      <c r="F8" s="1812">
        <f>SUM(B8:E8)</f>
        <v>2881225</v>
      </c>
    </row>
    <row r="9" spans="1:8" s="857" customFormat="1" ht="14.25" customHeight="1" thickBot="1" x14ac:dyDescent="0.25">
      <c r="A9" s="856" t="s">
        <v>1355</v>
      </c>
      <c r="B9" s="1813">
        <f>'Acct Summary 7-8'!C17</f>
        <v>2360214</v>
      </c>
      <c r="C9" s="1813">
        <f>'Acct Summary 7-8'!D17</f>
        <v>312807</v>
      </c>
      <c r="D9" s="1813">
        <f>'Acct Summary 7-8'!F17</f>
        <v>141668</v>
      </c>
      <c r="E9" s="1812"/>
      <c r="F9" s="1812">
        <f>SUM(B9:E9)</f>
        <v>2814689</v>
      </c>
    </row>
    <row r="10" spans="1:8" s="857" customFormat="1" ht="14.25" thickTop="1" thickBot="1" x14ac:dyDescent="0.25">
      <c r="A10" s="858" t="s">
        <v>1356</v>
      </c>
      <c r="B10" s="1814">
        <f>(B8-B9)</f>
        <v>138312</v>
      </c>
      <c r="C10" s="1814">
        <f>(C8-C9)</f>
        <v>-143481</v>
      </c>
      <c r="D10" s="1814">
        <f>(D8-D9)</f>
        <v>54937</v>
      </c>
      <c r="E10" s="1813">
        <f>(E8-E9)</f>
        <v>16768</v>
      </c>
      <c r="F10" s="1815">
        <f>SUM(F8-F9)</f>
        <v>66536</v>
      </c>
    </row>
    <row r="11" spans="1:8" s="857" customFormat="1" ht="14.25" thickTop="1" thickBot="1" x14ac:dyDescent="0.25">
      <c r="A11" s="859" t="s">
        <v>1906</v>
      </c>
      <c r="B11" s="1816">
        <f>'Acct Summary 7-8'!C81</f>
        <v>759806</v>
      </c>
      <c r="C11" s="1816">
        <f>'Acct Summary 7-8'!D81</f>
        <v>103357</v>
      </c>
      <c r="D11" s="1816">
        <f>'Acct Summary 7-8'!F81</f>
        <v>306947</v>
      </c>
      <c r="E11" s="1816">
        <f>'Acct Summary 7-8'!I81</f>
        <v>133078</v>
      </c>
      <c r="F11" s="1817">
        <f>SUM(B11:E11)</f>
        <v>1303188</v>
      </c>
    </row>
    <row r="12" spans="1:8" ht="16.5" customHeight="1" thickTop="1" x14ac:dyDescent="0.2">
      <c r="A12" s="860"/>
      <c r="B12" s="861"/>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2"/>
      <c r="B13" s="863"/>
      <c r="C13" s="2477"/>
      <c r="D13" s="2478"/>
      <c r="E13" s="2478"/>
      <c r="F13" s="2479"/>
      <c r="H13" s="852"/>
    </row>
    <row r="14" spans="1:8" ht="19.5" customHeight="1" x14ac:dyDescent="0.2">
      <c r="A14" s="862"/>
      <c r="B14" s="863"/>
      <c r="C14" s="2477"/>
      <c r="D14" s="2478"/>
      <c r="E14" s="2478"/>
      <c r="F14" s="2479"/>
      <c r="H14" s="852"/>
    </row>
    <row r="15" spans="1:8" ht="17.25" customHeight="1" x14ac:dyDescent="0.2">
      <c r="A15" s="862"/>
      <c r="B15" s="863"/>
      <c r="C15" s="2480"/>
      <c r="D15" s="2481"/>
      <c r="E15" s="2481"/>
      <c r="F15" s="2482"/>
      <c r="H15" s="852"/>
    </row>
    <row r="16" spans="1:8" s="288" customFormat="1" ht="51.75" hidden="1" customHeight="1" x14ac:dyDescent="0.2">
      <c r="A16" s="2476" t="s">
        <v>1669</v>
      </c>
      <c r="B16" s="2476"/>
      <c r="C16" s="2476"/>
      <c r="D16" s="2476"/>
      <c r="E16" s="2476"/>
      <c r="F16" s="288" t="s">
        <v>1357</v>
      </c>
    </row>
    <row r="17" spans="1:6" hidden="1" x14ac:dyDescent="0.2">
      <c r="A17" s="294" t="s">
        <v>1670</v>
      </c>
      <c r="F17" s="864"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4294967295" verticalDpi="4294967295"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84" sqref="D8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8" t="s">
        <v>660</v>
      </c>
      <c r="B3" s="2499"/>
      <c r="C3" s="2499"/>
      <c r="D3" s="2500"/>
    </row>
    <row r="4" spans="1:4" x14ac:dyDescent="0.2">
      <c r="A4" s="930" t="s">
        <v>1674</v>
      </c>
      <c r="B4" s="931"/>
      <c r="C4" s="932"/>
      <c r="D4" s="933"/>
    </row>
    <row r="5" spans="1:4" ht="21" customHeight="1" x14ac:dyDescent="0.2">
      <c r="A5" s="926"/>
      <c r="B5" s="927">
        <v>1</v>
      </c>
      <c r="C5" s="928" t="s">
        <v>1977</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9" t="s">
        <v>1490</v>
      </c>
      <c r="D7" s="2510"/>
    </row>
    <row r="8" spans="1:4" s="542" customFormat="1" ht="12.75" x14ac:dyDescent="0.2">
      <c r="A8" s="916"/>
      <c r="B8" s="871"/>
      <c r="C8" s="874" t="s">
        <v>1489</v>
      </c>
      <c r="D8" s="875"/>
    </row>
    <row r="9" spans="1:4" s="542" customFormat="1" ht="14.25" customHeight="1" x14ac:dyDescent="0.2">
      <c r="A9" s="916"/>
      <c r="B9" s="871">
        <f>B7+1</f>
        <v>4</v>
      </c>
      <c r="C9" s="872" t="s">
        <v>1882</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1055</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1491</v>
      </c>
      <c r="D14" s="915"/>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4" t="s">
        <v>1675</v>
      </c>
      <c r="B17" s="935"/>
      <c r="C17" s="936"/>
      <c r="D17" s="937"/>
    </row>
    <row r="18" spans="1:10" s="542" customFormat="1" ht="12.75" customHeight="1" x14ac:dyDescent="0.2">
      <c r="A18" s="938" t="s">
        <v>1978</v>
      </c>
      <c r="B18" s="939"/>
      <c r="C18" s="940"/>
      <c r="D18" s="941"/>
    </row>
    <row r="19" spans="1:10" ht="6.75" customHeight="1" thickBot="1" x14ac:dyDescent="0.25">
      <c r="A19" s="942"/>
      <c r="B19" s="943"/>
      <c r="C19" s="944"/>
      <c r="D19" s="945"/>
    </row>
    <row r="20" spans="1:10" s="949" customFormat="1" ht="12.75" thickTop="1" x14ac:dyDescent="0.2">
      <c r="A20" s="946"/>
      <c r="B20" s="947" t="s">
        <v>1676</v>
      </c>
      <c r="C20" s="948"/>
      <c r="D20" s="951" t="s">
        <v>705</v>
      </c>
    </row>
    <row r="21" spans="1:10" x14ac:dyDescent="0.2">
      <c r="A21" s="876"/>
      <c r="B21" s="877">
        <v>1</v>
      </c>
      <c r="C21" s="2513" t="s">
        <v>311</v>
      </c>
      <c r="D21" s="2514"/>
    </row>
    <row r="22" spans="1:10" ht="12.75" x14ac:dyDescent="0.2">
      <c r="A22" s="917"/>
      <c r="B22" s="918">
        <v>2</v>
      </c>
      <c r="C22" s="2511" t="s">
        <v>1510</v>
      </c>
      <c r="D22" s="2512"/>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1323</v>
      </c>
      <c r="D24" s="920" t="str">
        <f>IF(COVER!O11="X","OK",IF(AND('Aud Quest 2'!J90=0,'Aud Quest 2'!I77&lt;DATE(2017,12,31)),"ENTER ACCOUNTING INFO",IF(AND('Aud Quest 2'!J90&gt;0,'Aud Quest 2'!I77&lt;DATE(2017,12,31)),"OK")))</f>
        <v>OK</v>
      </c>
    </row>
    <row r="25" spans="1:10" x14ac:dyDescent="0.2">
      <c r="A25" s="878"/>
      <c r="B25" s="879"/>
      <c r="C25" s="880" t="s">
        <v>1512</v>
      </c>
      <c r="D25" s="881" t="str">
        <f>IF(AND(COVER!J29="X",COVER!J30="X",COVER!L30&lt;&gt;"X"),"OK",IF(AND(COVER!J29="X",COVER!J30&lt;&gt;"X",COVER!L30="X"),"OK",IF(AND(COVER!L29="X",COVER!J30&lt;&gt;"X"),"OK","PLEASE CHECK YES or NO.")))</f>
        <v>OK</v>
      </c>
    </row>
    <row r="26" spans="1:10" x14ac:dyDescent="0.2">
      <c r="A26" s="878"/>
      <c r="B26" s="921"/>
      <c r="C26" s="882" t="s">
        <v>1511</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1359</v>
      </c>
      <c r="D29" s="88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5" t="s">
        <v>533</v>
      </c>
      <c r="D43" s="2516"/>
    </row>
    <row r="44" spans="1:12" x14ac:dyDescent="0.2">
      <c r="A44" s="897"/>
      <c r="B44" s="899"/>
      <c r="C44" s="900" t="s">
        <v>1326</v>
      </c>
      <c r="D44" s="901" t="str">
        <f>IF(SUM('Assets-Liab 5-6'!C13)&lt;&gt;SUM('Assets-Liab 5-6'!C41),"ERROR!","OK")</f>
        <v>OK</v>
      </c>
    </row>
    <row r="45" spans="1:12" x14ac:dyDescent="0.2">
      <c r="A45" s="897"/>
      <c r="B45" s="899"/>
      <c r="C45" s="900" t="s">
        <v>1327</v>
      </c>
      <c r="D45" s="901" t="str">
        <f>IF(SUM('Assets-Liab 5-6'!D13)&lt;&gt;SUM('Assets-Liab 5-6'!D41),"ERROR!","OK")</f>
        <v>OK</v>
      </c>
    </row>
    <row r="46" spans="1:12" x14ac:dyDescent="0.2">
      <c r="A46" s="897"/>
      <c r="B46" s="899"/>
      <c r="C46" s="900" t="s">
        <v>1328</v>
      </c>
      <c r="D46" s="901" t="str">
        <f>IF(SUM('Assets-Liab 5-6'!E13)&lt;&gt;SUM('Assets-Liab 5-6'!E41),"ERROR!","OK")</f>
        <v>OK</v>
      </c>
    </row>
    <row r="47" spans="1:12" x14ac:dyDescent="0.2">
      <c r="A47" s="897"/>
      <c r="B47" s="899"/>
      <c r="C47" s="900" t="s">
        <v>1329</v>
      </c>
      <c r="D47" s="901" t="str">
        <f>IF(SUM('Assets-Liab 5-6'!F13)&lt;&gt;SUM('Assets-Liab 5-6'!F41),"ERROR!","OK")</f>
        <v>OK</v>
      </c>
    </row>
    <row r="48" spans="1:12" x14ac:dyDescent="0.2">
      <c r="A48" s="897"/>
      <c r="B48" s="899"/>
      <c r="C48" s="900" t="s">
        <v>1330</v>
      </c>
      <c r="D48" s="901" t="str">
        <f>IF(SUM('Assets-Liab 5-6'!G13)&lt;&gt;SUM('Assets-Liab 5-6'!G41),"ERROR!","OK")</f>
        <v>OK</v>
      </c>
    </row>
    <row r="49" spans="1:4" x14ac:dyDescent="0.2">
      <c r="A49" s="897"/>
      <c r="B49" s="899"/>
      <c r="C49" s="900" t="s">
        <v>1331</v>
      </c>
      <c r="D49" s="901" t="str">
        <f>IF(SUM('Assets-Liab 5-6'!H13)&lt;&gt;SUM('Assets-Liab 5-6'!H41),"ERROR!","OK")</f>
        <v>OK</v>
      </c>
    </row>
    <row r="50" spans="1:4" x14ac:dyDescent="0.2">
      <c r="A50" s="897"/>
      <c r="B50" s="899"/>
      <c r="C50" s="900" t="s">
        <v>1332</v>
      </c>
      <c r="D50" s="901" t="str">
        <f>IF(SUM('Assets-Liab 5-6'!I13)&lt;&gt;SUM('Assets-Liab 5-6'!I41),"ERROR!","OK")</f>
        <v>OK</v>
      </c>
    </row>
    <row r="51" spans="1:4" x14ac:dyDescent="0.2">
      <c r="A51" s="897"/>
      <c r="B51" s="899"/>
      <c r="C51" s="900" t="s">
        <v>1333</v>
      </c>
      <c r="D51" s="901" t="str">
        <f>IF(SUM('Assets-Liab 5-6'!J13)&lt;&gt;SUM('Assets-Liab 5-6'!J41),"ERROR!","OK")</f>
        <v>OK</v>
      </c>
    </row>
    <row r="52" spans="1:4" x14ac:dyDescent="0.2">
      <c r="A52" s="897"/>
      <c r="B52" s="899"/>
      <c r="C52" s="900" t="s">
        <v>1334</v>
      </c>
      <c r="D52" s="901" t="str">
        <f>IF(SUM('Assets-Liab 5-6'!K13)&lt;&gt;SUM('Assets-Liab 5-6'!K41),"ERROR!","OK")</f>
        <v>OK</v>
      </c>
    </row>
    <row r="53" spans="1:4" x14ac:dyDescent="0.2">
      <c r="A53" s="897"/>
      <c r="B53" s="899"/>
      <c r="C53" s="900" t="s">
        <v>1335</v>
      </c>
      <c r="D53" s="901" t="str">
        <f>IF(SUM('Assets-Liab 5-6'!L13)&lt;&gt;('Assets-Liab 5-6'!L41),"ERROR!","OK")</f>
        <v>OK</v>
      </c>
    </row>
    <row r="54" spans="1:4" x14ac:dyDescent="0.2">
      <c r="A54" s="897"/>
      <c r="B54" s="899"/>
      <c r="C54" s="900" t="s">
        <v>1336</v>
      </c>
      <c r="D54" s="901" t="str">
        <f>IF(SUM('Assets-Liab 5-6'!M23)&lt;&gt;('Assets-Liab 5-6'!M41),"ERROR!","OK")</f>
        <v>OK</v>
      </c>
    </row>
    <row r="55" spans="1:4" x14ac:dyDescent="0.2">
      <c r="A55" s="897"/>
      <c r="B55" s="899"/>
      <c r="C55" s="900" t="s">
        <v>1337</v>
      </c>
      <c r="D55" s="901" t="str">
        <f>IF(SUM('Assets-Liab 5-6'!N23)&lt;&gt;('Assets-Liab 5-6'!N41),"ERROR!","OK")</f>
        <v>OK</v>
      </c>
    </row>
    <row r="56" spans="1:4" x14ac:dyDescent="0.2">
      <c r="A56" s="878"/>
      <c r="B56" s="898">
        <f>B43+1</f>
        <v>6</v>
      </c>
      <c r="C56" s="2507" t="s">
        <v>779</v>
      </c>
      <c r="D56" s="2508"/>
    </row>
    <row r="57" spans="1:4" s="894" customFormat="1" x14ac:dyDescent="0.2">
      <c r="A57" s="878"/>
      <c r="B57" s="888"/>
      <c r="C57" s="896" t="s">
        <v>1338</v>
      </c>
      <c r="D57" s="902" t="str">
        <f>IF('Assets-Liab 5-6'!C38+'Assets-Liab 5-6'!C39='Acct Summary 7-8'!C81,"OK","ERROR!")</f>
        <v>OK</v>
      </c>
    </row>
    <row r="58" spans="1:4" x14ac:dyDescent="0.2">
      <c r="A58" s="878"/>
      <c r="B58" s="888"/>
      <c r="C58" s="896" t="s">
        <v>1339</v>
      </c>
      <c r="D58" s="902" t="str">
        <f>IF((('Assets-Liab 5-6'!D38+'Assets-Liab 5-6'!D39) ='Acct Summary 7-8'!D81), "OK", "ERROR!" )</f>
        <v>OK</v>
      </c>
    </row>
    <row r="59" spans="1:4" s="894" customFormat="1" x14ac:dyDescent="0.2">
      <c r="A59" s="878"/>
      <c r="B59" s="888"/>
      <c r="C59" s="896" t="s">
        <v>1340</v>
      </c>
      <c r="D59" s="902" t="str">
        <f>IF((('Assets-Liab 5-6'!E38 + 'Assets-Liab 5-6'!E39) ='Acct Summary 7-8'!E81), "OK", "ERROR!" )</f>
        <v>OK</v>
      </c>
    </row>
    <row r="60" spans="1:4" x14ac:dyDescent="0.2">
      <c r="A60" s="878"/>
      <c r="B60" s="888"/>
      <c r="C60" s="896" t="s">
        <v>1341</v>
      </c>
      <c r="D60" s="902" t="str">
        <f>IF((('Assets-Liab 5-6'!F38 + 'Assets-Liab 5-6'!F39) ='Acct Summary 7-8'!F81), "OK", "ERROR!" )</f>
        <v>OK</v>
      </c>
    </row>
    <row r="61" spans="1:4" ht="12.75" customHeight="1" x14ac:dyDescent="0.2">
      <c r="A61" s="878"/>
      <c r="B61" s="888"/>
      <c r="C61" s="896" t="s">
        <v>1349</v>
      </c>
      <c r="D61" s="902" t="str">
        <f>IF((('Assets-Liab 5-6'!G38 + 'Assets-Liab 5-6'!G39) ='Acct Summary 7-8'!G81), "OK", "ERROR!" )</f>
        <v>OK</v>
      </c>
    </row>
    <row r="62" spans="1:4" x14ac:dyDescent="0.2">
      <c r="A62" s="878"/>
      <c r="B62" s="888"/>
      <c r="C62" s="896" t="s">
        <v>1342</v>
      </c>
      <c r="D62" s="902" t="str">
        <f>IF((('Assets-Liab 5-6'!H38 + 'Assets-Liab 5-6'!H39) ='Acct Summary 7-8'!H81), "OK", "ERROR!" )</f>
        <v>OK</v>
      </c>
    </row>
    <row r="63" spans="1:4" ht="12.75" customHeight="1" x14ac:dyDescent="0.2">
      <c r="A63" s="878"/>
      <c r="B63" s="888"/>
      <c r="C63" s="896" t="s">
        <v>1343</v>
      </c>
      <c r="D63" s="902" t="str">
        <f>IF((('Assets-Liab 5-6'!I38 + 'Assets-Liab 5-6'!I39) ='Acct Summary 7-8'!I81), "OK", "ERROR!" )</f>
        <v>OK</v>
      </c>
    </row>
    <row r="64" spans="1:4" x14ac:dyDescent="0.2">
      <c r="A64" s="878"/>
      <c r="B64" s="888"/>
      <c r="C64" s="896" t="s">
        <v>1344</v>
      </c>
      <c r="D64" s="902" t="str">
        <f>IF((('Assets-Liab 5-6'!J38 + 'Assets-Liab 5-6'!J39) ='Acct Summary 7-8'!J81), "OK", "ERROR!" )</f>
        <v>OK</v>
      </c>
    </row>
    <row r="65" spans="1:4" x14ac:dyDescent="0.2">
      <c r="A65" s="895"/>
      <c r="B65" s="888"/>
      <c r="C65" s="896" t="s">
        <v>1350</v>
      </c>
      <c r="D65" s="902" t="str">
        <f>IF((('Assets-Liab 5-6'!K38 + 'Assets-Liab 5-6'!K39) ='Acct Summary 7-8'!K81), "OK", "ERROR!" )</f>
        <v>OK</v>
      </c>
    </row>
    <row r="66" spans="1:4" x14ac:dyDescent="0.2">
      <c r="A66" s="876"/>
      <c r="B66" s="918">
        <f>B56+1+1</f>
        <v>8</v>
      </c>
      <c r="C66" s="924" t="s">
        <v>1883</v>
      </c>
      <c r="D66" s="903"/>
    </row>
    <row r="67" spans="1:4" x14ac:dyDescent="0.2">
      <c r="A67" s="897"/>
      <c r="B67" s="918"/>
      <c r="C67" s="925" t="s">
        <v>1014</v>
      </c>
      <c r="D67" s="903"/>
    </row>
    <row r="68" spans="1:4" x14ac:dyDescent="0.2">
      <c r="A68" s="878"/>
      <c r="B68" s="888"/>
      <c r="C68" s="880" t="s">
        <v>1884</v>
      </c>
      <c r="D68" s="902" t="str">
        <f>IF('Short-Term Long-Term Debt 24'!F49=SUM(,'Acct Summary 7-8'!C33:K33),"OK","ERROR!")</f>
        <v>OK</v>
      </c>
    </row>
    <row r="69" spans="1:4" x14ac:dyDescent="0.2">
      <c r="A69" s="878"/>
      <c r="B69" s="888"/>
      <c r="C69" s="880" t="s">
        <v>1885</v>
      </c>
      <c r="D69" s="902" t="str">
        <f>IF('Expenditures 15-22'!H170&lt;&gt;'Short-Term Long-Term Debt 24'!H49,"ERROR!","OK")</f>
        <v>OK</v>
      </c>
    </row>
    <row r="70" spans="1:4" x14ac:dyDescent="0.2">
      <c r="A70" s="876"/>
      <c r="B70" s="898">
        <f>B66+1</f>
        <v>9</v>
      </c>
      <c r="C70" s="2507" t="s">
        <v>1677</v>
      </c>
      <c r="D70" s="2508"/>
    </row>
    <row r="71" spans="1:4" x14ac:dyDescent="0.2">
      <c r="A71" s="876"/>
      <c r="B71" s="898"/>
      <c r="C71" s="880" t="s">
        <v>1345</v>
      </c>
      <c r="D71" s="904" t="str">
        <f>IF(SUM('Acct Summary 7-8'!C27:K27) =SUM( 'Acct Summary 7-8'!C49:K49),"OK", "ERROR")</f>
        <v>OK</v>
      </c>
    </row>
    <row r="72" spans="1:4" x14ac:dyDescent="0.2">
      <c r="A72" s="878"/>
      <c r="B72" s="888"/>
      <c r="C72" s="896" t="s">
        <v>1346</v>
      </c>
      <c r="D72" s="902" t="str">
        <f>IF(SUM('Acct Summary 7-8'!C28:K28)=SUM('Acct Summary 7-8'!C50:K50),"OK","ERROR!")</f>
        <v>OK</v>
      </c>
    </row>
    <row r="73" spans="1:4" ht="24" x14ac:dyDescent="0.2">
      <c r="A73" s="905"/>
      <c r="B73" s="888"/>
      <c r="C73" s="896" t="s">
        <v>1678</v>
      </c>
      <c r="D73" s="904" t="str">
        <f>IF(SUM('Acct Summary 7-8'!C42:K42)&gt;=SUM( 'Acct Summary 7-8'!C74:K74),"OK", "ERROR")</f>
        <v>OK</v>
      </c>
    </row>
    <row r="74" spans="1:4" x14ac:dyDescent="0.2">
      <c r="A74" s="876"/>
      <c r="B74" s="898">
        <f>B70+1</f>
        <v>10</v>
      </c>
      <c r="C74" s="892" t="s">
        <v>1886</v>
      </c>
      <c r="D74" s="906"/>
    </row>
    <row r="75" spans="1:4" x14ac:dyDescent="0.2">
      <c r="A75" s="878"/>
      <c r="B75" s="888"/>
      <c r="C75" s="896" t="s">
        <v>1363</v>
      </c>
      <c r="D75" s="902" t="str">
        <f>IF(SUM('Assets-Liab 5-6'!C38:H38)&gt;=SUM('Rest Tax Levies-Tort Im 25'!G25:K25),"OK","ERROR")</f>
        <v>OK</v>
      </c>
    </row>
    <row r="76" spans="1:4" x14ac:dyDescent="0.2">
      <c r="A76" s="878"/>
      <c r="B76" s="888"/>
      <c r="C76" s="896" t="s">
        <v>1404</v>
      </c>
      <c r="D76" s="902" t="str">
        <f>IF(SUM('Assets-Liab 5-6'!C39:K39)&gt;0,"OK","ENTRY IS REQUIRED!")</f>
        <v>OK</v>
      </c>
    </row>
    <row r="77" spans="1:4" x14ac:dyDescent="0.2">
      <c r="A77" s="878"/>
      <c r="B77" s="907">
        <f>B74+1</f>
        <v>11</v>
      </c>
      <c r="C77" s="952" t="s">
        <v>1364</v>
      </c>
      <c r="D77" s="902"/>
    </row>
    <row r="78" spans="1:4" x14ac:dyDescent="0.2">
      <c r="A78" s="878"/>
      <c r="B78" s="888"/>
      <c r="C78" s="896" t="s">
        <v>1991</v>
      </c>
      <c r="D78" s="902" t="str">
        <f>IF(ISNUMBER('Acct Summary 7-8'!C9),"OK","ENTRY IS REQUIRED!")</f>
        <v>OK</v>
      </c>
    </row>
    <row r="79" spans="1:4" x14ac:dyDescent="0.2">
      <c r="A79" s="897"/>
      <c r="B79" s="898">
        <f>B74+1+1</f>
        <v>12</v>
      </c>
      <c r="C79" s="908" t="s">
        <v>1874</v>
      </c>
      <c r="D79" s="909" t="str">
        <f>IF(OR(COVER!$B$6="X",'PCTC-OEPP 27-28'!F79&gt;0),"OK","PLEASE ENTER 9 MO ADA.")</f>
        <v>OK</v>
      </c>
    </row>
    <row r="80" spans="1:4" x14ac:dyDescent="0.2">
      <c r="A80" s="876"/>
      <c r="B80" s="898">
        <v>13</v>
      </c>
      <c r="C80" s="908" t="s">
        <v>1979</v>
      </c>
      <c r="D80" s="909" t="str">
        <f>IF(OR(COVER!$B$6="X",ISNUMBER('PCTC-OEPP 27-28'!F172)),"OK","PLEASE ENTER AMOUNT or 0.")</f>
        <v>OK</v>
      </c>
    </row>
    <row r="81" spans="1:4" x14ac:dyDescent="0.2">
      <c r="A81" s="876"/>
      <c r="B81" s="898">
        <v>14</v>
      </c>
      <c r="C81" s="908" t="s">
        <v>1980</v>
      </c>
      <c r="D81" s="909" t="str">
        <f>IF(OR(COVER!$B$6="X",ISNUMBER('PCTC-OEPP 27-28'!F173)),"OK","PLEASE ENTER AMOUNT or 0.")</f>
        <v>OK</v>
      </c>
    </row>
    <row r="82" spans="1:4" x14ac:dyDescent="0.2">
      <c r="A82" s="876"/>
      <c r="B82" s="898">
        <v>15</v>
      </c>
      <c r="C82" s="908" t="s">
        <v>1887</v>
      </c>
      <c r="D82" s="1900" t="str">
        <f>IF('Contracts Paid in CY 29'!$D$142&gt;0,"OK","PLEASE ENTER CONTRACTS PAID IN CURRENT YEAR.  IF NONE, STATE NO CONTRACTS ON PAGE 29.")</f>
        <v>OK</v>
      </c>
    </row>
    <row r="83" spans="1:4" x14ac:dyDescent="0.2">
      <c r="A83" s="876"/>
      <c r="B83" s="898">
        <v>16</v>
      </c>
      <c r="C83" s="908" t="s">
        <v>1410</v>
      </c>
      <c r="D83" s="901" t="str">
        <f>IF('Shared Outsourced Services 31'!B8="X","OK",IF('Shared Outsourced Services 31'!K34&gt;0,"OK","ENTRY REQUIRED!"))</f>
        <v>OK</v>
      </c>
    </row>
    <row r="84" spans="1:4" x14ac:dyDescent="0.2">
      <c r="A84" s="897"/>
      <c r="B84" s="898">
        <v>17</v>
      </c>
      <c r="C84" s="908" t="s">
        <v>1409</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1970</v>
      </c>
      <c r="F1" s="1542" t="s">
        <v>1971</v>
      </c>
      <c r="G1" s="1899" t="s">
        <v>1981</v>
      </c>
    </row>
    <row r="2" spans="1:7" ht="15.75" x14ac:dyDescent="0.25">
      <c r="A2" t="s">
        <v>260</v>
      </c>
      <c r="B2" s="135">
        <f>COVER!A13</f>
        <v>1069011026</v>
      </c>
      <c r="E2" s="1541">
        <v>2020</v>
      </c>
      <c r="F2" s="1541">
        <v>1</v>
      </c>
      <c r="G2" s="1898">
        <v>101000300</v>
      </c>
    </row>
    <row r="3" spans="1:7" ht="15" x14ac:dyDescent="0.25">
      <c r="A3" t="s">
        <v>950</v>
      </c>
      <c r="B3" s="135" t="str">
        <f>COVER!A15</f>
        <v>Morgan, Cass, Brown, Pike</v>
      </c>
      <c r="E3" s="1829" t="s">
        <v>1974</v>
      </c>
      <c r="F3" s="1829" t="s">
        <v>1973</v>
      </c>
      <c r="G3" s="1898">
        <v>101000400</v>
      </c>
    </row>
    <row r="4" spans="1:7" ht="15" x14ac:dyDescent="0.25">
      <c r="A4" t="s">
        <v>1000</v>
      </c>
      <c r="B4" s="135" t="str">
        <f>COVER!A17</f>
        <v>Meredosia- Chambersburg CUSD 11</v>
      </c>
      <c r="E4" s="1827">
        <v>44119</v>
      </c>
      <c r="F4" s="1828">
        <v>44151</v>
      </c>
      <c r="G4" s="1898">
        <v>101000600</v>
      </c>
    </row>
    <row r="5" spans="1:7" ht="15" x14ac:dyDescent="0.25">
      <c r="A5" t="s">
        <v>699</v>
      </c>
      <c r="B5" s="135" t="str">
        <f>COVER!A38</f>
        <v>Thad Walker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066-004993</v>
      </c>
      <c r="G15" s="1898">
        <v>402100400</v>
      </c>
    </row>
    <row r="16" spans="1:7" ht="15" x14ac:dyDescent="0.25">
      <c r="A16" t="s">
        <v>419</v>
      </c>
      <c r="B16" s="135" t="str">
        <f>COVER!T13</f>
        <v>Zumbahlen, Eyth, Surratt, Foote &amp; Flynn, Ltd.</v>
      </c>
      <c r="G16" s="1898">
        <v>402100600</v>
      </c>
    </row>
    <row r="17" spans="1:7" ht="15" x14ac:dyDescent="0.25">
      <c r="A17" t="s">
        <v>878</v>
      </c>
      <c r="B17" s="135" t="str">
        <f>COVER!T15</f>
        <v>Adam R. Withee</v>
      </c>
      <c r="G17" s="1898">
        <v>402100800</v>
      </c>
    </row>
    <row r="18" spans="1:7" ht="15" x14ac:dyDescent="0.25">
      <c r="A18" t="s">
        <v>1142</v>
      </c>
      <c r="B18" s="135" t="str">
        <f>COVER!T17</f>
        <v>1395 Lincoln Ave</v>
      </c>
      <c r="G18" s="1898">
        <v>102200300</v>
      </c>
    </row>
    <row r="19" spans="1:7" ht="15" x14ac:dyDescent="0.25">
      <c r="A19" t="s">
        <v>880</v>
      </c>
      <c r="B19" s="135" t="str">
        <f>COVER!T25</f>
        <v>awithee@zescpa.com</v>
      </c>
      <c r="G19" s="1898">
        <v>102200400</v>
      </c>
    </row>
    <row r="20" spans="1:7" ht="15" x14ac:dyDescent="0.25">
      <c r="A20" t="s">
        <v>881</v>
      </c>
      <c r="B20" s="135" t="str">
        <f>COVER!T19</f>
        <v>Jacksonville</v>
      </c>
      <c r="G20" s="1898">
        <v>102200600</v>
      </c>
    </row>
    <row r="21" spans="1:7" ht="15" x14ac:dyDescent="0.25">
      <c r="A21" t="s">
        <v>476</v>
      </c>
      <c r="B21" s="135" t="str">
        <f>COVER!X19</f>
        <v>IL</v>
      </c>
      <c r="G21" s="1898">
        <v>102200800</v>
      </c>
    </row>
    <row r="22" spans="1:7" ht="15" x14ac:dyDescent="0.25">
      <c r="A22" t="s">
        <v>882</v>
      </c>
      <c r="B22" s="135">
        <f>COVER!Z19</f>
        <v>62650</v>
      </c>
      <c r="G22" s="1898">
        <v>102300300</v>
      </c>
    </row>
    <row r="23" spans="1:7" ht="15" x14ac:dyDescent="0.25">
      <c r="A23" t="s">
        <v>1144</v>
      </c>
      <c r="B23" s="135" t="str">
        <f>COVER!T21</f>
        <v>217-245-5121</v>
      </c>
      <c r="G23" s="1898">
        <v>102300400</v>
      </c>
    </row>
    <row r="24" spans="1:7" ht="15" x14ac:dyDescent="0.25">
      <c r="A24" t="s">
        <v>1143</v>
      </c>
      <c r="B24" s="135">
        <f>COVER!Y21</f>
        <v>0</v>
      </c>
      <c r="G24" s="1898">
        <v>102300600</v>
      </c>
    </row>
    <row r="25" spans="1:7" ht="15" x14ac:dyDescent="0.25">
      <c r="A25" t="s">
        <v>756</v>
      </c>
      <c r="B25" s="135" t="str">
        <f>COVER!B34</f>
        <v>X</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0</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63531</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765819</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6013</v>
      </c>
      <c r="C91" s="2" t="s">
        <v>569</v>
      </c>
      <c r="D91" s="2" t="str">
        <f t="shared" si="0"/>
        <v>Error?</v>
      </c>
      <c r="G91" s="1898">
        <v>102640400</v>
      </c>
    </row>
    <row r="92" spans="1:7" ht="15" x14ac:dyDescent="0.25">
      <c r="A92" s="5">
        <v>31</v>
      </c>
      <c r="B92" s="1831">
        <f>'Assets-Liab 5-6'!C39</f>
        <v>692180</v>
      </c>
      <c r="D92" s="2" t="str">
        <f t="shared" si="0"/>
        <v>Error?</v>
      </c>
      <c r="G92" s="1898">
        <v>102640600</v>
      </c>
    </row>
    <row r="93" spans="1:7" ht="15" x14ac:dyDescent="0.25">
      <c r="A93" s="5">
        <v>32</v>
      </c>
      <c r="B93" s="1831">
        <f>'Assets-Liab 5-6'!C41</f>
        <v>765819</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103357</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103357</v>
      </c>
      <c r="D123" s="2" t="str">
        <f t="shared" si="0"/>
        <v>Error?</v>
      </c>
      <c r="G123" s="1898">
        <v>203000400</v>
      </c>
    </row>
    <row r="124" spans="1:7" ht="15" x14ac:dyDescent="0.25">
      <c r="A124" s="5">
        <v>63</v>
      </c>
      <c r="B124" s="1831">
        <f>'Assets-Liab 5-6'!D41</f>
        <v>103357</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113568</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113568</v>
      </c>
      <c r="D140" s="2" t="str">
        <f t="shared" si="1"/>
        <v>Error?</v>
      </c>
    </row>
    <row r="141" spans="1:7" x14ac:dyDescent="0.2">
      <c r="A141" s="5">
        <v>80</v>
      </c>
      <c r="B141" s="1831">
        <f>'Assets-Liab 5-6'!E41</f>
        <v>113568</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306947</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306947</v>
      </c>
      <c r="D170" s="2" t="str">
        <f t="shared" si="1"/>
        <v>Error?</v>
      </c>
    </row>
    <row r="171" spans="1:4" x14ac:dyDescent="0.2">
      <c r="A171" s="5">
        <v>110</v>
      </c>
      <c r="B171" s="1831">
        <f>'Assets-Liab 5-6'!F41</f>
        <v>306947</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272742</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383965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284972</v>
      </c>
      <c r="D189" s="2" t="str">
        <f t="shared" si="1"/>
        <v>Error?</v>
      </c>
    </row>
    <row r="190" spans="1:4" x14ac:dyDescent="0.2">
      <c r="A190" s="5">
        <v>129</v>
      </c>
      <c r="B190" s="1831">
        <f>'Assets-Liab 5-6'!G41</f>
        <v>383965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149169</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149169</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4500</v>
      </c>
      <c r="D273" s="2" t="str">
        <f t="shared" si="3"/>
        <v>Error?</v>
      </c>
    </row>
    <row r="274" spans="1:4" x14ac:dyDescent="0.2">
      <c r="A274" s="5">
        <v>213</v>
      </c>
      <c r="B274" s="1831">
        <f>'Assets-Liab 5-6'!M17</f>
        <v>3708923</v>
      </c>
      <c r="D274" s="2" t="str">
        <f t="shared" si="3"/>
        <v>Error?</v>
      </c>
    </row>
    <row r="275" spans="1:4" x14ac:dyDescent="0.2">
      <c r="A275" s="5">
        <v>214</v>
      </c>
      <c r="B275" s="1831">
        <f>'Assets-Liab 5-6'!M18</f>
        <v>1108736</v>
      </c>
      <c r="D275" s="2" t="str">
        <f t="shared" si="3"/>
        <v>Error?</v>
      </c>
    </row>
    <row r="276" spans="1:4" x14ac:dyDescent="0.2">
      <c r="A276" s="5">
        <v>215</v>
      </c>
      <c r="B276" s="1831">
        <f>'Assets-Liab 5-6'!M19</f>
        <v>483685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5305844</v>
      </c>
      <c r="C279" s="2" t="s">
        <v>569</v>
      </c>
      <c r="D279" s="2" t="str">
        <f t="shared" si="3"/>
        <v>Error?</v>
      </c>
    </row>
    <row r="280" spans="1:4" x14ac:dyDescent="0.2">
      <c r="A280" s="5">
        <v>219</v>
      </c>
      <c r="B280" s="1831">
        <f>'Assets-Liab 5-6'!M40</f>
        <v>5305844</v>
      </c>
      <c r="D280" s="2" t="str">
        <f t="shared" si="3"/>
        <v>Error?</v>
      </c>
    </row>
    <row r="281" spans="1:4" x14ac:dyDescent="0.2">
      <c r="A281" s="5">
        <v>220</v>
      </c>
      <c r="B281" s="1831">
        <f>'Assets-Liab 5-6'!M41</f>
        <v>5305844</v>
      </c>
      <c r="C281" s="2" t="s">
        <v>569</v>
      </c>
      <c r="D281" s="2" t="str">
        <f t="shared" si="3"/>
        <v>Error?</v>
      </c>
    </row>
    <row r="282" spans="1:4" x14ac:dyDescent="0.2">
      <c r="A282" s="5">
        <v>221</v>
      </c>
      <c r="B282" s="1831">
        <f>'Assets-Liab 5-6'!N21</f>
        <v>113568</v>
      </c>
      <c r="D282" s="2" t="str">
        <f t="shared" si="3"/>
        <v>Error?</v>
      </c>
    </row>
    <row r="283" spans="1:4" x14ac:dyDescent="0.2">
      <c r="A283" s="5">
        <v>222</v>
      </c>
      <c r="B283" s="1831">
        <f>'Assets-Liab 5-6'!N22</f>
        <v>101432</v>
      </c>
      <c r="D283" s="2" t="str">
        <f t="shared" si="3"/>
        <v>Error?</v>
      </c>
    </row>
    <row r="284" spans="1:4" x14ac:dyDescent="0.2">
      <c r="A284" s="5">
        <v>223</v>
      </c>
      <c r="B284" s="1831">
        <f>'Assets-Liab 5-6'!N23</f>
        <v>215000</v>
      </c>
      <c r="C284" s="2" t="s">
        <v>569</v>
      </c>
      <c r="D284" s="2" t="str">
        <f t="shared" si="3"/>
        <v>Error?</v>
      </c>
    </row>
    <row r="285" spans="1:4" x14ac:dyDescent="0.2">
      <c r="A285" s="5">
        <v>224</v>
      </c>
      <c r="B285" s="1831">
        <f>'Assets-Liab 5-6'!N36</f>
        <v>215000</v>
      </c>
      <c r="D285" s="2" t="str">
        <f t="shared" si="3"/>
        <v>Error?</v>
      </c>
    </row>
    <row r="286" spans="1:4" x14ac:dyDescent="0.2">
      <c r="A286" s="10">
        <v>225</v>
      </c>
      <c r="B286" s="1831"/>
      <c r="D286" s="2" t="str">
        <f t="shared" si="3"/>
        <v>OK</v>
      </c>
    </row>
    <row r="287" spans="1:4" x14ac:dyDescent="0.2">
      <c r="A287" s="5">
        <v>226</v>
      </c>
      <c r="B287" s="1831">
        <f>'Assets-Liab 5-6'!N37</f>
        <v>215000</v>
      </c>
      <c r="C287" s="2" t="s">
        <v>569</v>
      </c>
      <c r="D287" s="2" t="str">
        <f t="shared" si="3"/>
        <v>Error?</v>
      </c>
    </row>
    <row r="288" spans="1:4" x14ac:dyDescent="0.2">
      <c r="A288" s="5">
        <v>227</v>
      </c>
      <c r="B288" s="1831">
        <f>'Assets-Liab 5-6'!N41</f>
        <v>215000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693684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86615</v>
      </c>
      <c r="D717" s="2" t="str">
        <f t="shared" si="10"/>
        <v>Error?</v>
      </c>
    </row>
    <row r="718" spans="1:4" x14ac:dyDescent="0.2">
      <c r="A718" s="5">
        <v>657</v>
      </c>
      <c r="B718" s="1831">
        <f>'Expenditures 15-22'!C14</f>
        <v>27403</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1162023</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40856</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29910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70766</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22431</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22431</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111874</v>
      </c>
      <c r="D733" s="2" t="str">
        <f t="shared" si="10"/>
        <v>Error?</v>
      </c>
    </row>
    <row r="734" spans="1:4" x14ac:dyDescent="0.2">
      <c r="A734" s="5">
        <v>673</v>
      </c>
      <c r="B734" s="1831">
        <f>'Expenditures 15-22'!C53</f>
        <v>111874</v>
      </c>
      <c r="C734" s="2" t="s">
        <v>569</v>
      </c>
      <c r="D734" s="2" t="str">
        <f t="shared" si="10"/>
        <v>Error?</v>
      </c>
    </row>
    <row r="735" spans="1:4" x14ac:dyDescent="0.2">
      <c r="A735" s="5">
        <v>674</v>
      </c>
      <c r="B735" s="1831">
        <f>'Expenditures 15-22'!C55</f>
        <v>129418</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129418</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52699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70884</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123583</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7500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7500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465572</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1627595</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153716</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17697</v>
      </c>
      <c r="D775" s="2" t="str">
        <f t="shared" si="11"/>
        <v>Error?</v>
      </c>
    </row>
    <row r="776" spans="1:4" x14ac:dyDescent="0.2">
      <c r="A776" s="5">
        <v>715</v>
      </c>
      <c r="B776" s="1831">
        <f>'Expenditures 15-22'!D14</f>
        <v>4974</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236571</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9235</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3859</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13094</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20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20153</v>
      </c>
      <c r="D791" s="2" t="str">
        <f t="shared" si="11"/>
        <v>Error?</v>
      </c>
    </row>
    <row r="792" spans="1:4" x14ac:dyDescent="0.2">
      <c r="A792" s="5">
        <v>731</v>
      </c>
      <c r="B792" s="1831">
        <f>'Expenditures 15-22'!D53</f>
        <v>20153</v>
      </c>
      <c r="C792" s="2" t="s">
        <v>569</v>
      </c>
      <c r="D792" s="2" t="str">
        <f t="shared" si="11"/>
        <v>Error?</v>
      </c>
    </row>
    <row r="793" spans="1:4" x14ac:dyDescent="0.2">
      <c r="A793" s="5">
        <v>732</v>
      </c>
      <c r="B793" s="1831">
        <f>'Expenditures 15-22'!D55</f>
        <v>21287</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21287</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21</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6897</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6918</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61472</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298043</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60093</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23514</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96151</v>
      </c>
      <c r="C836" s="2" t="s">
        <v>569</v>
      </c>
      <c r="D836" s="2" t="str">
        <f t="shared" si="12"/>
        <v>Error?</v>
      </c>
    </row>
    <row r="837" spans="1:4" x14ac:dyDescent="0.2">
      <c r="A837" s="5">
        <v>776</v>
      </c>
      <c r="B837" s="1831">
        <f>'Expenditures 15-22'!E36</f>
        <v>30252</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30252</v>
      </c>
      <c r="C843" s="2" t="s">
        <v>569</v>
      </c>
      <c r="D843" s="2" t="str">
        <f t="shared" si="12"/>
        <v>Error?</v>
      </c>
    </row>
    <row r="844" spans="1:4" x14ac:dyDescent="0.2">
      <c r="A844" s="5">
        <v>783</v>
      </c>
      <c r="B844" s="1831">
        <f>'Expenditures 15-22'!E44</f>
        <v>8658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6264</v>
      </c>
      <c r="D846" s="2" t="str">
        <f t="shared" si="12"/>
        <v>Error?</v>
      </c>
    </row>
    <row r="847" spans="1:4" x14ac:dyDescent="0.2">
      <c r="A847" s="5">
        <v>786</v>
      </c>
      <c r="B847" s="1831">
        <f>'Expenditures 15-22'!E47</f>
        <v>14922</v>
      </c>
      <c r="C847" s="2" t="s">
        <v>569</v>
      </c>
      <c r="D847" s="2" t="str">
        <f t="shared" si="12"/>
        <v>Error?</v>
      </c>
    </row>
    <row r="848" spans="1:4" x14ac:dyDescent="0.2">
      <c r="A848" s="5">
        <v>787</v>
      </c>
      <c r="B848" s="1831">
        <f>'Expenditures 15-22'!E49</f>
        <v>16097</v>
      </c>
      <c r="D848" s="2" t="str">
        <f t="shared" si="12"/>
        <v>Error?</v>
      </c>
    </row>
    <row r="849" spans="1:4" x14ac:dyDescent="0.2">
      <c r="A849" s="5">
        <v>788</v>
      </c>
      <c r="B849" s="1831">
        <f>'Expenditures 15-22'!E50</f>
        <v>9781</v>
      </c>
      <c r="D849" s="2" t="str">
        <f t="shared" si="12"/>
        <v>Error?</v>
      </c>
    </row>
    <row r="850" spans="1:4" x14ac:dyDescent="0.2">
      <c r="A850" s="5">
        <v>789</v>
      </c>
      <c r="B850" s="1831">
        <f>'Expenditures 15-22'!E53</f>
        <v>25878</v>
      </c>
      <c r="C850" s="2" t="s">
        <v>569</v>
      </c>
      <c r="D850" s="2" t="str">
        <f t="shared" si="12"/>
        <v>Error?</v>
      </c>
    </row>
    <row r="851" spans="1:4" x14ac:dyDescent="0.2">
      <c r="A851" s="5">
        <v>790</v>
      </c>
      <c r="B851" s="1831">
        <f>'Expenditures 15-22'!E55</f>
        <v>2079</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2079</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5125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763</v>
      </c>
      <c r="D857" s="2" t="str">
        <f t="shared" si="12"/>
        <v>Error?</v>
      </c>
    </row>
    <row r="858" spans="1:4" x14ac:dyDescent="0.2">
      <c r="A858" s="5">
        <v>797</v>
      </c>
      <c r="B858" s="1831">
        <f>'Expenditures 15-22'!E63</f>
        <v>559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6447</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79578</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214547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42980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1010</v>
      </c>
      <c r="D891" s="2" t="str">
        <f t="shared" si="12"/>
        <v>Error?</v>
      </c>
    </row>
    <row r="892" spans="1:4" x14ac:dyDescent="0.2">
      <c r="A892" s="5">
        <v>831</v>
      </c>
      <c r="B892" s="1831">
        <f>'Expenditures 15-22'!F14</f>
        <v>1380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49649</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230</v>
      </c>
      <c r="D896" s="2" t="str">
        <f t="shared" si="13"/>
        <v>Error?</v>
      </c>
    </row>
    <row r="897" spans="1:4" x14ac:dyDescent="0.2">
      <c r="A897" s="5">
        <v>836</v>
      </c>
      <c r="B897" s="1831">
        <f>'Expenditures 15-22'!F38</f>
        <v>829</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55</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1114</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4057</v>
      </c>
      <c r="D903" s="2" t="str">
        <f t="shared" si="13"/>
        <v>Error?</v>
      </c>
    </row>
    <row r="904" spans="1:4" x14ac:dyDescent="0.2">
      <c r="A904" s="5">
        <v>843</v>
      </c>
      <c r="B904" s="1831">
        <f>'Expenditures 15-22'!F46</f>
        <v>3010</v>
      </c>
      <c r="D904" s="2" t="str">
        <f t="shared" si="13"/>
        <v>Error?</v>
      </c>
    </row>
    <row r="905" spans="1:4" x14ac:dyDescent="0.2">
      <c r="A905" s="5">
        <v>844</v>
      </c>
      <c r="B905" s="1831">
        <f>'Expenditures 15-22'!F47</f>
        <v>7067</v>
      </c>
      <c r="C905" s="2" t="s">
        <v>569</v>
      </c>
      <c r="D905" s="2" t="str">
        <f t="shared" si="13"/>
        <v>Error?</v>
      </c>
    </row>
    <row r="906" spans="1:4" x14ac:dyDescent="0.2">
      <c r="A906" s="5">
        <v>845</v>
      </c>
      <c r="B906" s="1831">
        <f>'Expenditures 15-22'!F49</f>
        <v>13139</v>
      </c>
      <c r="D906" s="2" t="str">
        <f t="shared" si="13"/>
        <v>Error?</v>
      </c>
    </row>
    <row r="907" spans="1:4" x14ac:dyDescent="0.2">
      <c r="A907" s="5">
        <v>846</v>
      </c>
      <c r="B907" s="1831">
        <f>'Expenditures 15-22'!F50</f>
        <v>13075</v>
      </c>
      <c r="D907" s="2" t="str">
        <f t="shared" si="13"/>
        <v>Error?</v>
      </c>
    </row>
    <row r="908" spans="1:4" x14ac:dyDescent="0.2">
      <c r="A908" s="5">
        <v>847</v>
      </c>
      <c r="B908" s="1831">
        <f>'Expenditures 15-22'!F53</f>
        <v>26214</v>
      </c>
      <c r="C908" s="2" t="s">
        <v>569</v>
      </c>
      <c r="D908" s="2" t="str">
        <f t="shared" si="13"/>
        <v>Error?</v>
      </c>
    </row>
    <row r="909" spans="1:4" x14ac:dyDescent="0.2">
      <c r="A909" s="5">
        <v>848</v>
      </c>
      <c r="B909" s="1831">
        <f>'Expenditures 15-22'!F55</f>
        <v>1725</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1725</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1073</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68164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69237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105357</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155006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23738</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3307</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3307</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1923</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1923</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4913</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4913</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10143</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33881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31142</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31142</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950473</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105322</v>
      </c>
      <c r="C1105" s="2" t="s">
        <v>569</v>
      </c>
      <c r="D1105" s="2" t="str">
        <f t="shared" si="16"/>
        <v>Error?</v>
      </c>
    </row>
    <row r="1106" spans="1:4" x14ac:dyDescent="0.2">
      <c r="A1106" s="5">
        <v>1045</v>
      </c>
      <c r="B1106" s="1831">
        <f>'Expenditures 15-22'!K14</f>
        <v>57271</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1568132</v>
      </c>
      <c r="C1108" s="2" t="s">
        <v>569</v>
      </c>
      <c r="D1108" s="2" t="str">
        <f t="shared" si="16"/>
        <v>Error?</v>
      </c>
    </row>
    <row r="1109" spans="1:4" x14ac:dyDescent="0.2">
      <c r="A1109" s="5">
        <v>1048</v>
      </c>
      <c r="B1109" s="1831">
        <f>'Expenditures 15-22'!K36</f>
        <v>30252</v>
      </c>
      <c r="C1109" s="2" t="s">
        <v>569</v>
      </c>
      <c r="D1109" s="2" t="str">
        <f t="shared" si="16"/>
        <v>Error?</v>
      </c>
    </row>
    <row r="1110" spans="1:4" x14ac:dyDescent="0.2">
      <c r="A1110" s="5">
        <v>1049</v>
      </c>
      <c r="B1110" s="1831">
        <f>'Expenditures 15-22'!K37</f>
        <v>50321</v>
      </c>
      <c r="C1110" s="2" t="s">
        <v>569</v>
      </c>
      <c r="D1110" s="2" t="str">
        <f t="shared" si="16"/>
        <v>Error?</v>
      </c>
    </row>
    <row r="1111" spans="1:4" x14ac:dyDescent="0.2">
      <c r="A1111" s="5">
        <v>1050</v>
      </c>
      <c r="B1111" s="1831">
        <f>'Expenditures 15-22'!K38</f>
        <v>829</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33824</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115226</v>
      </c>
      <c r="C1115" s="2" t="s">
        <v>569</v>
      </c>
      <c r="D1115" s="2" t="str">
        <f t="shared" si="16"/>
        <v>Error?</v>
      </c>
    </row>
    <row r="1116" spans="1:4" x14ac:dyDescent="0.2">
      <c r="A1116" s="5">
        <v>1055</v>
      </c>
      <c r="B1116" s="1831">
        <f>'Expenditures 15-22'!K44</f>
        <v>8658</v>
      </c>
      <c r="C1116" s="2" t="s">
        <v>569</v>
      </c>
      <c r="D1116" s="2" t="str">
        <f t="shared" si="16"/>
        <v>Error?</v>
      </c>
    </row>
    <row r="1117" spans="1:4" x14ac:dyDescent="0.2">
      <c r="A1117" s="5">
        <v>1056</v>
      </c>
      <c r="B1117" s="1831">
        <f>'Expenditures 15-22'!K45</f>
        <v>29815</v>
      </c>
      <c r="C1117" s="2" t="s">
        <v>569</v>
      </c>
      <c r="D1117" s="2" t="str">
        <f t="shared" si="16"/>
        <v>Error?</v>
      </c>
    </row>
    <row r="1118" spans="1:4" x14ac:dyDescent="0.2">
      <c r="A1118" s="5">
        <v>1057</v>
      </c>
      <c r="B1118" s="1831">
        <f>'Expenditures 15-22'!K46</f>
        <v>9274</v>
      </c>
      <c r="C1118" s="2" t="s">
        <v>569</v>
      </c>
      <c r="D1118" s="2" t="str">
        <f t="shared" si="16"/>
        <v>Error?</v>
      </c>
    </row>
    <row r="1119" spans="1:4" x14ac:dyDescent="0.2">
      <c r="A1119" s="5">
        <v>1058</v>
      </c>
      <c r="B1119" s="1831">
        <f>'Expenditures 15-22'!K47</f>
        <v>47747</v>
      </c>
      <c r="C1119" s="2" t="s">
        <v>569</v>
      </c>
      <c r="D1119" s="2" t="str">
        <f t="shared" si="16"/>
        <v>Error?</v>
      </c>
    </row>
    <row r="1120" spans="1:4" x14ac:dyDescent="0.2">
      <c r="A1120" s="5">
        <v>1059</v>
      </c>
      <c r="B1120" s="1831">
        <f>'Expenditures 15-22'!K49</f>
        <v>29236</v>
      </c>
      <c r="C1120" s="2" t="s">
        <v>569</v>
      </c>
      <c r="D1120" s="2" t="str">
        <f t="shared" si="16"/>
        <v>Error?</v>
      </c>
    </row>
    <row r="1121" spans="1:4" x14ac:dyDescent="0.2">
      <c r="A1121" s="5">
        <v>1060</v>
      </c>
      <c r="B1121" s="1831">
        <f>'Expenditures 15-22'!K50</f>
        <v>154883</v>
      </c>
      <c r="C1121" s="2" t="s">
        <v>569</v>
      </c>
      <c r="D1121" s="2" t="str">
        <f t="shared" si="16"/>
        <v>Error?</v>
      </c>
    </row>
    <row r="1122" spans="1:4" x14ac:dyDescent="0.2">
      <c r="A1122" s="5">
        <v>1061</v>
      </c>
      <c r="B1122" s="1831">
        <f>'Expenditures 15-22'!K53</f>
        <v>184119</v>
      </c>
      <c r="C1122" s="2" t="s">
        <v>569</v>
      </c>
      <c r="D1122" s="2" t="str">
        <f t="shared" si="16"/>
        <v>Error?</v>
      </c>
    </row>
    <row r="1123" spans="1:4" x14ac:dyDescent="0.2">
      <c r="A1123" s="5">
        <v>1062</v>
      </c>
      <c r="B1123" s="1831">
        <f>'Expenditures 15-22'!K55</f>
        <v>156432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156432</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58918</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763</v>
      </c>
      <c r="C1129" s="2" t="s">
        <v>569</v>
      </c>
      <c r="D1129" s="2" t="str">
        <f t="shared" si="16"/>
        <v>Error?</v>
      </c>
    </row>
    <row r="1130" spans="1:4" x14ac:dyDescent="0.2">
      <c r="A1130" s="5">
        <v>1069</v>
      </c>
      <c r="B1130" s="1831">
        <f>'Expenditures 15-22'!K63</f>
        <v>151417</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211098</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7500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7500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722122</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69960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2360214</v>
      </c>
      <c r="C1152" s="2" t="s">
        <v>569</v>
      </c>
      <c r="D1152" s="2" t="str">
        <f t="shared" si="17"/>
        <v>Error?</v>
      </c>
    </row>
    <row r="1153" spans="1:4" x14ac:dyDescent="0.2">
      <c r="A1153" s="5">
        <v>1092</v>
      </c>
      <c r="B1153" s="1831">
        <f>'Expenditures 15-22'!K115</f>
        <v>138312</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110855</v>
      </c>
      <c r="D1221" s="2" t="str">
        <f t="shared" si="18"/>
        <v>Error?</v>
      </c>
    </row>
    <row r="1222" spans="1:4" x14ac:dyDescent="0.2">
      <c r="A1222" s="10">
        <v>1161</v>
      </c>
      <c r="B1222" s="1831"/>
      <c r="D1222" s="2" t="str">
        <f t="shared" si="18"/>
        <v>OK</v>
      </c>
    </row>
    <row r="1223" spans="1:4" x14ac:dyDescent="0.2">
      <c r="A1223" s="5">
        <v>1162</v>
      </c>
      <c r="B1223" s="1831">
        <f>'Expenditures 15-22'!C127</f>
        <v>110855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110855</v>
      </c>
      <c r="C1225" s="2" t="s">
        <v>569</v>
      </c>
      <c r="D1225" s="2" t="str">
        <f t="shared" si="18"/>
        <v>Error?</v>
      </c>
    </row>
    <row r="1226" spans="1:4" x14ac:dyDescent="0.2">
      <c r="A1226" s="5">
        <v>1165</v>
      </c>
      <c r="B1226" s="1831">
        <f>'Expenditures 15-22'!C151</f>
        <v>110855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17895</v>
      </c>
      <c r="D1229" s="2" t="str">
        <f t="shared" si="18"/>
        <v>Error?</v>
      </c>
    </row>
    <row r="1230" spans="1:4" x14ac:dyDescent="0.2">
      <c r="A1230" s="10">
        <v>1169</v>
      </c>
      <c r="B1230" s="1831"/>
      <c r="D1230" s="2" t="str">
        <f t="shared" si="18"/>
        <v>OK</v>
      </c>
    </row>
    <row r="1231" spans="1:4" x14ac:dyDescent="0.2">
      <c r="A1231" s="5">
        <v>1170</v>
      </c>
      <c r="B1231" s="1831">
        <f>'Expenditures 15-22'!D127</f>
        <v>17895</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17895</v>
      </c>
      <c r="C1233" s="2" t="s">
        <v>569</v>
      </c>
      <c r="D1233" s="2" t="str">
        <f t="shared" si="18"/>
        <v>Error?</v>
      </c>
    </row>
    <row r="1234" spans="1:4" x14ac:dyDescent="0.2">
      <c r="A1234" s="5">
        <v>1173</v>
      </c>
      <c r="B1234" s="1831">
        <f>'Expenditures 15-22'!D151</f>
        <v>17895</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98812</v>
      </c>
      <c r="D1237" s="2" t="str">
        <f t="shared" si="18"/>
        <v>Error?</v>
      </c>
    </row>
    <row r="1238" spans="1:4" x14ac:dyDescent="0.2">
      <c r="A1238" s="10">
        <v>1177</v>
      </c>
      <c r="B1238" s="1831"/>
      <c r="D1238" s="2" t="str">
        <f t="shared" si="18"/>
        <v>OK</v>
      </c>
    </row>
    <row r="1239" spans="1:4" x14ac:dyDescent="0.2">
      <c r="A1239" s="5">
        <v>1178</v>
      </c>
      <c r="B1239" s="1831">
        <f>'Expenditures 15-22'!E127</f>
        <v>98812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98812</v>
      </c>
      <c r="C1241" s="2" t="s">
        <v>569</v>
      </c>
      <c r="D1241" s="2" t="str">
        <f t="shared" si="18"/>
        <v>Error?</v>
      </c>
    </row>
    <row r="1242" spans="1:4" x14ac:dyDescent="0.2">
      <c r="A1242" s="5">
        <v>1181</v>
      </c>
      <c r="B1242" s="1831">
        <f>'Expenditures 15-22'!E151</f>
        <v>98812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32560</v>
      </c>
      <c r="D1245" s="2" t="str">
        <f t="shared" si="18"/>
        <v>Error?</v>
      </c>
    </row>
    <row r="1246" spans="1:4" x14ac:dyDescent="0.2">
      <c r="A1246" s="10">
        <v>1185</v>
      </c>
      <c r="B1246" s="1831"/>
      <c r="D1246" s="2" t="str">
        <f t="shared" si="18"/>
        <v>OK</v>
      </c>
    </row>
    <row r="1247" spans="1:4" x14ac:dyDescent="0.2">
      <c r="A1247" s="5">
        <v>1186</v>
      </c>
      <c r="B1247" s="1831">
        <f>'Expenditures 15-22'!F127</f>
        <v>32560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32560</v>
      </c>
      <c r="C1249" s="2" t="s">
        <v>569</v>
      </c>
      <c r="D1249" s="2" t="str">
        <f t="shared" si="18"/>
        <v>Error?</v>
      </c>
    </row>
    <row r="1250" spans="1:4" x14ac:dyDescent="0.2">
      <c r="A1250" s="5">
        <v>1189</v>
      </c>
      <c r="B1250" s="1831">
        <f>'Expenditures 15-22'!F151</f>
        <v>32560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52685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52685</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52685</v>
      </c>
      <c r="C1258" s="2" t="s">
        <v>569</v>
      </c>
      <c r="D1258" s="2" t="str">
        <f t="shared" si="18"/>
        <v>Error?</v>
      </c>
    </row>
    <row r="1259" spans="1:4" x14ac:dyDescent="0.2">
      <c r="A1259" s="5">
        <v>1198</v>
      </c>
      <c r="B1259" s="1831">
        <f>'Expenditures 15-22'!G151</f>
        <v>52685</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312807</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312807</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312807</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312807</v>
      </c>
      <c r="C1288" s="2" t="s">
        <v>569</v>
      </c>
      <c r="D1288" s="2" t="str">
        <f t="shared" si="19"/>
        <v>Error?</v>
      </c>
    </row>
    <row r="1289" spans="1:4" x14ac:dyDescent="0.2">
      <c r="A1289" s="5">
        <v>1228</v>
      </c>
      <c r="B1289" s="1831">
        <f>'Expenditures 15-22'!K152</f>
        <v>-143481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18513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151223</v>
      </c>
      <c r="D1315" s="2" t="str">
        <f t="shared" si="19"/>
        <v>Error?</v>
      </c>
    </row>
    <row r="1316" spans="1:4" x14ac:dyDescent="0.2">
      <c r="A1316" s="5">
        <v>1255</v>
      </c>
      <c r="B1316" s="1831">
        <f>'Expenditures 15-22'!H171</f>
        <v>1000</v>
      </c>
      <c r="D1316" s="2" t="str">
        <f t="shared" si="19"/>
        <v>Error?</v>
      </c>
    </row>
    <row r="1317" spans="1:4" x14ac:dyDescent="0.2">
      <c r="A1317" s="5">
        <v>1256</v>
      </c>
      <c r="B1317" s="1831">
        <f>'Expenditures 15-22'!H172</f>
        <v>170736</v>
      </c>
      <c r="C1317" s="2" t="s">
        <v>569</v>
      </c>
      <c r="D1317" s="2" t="str">
        <f t="shared" si="19"/>
        <v>Error?</v>
      </c>
    </row>
    <row r="1318" spans="1:4" x14ac:dyDescent="0.2">
      <c r="A1318" s="5">
        <v>1257</v>
      </c>
      <c r="B1318" s="1831">
        <f>'Expenditures 15-22'!H174</f>
        <v>170736</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18513</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151223</v>
      </c>
      <c r="C1329" s="2" t="s">
        <v>569</v>
      </c>
      <c r="D1329" s="2" t="str">
        <f t="shared" si="19"/>
        <v>Error?</v>
      </c>
    </row>
    <row r="1330" spans="1:4" x14ac:dyDescent="0.2">
      <c r="A1330" s="5">
        <v>1269</v>
      </c>
      <c r="B1330" s="1831">
        <f>'Expenditures 15-22'!K171</f>
        <v>1000</v>
      </c>
      <c r="C1330" s="2" t="s">
        <v>569</v>
      </c>
      <c r="D1330" s="2" t="str">
        <f t="shared" si="19"/>
        <v>Error?</v>
      </c>
    </row>
    <row r="1331" spans="1:4" x14ac:dyDescent="0.2">
      <c r="A1331" s="5">
        <v>1270</v>
      </c>
      <c r="B1331" s="1831">
        <f>'Expenditures 15-22'!K172</f>
        <v>170736</v>
      </c>
      <c r="C1331" s="2" t="s">
        <v>569</v>
      </c>
      <c r="D1331" s="2" t="str">
        <f t="shared" si="19"/>
        <v>Error?</v>
      </c>
    </row>
    <row r="1332" spans="1:4" x14ac:dyDescent="0.2">
      <c r="A1332" s="5">
        <v>1271</v>
      </c>
      <c r="B1332" s="1831">
        <f>'Expenditures 15-22'!K174</f>
        <v>170736</v>
      </c>
      <c r="C1332" s="2" t="s">
        <v>569</v>
      </c>
      <c r="D1332" s="2" t="str">
        <f t="shared" si="19"/>
        <v>Error?</v>
      </c>
    </row>
    <row r="1333" spans="1:4" x14ac:dyDescent="0.2">
      <c r="A1333" s="5">
        <v>1272</v>
      </c>
      <c r="B1333" s="1831">
        <f>'Expenditures 15-22'!K175</f>
        <v>46653</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74994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74994</v>
      </c>
      <c r="C1339" s="2" t="s">
        <v>569</v>
      </c>
      <c r="D1339" s="2" t="str">
        <f t="shared" si="19"/>
        <v>Error?</v>
      </c>
    </row>
    <row r="1340" spans="1:4" x14ac:dyDescent="0.2">
      <c r="A1340" s="5">
        <v>1279</v>
      </c>
      <c r="B1340" s="1831">
        <f>'Expenditures 15-22'!C210</f>
        <v>74994</v>
      </c>
      <c r="C1340" s="2" t="s">
        <v>569</v>
      </c>
      <c r="D1340" s="2" t="str">
        <f t="shared" si="19"/>
        <v>Error?</v>
      </c>
    </row>
    <row r="1341" spans="1:4" x14ac:dyDescent="0.2">
      <c r="A1341" s="5">
        <v>1280</v>
      </c>
      <c r="B1341" s="1831">
        <f>'Expenditures 15-22'!D182</f>
        <v>6518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6518</v>
      </c>
      <c r="C1345" s="2" t="s">
        <v>569</v>
      </c>
      <c r="D1345" s="2" t="str">
        <f t="shared" si="20"/>
        <v>Error?</v>
      </c>
    </row>
    <row r="1346" spans="1:4" x14ac:dyDescent="0.2">
      <c r="A1346" s="5">
        <v>1285</v>
      </c>
      <c r="B1346" s="1831">
        <f>'Expenditures 15-22'!D210</f>
        <v>6518</v>
      </c>
      <c r="C1346" s="2" t="s">
        <v>569</v>
      </c>
      <c r="D1346" s="2" t="str">
        <f t="shared" si="20"/>
        <v>Error?</v>
      </c>
    </row>
    <row r="1347" spans="1:4" x14ac:dyDescent="0.2">
      <c r="A1347" s="5">
        <v>1286</v>
      </c>
      <c r="B1347" s="1831">
        <f>'Expenditures 15-22'!E182</f>
        <v>44675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44675</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44675</v>
      </c>
      <c r="C1353" s="2" t="s">
        <v>569</v>
      </c>
      <c r="D1353" s="2" t="str">
        <f t="shared" si="20"/>
        <v>Error?</v>
      </c>
    </row>
    <row r="1354" spans="1:4" x14ac:dyDescent="0.2">
      <c r="A1354" s="5">
        <v>1293</v>
      </c>
      <c r="B1354" s="1831">
        <f>'Expenditures 15-22'!F182</f>
        <v>15481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15481</v>
      </c>
      <c r="C1358" s="2" t="s">
        <v>569</v>
      </c>
      <c r="D1358" s="2" t="str">
        <f t="shared" si="20"/>
        <v>Error?</v>
      </c>
    </row>
    <row r="1359" spans="1:4" x14ac:dyDescent="0.2">
      <c r="A1359" s="5">
        <v>1298</v>
      </c>
      <c r="B1359" s="1831">
        <f>'Expenditures 15-22'!F210</f>
        <v>15481</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141668</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141668</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141668</v>
      </c>
      <c r="C1388" s="2" t="s">
        <v>569</v>
      </c>
      <c r="D1388" s="2" t="str">
        <f t="shared" si="20"/>
        <v>Error?</v>
      </c>
    </row>
    <row r="1389" spans="1:4" x14ac:dyDescent="0.2">
      <c r="A1389" s="5">
        <v>1328</v>
      </c>
      <c r="B1389" s="1831">
        <f>'Expenditures 15-22'!K211</f>
        <v>54937</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1240</v>
      </c>
      <c r="D1407" s="2" t="str">
        <f t="shared" ref="D1407:D1470" si="21">IF(ISBLANK(B1407),"OK",IF(A1407-B1407=0,"OK","Error?"))</f>
        <v>Error?</v>
      </c>
    </row>
    <row r="1408" spans="1:4" x14ac:dyDescent="0.2">
      <c r="A1408" s="5">
        <v>1347</v>
      </c>
      <c r="B1408" s="1831">
        <f>'Expenditures 15-22'!D223</f>
        <v>770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27122</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548</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434</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982</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3465</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3465</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1482</v>
      </c>
      <c r="D1423" s="2" t="str">
        <f t="shared" si="21"/>
        <v>Error?</v>
      </c>
    </row>
    <row r="1424" spans="1:4" x14ac:dyDescent="0.2">
      <c r="A1424" s="5">
        <v>1363</v>
      </c>
      <c r="B1424" s="1831">
        <f>'Expenditures 15-22'!D257</f>
        <v>14465</v>
      </c>
      <c r="C1424" s="2" t="s">
        <v>569</v>
      </c>
      <c r="D1424" s="2" t="str">
        <f t="shared" si="21"/>
        <v>Error?</v>
      </c>
    </row>
    <row r="1425" spans="1:4" x14ac:dyDescent="0.2">
      <c r="A1425" s="5">
        <v>1364</v>
      </c>
      <c r="B1425" s="1831">
        <f>'Expenditures 15-22'!D259</f>
        <v>9000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9000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7525</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16896</v>
      </c>
      <c r="D1431" s="2" t="str">
        <f t="shared" si="21"/>
        <v>Error?</v>
      </c>
    </row>
    <row r="1432" spans="1:4" x14ac:dyDescent="0.2">
      <c r="A1432" s="5">
        <v>1371</v>
      </c>
      <c r="B1432" s="1831">
        <f>'Expenditures 15-22'!D267</f>
        <v>10176</v>
      </c>
      <c r="D1432" s="2" t="str">
        <f t="shared" si="21"/>
        <v>Error?</v>
      </c>
    </row>
    <row r="1433" spans="1:4" x14ac:dyDescent="0.2">
      <c r="A1433" s="5">
        <v>1372</v>
      </c>
      <c r="B1433" s="1831">
        <f>'Expenditures 15-22'!D268</f>
        <v>10272</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44869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109</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109</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72890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100012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1240</v>
      </c>
      <c r="C1471" s="2" t="s">
        <v>569</v>
      </c>
      <c r="D1471" s="2" t="str">
        <f t="shared" ref="D1471:D1534" si="22">IF(ISBLANK(B1471),"OK",IF(A1471-B1471=0,"OK","Error?"))</f>
        <v>Error?</v>
      </c>
    </row>
    <row r="1472" spans="1:4" x14ac:dyDescent="0.2">
      <c r="A1472" s="5">
        <v>1411</v>
      </c>
      <c r="B1472" s="1831">
        <f>'Expenditures 15-22'!K223</f>
        <v>770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27122</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548</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434</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982</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3465</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3465</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1482</v>
      </c>
      <c r="C1487" s="2" t="s">
        <v>569</v>
      </c>
      <c r="D1487" s="2" t="str">
        <f t="shared" si="22"/>
        <v>Error?</v>
      </c>
    </row>
    <row r="1488" spans="1:4" x14ac:dyDescent="0.2">
      <c r="A1488" s="5">
        <v>1427</v>
      </c>
      <c r="B1488" s="1831">
        <f>'Expenditures 15-22'!K257</f>
        <v>14465</v>
      </c>
      <c r="C1488" s="2" t="s">
        <v>569</v>
      </c>
      <c r="D1488" s="2" t="str">
        <f t="shared" si="22"/>
        <v>Error?</v>
      </c>
    </row>
    <row r="1489" spans="1:4" x14ac:dyDescent="0.2">
      <c r="A1489" s="5">
        <v>1428</v>
      </c>
      <c r="B1489" s="1831">
        <f>'Expenditures 15-22'!K259</f>
        <v>9000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9000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7525</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16896</v>
      </c>
      <c r="C1495" s="2" t="s">
        <v>569</v>
      </c>
      <c r="D1495" s="2" t="str">
        <f t="shared" si="22"/>
        <v>Error?</v>
      </c>
    </row>
    <row r="1496" spans="1:4" x14ac:dyDescent="0.2">
      <c r="A1496" s="5">
        <v>1435</v>
      </c>
      <c r="B1496" s="1831">
        <f>'Expenditures 15-22'!K267</f>
        <v>10176</v>
      </c>
      <c r="C1496" s="2" t="s">
        <v>569</v>
      </c>
      <c r="D1496" s="2" t="str">
        <f t="shared" si="22"/>
        <v>Error?</v>
      </c>
    </row>
    <row r="1497" spans="1:4" x14ac:dyDescent="0.2">
      <c r="A1497" s="5">
        <v>1436</v>
      </c>
      <c r="B1497" s="1831">
        <f>'Expenditures 15-22'!K268</f>
        <v>10272</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44869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109</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109</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72890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100012</v>
      </c>
      <c r="C1517" s="2" t="s">
        <v>569</v>
      </c>
      <c r="D1517" s="2" t="str">
        <f t="shared" si="22"/>
        <v>Error?</v>
      </c>
    </row>
    <row r="1518" spans="1:4" x14ac:dyDescent="0.2">
      <c r="A1518" s="5">
        <v>1457</v>
      </c>
      <c r="B1518" s="1831">
        <f>'Expenditures 15-22'!K296</f>
        <v>55943</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13958</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13958</v>
      </c>
      <c r="C1535" s="2" t="s">
        <v>569</v>
      </c>
      <c r="D1535" s="2" t="str">
        <f t="shared" ref="D1535:D1598" si="23">IF(ISBLANK(B1535),"OK",IF(A1535-B1535=0,"OK","Error?"))</f>
        <v>Error?</v>
      </c>
    </row>
    <row r="1536" spans="1:4" x14ac:dyDescent="0.2">
      <c r="A1536" s="5">
        <v>1475</v>
      </c>
      <c r="B1536" s="1831">
        <f>'Expenditures 15-22'!E312</f>
        <v>13958</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192340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192340</v>
      </c>
      <c r="C1547" s="2" t="s">
        <v>569</v>
      </c>
      <c r="D1547" s="2" t="str">
        <f t="shared" si="23"/>
        <v>Error?</v>
      </c>
    </row>
    <row r="1548" spans="1:4" x14ac:dyDescent="0.2">
      <c r="A1548" s="5">
        <v>1487</v>
      </c>
      <c r="B1548" s="1831">
        <f>'Expenditures 15-22'!G312</f>
        <v>192340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206298</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206298</v>
      </c>
      <c r="C1559" s="2" t="s">
        <v>569</v>
      </c>
      <c r="D1559" s="2" t="str">
        <f t="shared" si="23"/>
        <v>Error?</v>
      </c>
    </row>
    <row r="1560" spans="1:4" x14ac:dyDescent="0.2">
      <c r="A1560" s="5">
        <v>1499</v>
      </c>
      <c r="B1560" s="1831">
        <f>'Expenditures 15-22'!K312</f>
        <v>206298</v>
      </c>
      <c r="C1560" s="2" t="s">
        <v>569</v>
      </c>
      <c r="D1560" s="2" t="str">
        <f t="shared" si="23"/>
        <v>Error?</v>
      </c>
    </row>
    <row r="1561" spans="1:4" x14ac:dyDescent="0.2">
      <c r="A1561" s="5">
        <v>1500</v>
      </c>
      <c r="B1561" s="1831">
        <f>'Expenditures 15-22'!K313</f>
        <v>-74554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627717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759806</v>
      </c>
      <c r="C1630" s="2" t="s">
        <v>569</v>
      </c>
      <c r="D1630" s="2" t="str">
        <f t="shared" si="24"/>
        <v>Error?</v>
      </c>
    </row>
    <row r="1631" spans="1:4" x14ac:dyDescent="0.2">
      <c r="A1631" s="5">
        <v>1570</v>
      </c>
      <c r="B1631" s="1831">
        <f>'Acct Summary 7-8'!D79</f>
        <v>246838</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103357</v>
      </c>
      <c r="C1644" s="2" t="s">
        <v>569</v>
      </c>
      <c r="D1644" s="2" t="str">
        <f t="shared" si="24"/>
        <v>Error?</v>
      </c>
    </row>
    <row r="1645" spans="1:4" x14ac:dyDescent="0.2">
      <c r="A1645" s="5">
        <v>1584</v>
      </c>
      <c r="B1645" s="1831">
        <f>'Acct Summary 7-8'!E79</f>
        <v>60692</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113568</v>
      </c>
      <c r="C1658" s="2" t="s">
        <v>569</v>
      </c>
      <c r="D1658" s="2" t="str">
        <f t="shared" si="24"/>
        <v>Error?</v>
      </c>
    </row>
    <row r="1659" spans="1:4" x14ac:dyDescent="0.2">
      <c r="A1659" s="5">
        <v>1598</v>
      </c>
      <c r="B1659" s="1831">
        <f>'Acct Summary 7-8'!F79</f>
        <v>252010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306947</v>
      </c>
      <c r="C1672" s="2" t="s">
        <v>569</v>
      </c>
      <c r="D1672" s="2" t="str">
        <f t="shared" si="25"/>
        <v>Error?</v>
      </c>
    </row>
    <row r="1673" spans="1:4" x14ac:dyDescent="0.2">
      <c r="A1673" s="5">
        <v>1612</v>
      </c>
      <c r="B1673" s="1831">
        <f>'Acct Summary 7-8'!G79</f>
        <v>328022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383965</v>
      </c>
      <c r="C1686" s="2" t="s">
        <v>569</v>
      </c>
      <c r="D1686" s="2" t="str">
        <f t="shared" si="25"/>
        <v>Error?</v>
      </c>
    </row>
    <row r="1687" spans="1:4" x14ac:dyDescent="0.2">
      <c r="A1687" s="5">
        <v>1626</v>
      </c>
      <c r="B1687" s="1831">
        <f>'Acct Summary 7-8'!H79</f>
        <v>223723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149169</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922486</v>
      </c>
      <c r="C1744" s="2" t="s">
        <v>569</v>
      </c>
      <c r="D1744" s="2" t="str">
        <f t="shared" si="26"/>
        <v>Error?</v>
      </c>
    </row>
    <row r="1745" spans="1:5" x14ac:dyDescent="0.2">
      <c r="A1745" s="5">
        <v>1684</v>
      </c>
      <c r="B1745" s="1831">
        <f>'Tax Sched 23'!B5</f>
        <v>167736</v>
      </c>
      <c r="C1745" s="2" t="s">
        <v>569</v>
      </c>
      <c r="D1745" s="2" t="str">
        <f t="shared" si="26"/>
        <v>Error?</v>
      </c>
    </row>
    <row r="1746" spans="1:5" x14ac:dyDescent="0.2">
      <c r="A1746" s="5">
        <v>1685</v>
      </c>
      <c r="B1746" s="1831">
        <f>'Tax Sched 23'!B6</f>
        <v>217389</v>
      </c>
      <c r="C1746" s="2" t="s">
        <v>569</v>
      </c>
      <c r="D1746" s="2" t="str">
        <f t="shared" si="26"/>
        <v>Error?</v>
      </c>
    </row>
    <row r="1747" spans="1:5" x14ac:dyDescent="0.2">
      <c r="A1747" s="5">
        <v>1686</v>
      </c>
      <c r="B1747" s="1831">
        <f>'Tax Sched 23'!B7</f>
        <v>67070</v>
      </c>
      <c r="C1747" s="2" t="s">
        <v>569</v>
      </c>
      <c r="D1747" s="2" t="str">
        <f t="shared" si="26"/>
        <v>Error?</v>
      </c>
    </row>
    <row r="1748" spans="1:5" x14ac:dyDescent="0.2">
      <c r="A1748" s="5">
        <v>1687</v>
      </c>
      <c r="B1748" s="1831">
        <f>'Tax Sched 23'!B8</f>
        <v>59522</v>
      </c>
      <c r="C1748" s="2" t="s">
        <v>569</v>
      </c>
      <c r="D1748" s="2" t="str">
        <f t="shared" si="26"/>
        <v>Error?</v>
      </c>
    </row>
    <row r="1749" spans="1:5" x14ac:dyDescent="0.2">
      <c r="A1749" s="5">
        <v>1688</v>
      </c>
      <c r="B1749" s="1831">
        <f>'Tax Sched 23'!B10</f>
        <v>16768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359057</v>
      </c>
      <c r="C1752" s="2" t="s">
        <v>569</v>
      </c>
      <c r="D1752" s="2" t="str">
        <f t="shared" si="26"/>
        <v>Error?</v>
      </c>
    </row>
    <row r="1753" spans="1:5" x14ac:dyDescent="0.2">
      <c r="A1753" s="5">
        <v>1692</v>
      </c>
      <c r="B1753" s="1831">
        <f>'Tax Sched 23'!B12</f>
        <v>16768</v>
      </c>
      <c r="C1753" s="2" t="s">
        <v>569</v>
      </c>
      <c r="D1753" s="2" t="str">
        <f t="shared" si="26"/>
        <v>Error?</v>
      </c>
    </row>
    <row r="1754" spans="1:5" x14ac:dyDescent="0.2">
      <c r="A1754" s="5">
        <v>1693</v>
      </c>
      <c r="B1754" s="1831">
        <f>'Tax Sched 23'!B14</f>
        <v>13421</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1937668</v>
      </c>
      <c r="C1759" s="2" t="s">
        <v>569</v>
      </c>
      <c r="D1759" s="2" t="str">
        <f t="shared" si="26"/>
        <v>Error?</v>
      </c>
    </row>
    <row r="1760" spans="1:5" x14ac:dyDescent="0.2">
      <c r="A1760" s="5">
        <v>1699</v>
      </c>
      <c r="B1760" s="1831">
        <f>'Tax Sched 23'!D4</f>
        <v>707061</v>
      </c>
      <c r="C1760" s="2" t="s">
        <v>569</v>
      </c>
      <c r="D1760" s="2" t="str">
        <f t="shared" si="26"/>
        <v>Error?</v>
      </c>
    </row>
    <row r="1761" spans="1:7" x14ac:dyDescent="0.2">
      <c r="A1761" s="5">
        <v>1700</v>
      </c>
      <c r="B1761" s="1831">
        <f>'Tax Sched 23'!D5</f>
        <v>128568</v>
      </c>
      <c r="C1761" s="2" t="s">
        <v>569</v>
      </c>
      <c r="D1761" s="2" t="str">
        <f t="shared" si="26"/>
        <v>Error?</v>
      </c>
    </row>
    <row r="1762" spans="1:7" s="8" customFormat="1" x14ac:dyDescent="0.2">
      <c r="A1762" s="5">
        <v>1701</v>
      </c>
      <c r="B1762" s="1831">
        <f>'Tax Sched 23'!D6</f>
        <v>165640</v>
      </c>
      <c r="C1762" s="2" t="s">
        <v>569</v>
      </c>
      <c r="D1762" s="2" t="str">
        <f t="shared" si="26"/>
        <v>Error?</v>
      </c>
      <c r="E1762" s="9"/>
      <c r="G1762"/>
    </row>
    <row r="1763" spans="1:7" x14ac:dyDescent="0.2">
      <c r="A1763" s="5">
        <v>1702</v>
      </c>
      <c r="B1763" s="1831">
        <f>'Tax Sched 23'!D7</f>
        <v>51403</v>
      </c>
      <c r="C1763" s="2" t="s">
        <v>569</v>
      </c>
      <c r="D1763" s="2" t="str">
        <f t="shared" si="26"/>
        <v>Error?</v>
      </c>
    </row>
    <row r="1764" spans="1:7" x14ac:dyDescent="0.2">
      <c r="A1764" s="5">
        <v>1703</v>
      </c>
      <c r="B1764" s="1831">
        <f>'Tax Sched 23'!D8</f>
        <v>45585</v>
      </c>
      <c r="C1764" s="2" t="s">
        <v>569</v>
      </c>
      <c r="D1764" s="2" t="str">
        <f t="shared" si="26"/>
        <v>Error?</v>
      </c>
    </row>
    <row r="1765" spans="1:7" x14ac:dyDescent="0.2">
      <c r="A1765" s="5">
        <v>1704</v>
      </c>
      <c r="B1765" s="1831">
        <f>'Tax Sched 23'!D10</f>
        <v>12851</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276830</v>
      </c>
      <c r="C1768" s="2" t="s">
        <v>569</v>
      </c>
      <c r="D1768" s="2" t="str">
        <f t="shared" si="26"/>
        <v>Error?</v>
      </c>
    </row>
    <row r="1769" spans="1:7" x14ac:dyDescent="0.2">
      <c r="A1769" s="5">
        <v>1708</v>
      </c>
      <c r="B1769" s="1831">
        <f>'Tax Sched 23'!D12</f>
        <v>12851</v>
      </c>
      <c r="C1769" s="2" t="s">
        <v>569</v>
      </c>
      <c r="D1769" s="2" t="str">
        <f t="shared" si="26"/>
        <v>Error?</v>
      </c>
    </row>
    <row r="1770" spans="1:7" x14ac:dyDescent="0.2">
      <c r="A1770" s="5">
        <v>1709</v>
      </c>
      <c r="B1770" s="1831">
        <f>'Tax Sched 23'!D14</f>
        <v>10288</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1485719</v>
      </c>
      <c r="C1775" s="2" t="s">
        <v>569</v>
      </c>
      <c r="D1775" s="2" t="str">
        <f t="shared" si="26"/>
        <v>Error?</v>
      </c>
    </row>
    <row r="1776" spans="1:7" x14ac:dyDescent="0.2">
      <c r="A1776" s="5">
        <v>1715</v>
      </c>
      <c r="B1776" s="1831">
        <f>'Tax Sched 23'!C4</f>
        <v>215425</v>
      </c>
      <c r="D1776" s="2" t="str">
        <f t="shared" si="26"/>
        <v>Error?</v>
      </c>
    </row>
    <row r="1777" spans="1:4" x14ac:dyDescent="0.2">
      <c r="A1777" s="5">
        <v>1716</v>
      </c>
      <c r="B1777" s="1831">
        <f>'Tax Sched 23'!C5</f>
        <v>39168</v>
      </c>
      <c r="D1777" s="2" t="str">
        <f t="shared" si="26"/>
        <v>Error?</v>
      </c>
    </row>
    <row r="1778" spans="1:4" x14ac:dyDescent="0.2">
      <c r="A1778" s="5">
        <v>1717</v>
      </c>
      <c r="B1778" s="1831">
        <f>'Tax Sched 23'!C6</f>
        <v>51749</v>
      </c>
      <c r="D1778" s="2" t="str">
        <f t="shared" si="26"/>
        <v>Error?</v>
      </c>
    </row>
    <row r="1779" spans="1:4" x14ac:dyDescent="0.2">
      <c r="A1779" s="5">
        <v>1718</v>
      </c>
      <c r="B1779" s="1831">
        <f>'Tax Sched 23'!C7</f>
        <v>15667</v>
      </c>
      <c r="D1779" s="2" t="str">
        <f t="shared" si="26"/>
        <v>Error?</v>
      </c>
    </row>
    <row r="1780" spans="1:4" x14ac:dyDescent="0.2">
      <c r="A1780" s="5">
        <v>1719</v>
      </c>
      <c r="B1780" s="1831">
        <f>'Tax Sched 23'!C8</f>
        <v>13937</v>
      </c>
      <c r="D1780" s="2" t="str">
        <f t="shared" si="26"/>
        <v>Error?</v>
      </c>
    </row>
    <row r="1781" spans="1:4" x14ac:dyDescent="0.2">
      <c r="A1781" s="5">
        <v>1720</v>
      </c>
      <c r="B1781" s="1831">
        <f>'Tax Sched 23'!C10</f>
        <v>3917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82227</v>
      </c>
      <c r="D1784" s="2" t="str">
        <f t="shared" si="26"/>
        <v>Error?</v>
      </c>
    </row>
    <row r="1785" spans="1:4" x14ac:dyDescent="0.2">
      <c r="A1785" s="5">
        <v>1724</v>
      </c>
      <c r="B1785" s="1831">
        <f>'Tax Sched 23'!C12</f>
        <v>3917</v>
      </c>
      <c r="D1785" s="2" t="str">
        <f t="shared" si="26"/>
        <v>Error?</v>
      </c>
    </row>
    <row r="1786" spans="1:4" x14ac:dyDescent="0.2">
      <c r="A1786" s="5">
        <v>1725</v>
      </c>
      <c r="B1786" s="1831">
        <f>'Tax Sched 23'!C14</f>
        <v>3133</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451949</v>
      </c>
      <c r="C1791" s="2" t="s">
        <v>569</v>
      </c>
      <c r="D1791" s="2" t="str">
        <f t="shared" ref="D1791:D1854" si="27">IF(ISBLANK(B1791),"OK",IF(A1791-B1791=0,"OK","Error?"))</f>
        <v>Error?</v>
      </c>
    </row>
    <row r="1792" spans="1:4" x14ac:dyDescent="0.2">
      <c r="A1792" s="5">
        <v>1731</v>
      </c>
      <c r="B1792" s="1831">
        <f>'Tax Sched 23'!F4</f>
        <v>505307</v>
      </c>
      <c r="C1792" s="2" t="s">
        <v>569</v>
      </c>
      <c r="D1792" s="2" t="str">
        <f t="shared" si="27"/>
        <v>Error?</v>
      </c>
    </row>
    <row r="1793" spans="1:4" x14ac:dyDescent="0.2">
      <c r="A1793" s="5">
        <v>1732</v>
      </c>
      <c r="B1793" s="1831">
        <f>'Tax Sched 23'!F5</f>
        <v>91874</v>
      </c>
      <c r="C1793" s="2" t="s">
        <v>569</v>
      </c>
      <c r="D1793" s="2" t="str">
        <f t="shared" si="27"/>
        <v>Error?</v>
      </c>
    </row>
    <row r="1794" spans="1:4" x14ac:dyDescent="0.2">
      <c r="A1794" s="5">
        <v>1733</v>
      </c>
      <c r="B1794" s="1831">
        <f>'Tax Sched 23'!F6</f>
        <v>115340</v>
      </c>
      <c r="C1794" s="2" t="s">
        <v>569</v>
      </c>
      <c r="D1794" s="2" t="str">
        <f t="shared" si="27"/>
        <v>Error?</v>
      </c>
    </row>
    <row r="1795" spans="1:4" x14ac:dyDescent="0.2">
      <c r="A1795" s="5">
        <v>1734</v>
      </c>
      <c r="B1795" s="1831">
        <f>'Tax Sched 23'!F7</f>
        <v>36750</v>
      </c>
      <c r="C1795" s="2" t="s">
        <v>569</v>
      </c>
      <c r="D1795" s="2" t="str">
        <f t="shared" si="27"/>
        <v>Error?</v>
      </c>
    </row>
    <row r="1796" spans="1:4" x14ac:dyDescent="0.2">
      <c r="A1796" s="5">
        <v>1735</v>
      </c>
      <c r="B1796" s="1831">
        <f>'Tax Sched 23'!F8</f>
        <v>31063</v>
      </c>
      <c r="C1796" s="2" t="s">
        <v>569</v>
      </c>
      <c r="D1796" s="2" t="str">
        <f t="shared" si="27"/>
        <v>Error?</v>
      </c>
    </row>
    <row r="1797" spans="1:4" x14ac:dyDescent="0.2">
      <c r="A1797" s="5">
        <v>1736</v>
      </c>
      <c r="B1797" s="1831">
        <f>'Tax Sched 23'!F10</f>
        <v>9187</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183272</v>
      </c>
      <c r="C1800" s="2" t="s">
        <v>569</v>
      </c>
      <c r="D1800" s="2" t="str">
        <f t="shared" si="27"/>
        <v>Error?</v>
      </c>
    </row>
    <row r="1801" spans="1:4" x14ac:dyDescent="0.2">
      <c r="A1801" s="5">
        <v>1740</v>
      </c>
      <c r="B1801" s="1831">
        <f>'Tax Sched 23'!F12</f>
        <v>9188</v>
      </c>
      <c r="C1801" s="2" t="s">
        <v>569</v>
      </c>
      <c r="D1801" s="2" t="str">
        <f t="shared" si="27"/>
        <v>Error?</v>
      </c>
    </row>
    <row r="1802" spans="1:4" x14ac:dyDescent="0.2">
      <c r="A1802" s="5">
        <v>1741</v>
      </c>
      <c r="B1802" s="1831">
        <f>'Tax Sched 23'!F14</f>
        <v>7350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1040627</v>
      </c>
      <c r="C1807" s="2" t="s">
        <v>569</v>
      </c>
      <c r="D1807" s="2" t="str">
        <f t="shared" si="27"/>
        <v>Error?</v>
      </c>
    </row>
    <row r="1808" spans="1:4" x14ac:dyDescent="0.2">
      <c r="A1808" s="5">
        <v>1747</v>
      </c>
      <c r="B1808" s="1831">
        <f>'Tax Sched 23'!E4</f>
        <v>720732</v>
      </c>
      <c r="D1808" s="2" t="str">
        <f t="shared" si="27"/>
        <v>Error?</v>
      </c>
    </row>
    <row r="1809" spans="1:4" x14ac:dyDescent="0.2">
      <c r="A1809" s="5">
        <v>1748</v>
      </c>
      <c r="B1809" s="1831">
        <f>'Tax Sched 23'!E5</f>
        <v>131042</v>
      </c>
      <c r="D1809" s="2" t="str">
        <f t="shared" si="27"/>
        <v>Error?</v>
      </c>
    </row>
    <row r="1810" spans="1:4" x14ac:dyDescent="0.2">
      <c r="A1810" s="5">
        <v>1749</v>
      </c>
      <c r="B1810" s="1831">
        <f>'Tax Sched 23'!E6</f>
        <v>167089</v>
      </c>
      <c r="D1810" s="2" t="str">
        <f t="shared" si="27"/>
        <v>Error?</v>
      </c>
    </row>
    <row r="1811" spans="1:4" x14ac:dyDescent="0.2">
      <c r="A1811" s="5">
        <v>1750</v>
      </c>
      <c r="B1811" s="1831">
        <f>'Tax Sched 23'!E7</f>
        <v>52417</v>
      </c>
      <c r="D1811" s="2" t="str">
        <f t="shared" si="27"/>
        <v>Error?</v>
      </c>
    </row>
    <row r="1812" spans="1:4" x14ac:dyDescent="0.2">
      <c r="A1812" s="5">
        <v>1751</v>
      </c>
      <c r="B1812" s="1831">
        <f>'Tax Sched 23'!E8</f>
        <v>45000</v>
      </c>
      <c r="D1812" s="2" t="str">
        <f t="shared" si="27"/>
        <v>Error?</v>
      </c>
    </row>
    <row r="1813" spans="1:4" x14ac:dyDescent="0.2">
      <c r="A1813" s="5">
        <v>1752</v>
      </c>
      <c r="B1813" s="1831">
        <f>'Tax Sched 23'!E10</f>
        <v>13104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265499</v>
      </c>
      <c r="D1816" s="2" t="str">
        <f t="shared" si="27"/>
        <v>Error?</v>
      </c>
    </row>
    <row r="1817" spans="1:4" x14ac:dyDescent="0.2">
      <c r="A1817" s="5">
        <v>1756</v>
      </c>
      <c r="B1817" s="1831">
        <f>'Tax Sched 23'!E12</f>
        <v>13105</v>
      </c>
      <c r="D1817" s="2" t="str">
        <f t="shared" si="27"/>
        <v>Error?</v>
      </c>
    </row>
    <row r="1818" spans="1:4" x14ac:dyDescent="0.2">
      <c r="A1818" s="5">
        <v>1757</v>
      </c>
      <c r="B1818" s="1831">
        <f>'Tax Sched 23'!E14</f>
        <v>10483</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1492576</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366223</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13421</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13421</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13421</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4500</v>
      </c>
      <c r="D2008" s="2" t="str">
        <f t="shared" si="30"/>
        <v>Error?</v>
      </c>
    </row>
    <row r="2009" spans="1:4" x14ac:dyDescent="0.2">
      <c r="A2009" s="5">
        <v>1948</v>
      </c>
      <c r="B2009" s="1831">
        <f>'Cap Outlay Deprec 26'!C8</f>
        <v>3220715</v>
      </c>
      <c r="D2009" s="2" t="str">
        <f t="shared" si="30"/>
        <v>Error?</v>
      </c>
    </row>
    <row r="2010" spans="1:4" x14ac:dyDescent="0.2">
      <c r="A2010" s="5">
        <v>1949</v>
      </c>
      <c r="B2010" s="1831">
        <f>'Cap Outlay Deprec 26'!C10</f>
        <v>1108736</v>
      </c>
      <c r="D2010" s="2" t="str">
        <f t="shared" si="30"/>
        <v>Error?</v>
      </c>
    </row>
    <row r="2011" spans="1:4" x14ac:dyDescent="0.2">
      <c r="A2011" s="5">
        <v>1950</v>
      </c>
      <c r="B2011" s="1831">
        <f>'Cap Outlay Deprec 26'!C12</f>
        <v>426552</v>
      </c>
      <c r="D2011" s="2" t="str">
        <f t="shared" si="30"/>
        <v>Error?</v>
      </c>
    </row>
    <row r="2012" spans="1:4" x14ac:dyDescent="0.2">
      <c r="A2012" s="5">
        <v>1951</v>
      </c>
      <c r="B2012" s="1831">
        <f>'Cap Outlay Deprec 26'!C13</f>
        <v>23252</v>
      </c>
      <c r="D2012" s="2" t="str">
        <f t="shared" si="30"/>
        <v>Error?</v>
      </c>
    </row>
    <row r="2013" spans="1:4" x14ac:dyDescent="0.2">
      <c r="A2013" s="5">
        <v>1952</v>
      </c>
      <c r="B2013" s="1831">
        <f>'Cap Outlay Deprec 26'!C16</f>
        <v>4791500</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480463</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22906</v>
      </c>
      <c r="D2017" s="2" t="str">
        <f t="shared" si="30"/>
        <v>Error?</v>
      </c>
    </row>
    <row r="2018" spans="1:4" x14ac:dyDescent="0.2">
      <c r="A2018" s="5">
        <v>1957</v>
      </c>
      <c r="B2018" s="1831">
        <f>'Cap Outlay Deprec 26'!D13</f>
        <v>10975</v>
      </c>
      <c r="D2018" s="2" t="str">
        <f t="shared" si="30"/>
        <v>Error?</v>
      </c>
    </row>
    <row r="2019" spans="1:4" x14ac:dyDescent="0.2">
      <c r="A2019" s="5">
        <v>1958</v>
      </c>
      <c r="B2019" s="1831">
        <f>'Cap Outlay Deprec 26'!D16</f>
        <v>514344</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4500</v>
      </c>
      <c r="C2026" s="2" t="s">
        <v>569</v>
      </c>
      <c r="D2026" s="2" t="str">
        <f t="shared" si="30"/>
        <v>Error?</v>
      </c>
    </row>
    <row r="2027" spans="1:4" x14ac:dyDescent="0.2">
      <c r="A2027" s="5">
        <v>1966</v>
      </c>
      <c r="B2027" s="1831">
        <f>'Cap Outlay Deprec 26'!F8</f>
        <v>3701178</v>
      </c>
      <c r="C2027" s="2" t="s">
        <v>569</v>
      </c>
      <c r="D2027" s="2" t="str">
        <f t="shared" si="30"/>
        <v>Error?</v>
      </c>
    </row>
    <row r="2028" spans="1:4" x14ac:dyDescent="0.2">
      <c r="A2028" s="5">
        <v>1967</v>
      </c>
      <c r="B2028" s="1831">
        <f>'Cap Outlay Deprec 26'!F10</f>
        <v>1108736</v>
      </c>
      <c r="C2028" s="2" t="s">
        <v>569</v>
      </c>
      <c r="D2028" s="2" t="str">
        <f t="shared" si="30"/>
        <v>Error?</v>
      </c>
    </row>
    <row r="2029" spans="1:4" x14ac:dyDescent="0.2">
      <c r="A2029" s="5">
        <v>1968</v>
      </c>
      <c r="B2029" s="1831">
        <f>'Cap Outlay Deprec 26'!F12</f>
        <v>449458</v>
      </c>
      <c r="C2029" s="2" t="s">
        <v>569</v>
      </c>
      <c r="D2029" s="2" t="str">
        <f t="shared" si="30"/>
        <v>Error?</v>
      </c>
    </row>
    <row r="2030" spans="1:4" x14ac:dyDescent="0.2">
      <c r="A2030" s="5">
        <v>1969</v>
      </c>
      <c r="B2030" s="1831">
        <f>'Cap Outlay Deprec 26'!F13</f>
        <v>34227</v>
      </c>
      <c r="C2030" s="2" t="s">
        <v>569</v>
      </c>
      <c r="D2030" s="2" t="str">
        <f t="shared" si="30"/>
        <v>Error?</v>
      </c>
    </row>
    <row r="2031" spans="1:4" x14ac:dyDescent="0.2">
      <c r="A2031" s="5">
        <v>1970</v>
      </c>
      <c r="B2031" s="1831">
        <f>'Cap Outlay Deprec 26'!F16</f>
        <v>5305844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2071371</v>
      </c>
      <c r="D2033" s="2" t="str">
        <f t="shared" si="30"/>
        <v>Error?</v>
      </c>
    </row>
    <row r="2034" spans="1:4" x14ac:dyDescent="0.2">
      <c r="A2034" s="5">
        <v>1973</v>
      </c>
      <c r="B2034" s="1831">
        <f>'Cap Outlay Deprec 26'!H10</f>
        <v>169497</v>
      </c>
      <c r="D2034" s="2" t="str">
        <f t="shared" si="30"/>
        <v>Error?</v>
      </c>
    </row>
    <row r="2035" spans="1:4" x14ac:dyDescent="0.2">
      <c r="A2035" s="5">
        <v>1974</v>
      </c>
      <c r="B2035" s="1831">
        <f>'Cap Outlay Deprec 26'!H12</f>
        <v>226206</v>
      </c>
      <c r="D2035" s="2" t="str">
        <f t="shared" si="30"/>
        <v>Error?</v>
      </c>
    </row>
    <row r="2036" spans="1:4" x14ac:dyDescent="0.2">
      <c r="A2036" s="5">
        <v>1975</v>
      </c>
      <c r="B2036" s="1831">
        <f>'Cap Outlay Deprec 26'!H13</f>
        <v>2325</v>
      </c>
      <c r="D2036" s="2" t="str">
        <f t="shared" si="30"/>
        <v>Error?</v>
      </c>
    </row>
    <row r="2037" spans="1:4" x14ac:dyDescent="0.2">
      <c r="A2037" s="5">
        <v>1976</v>
      </c>
      <c r="B2037" s="1831">
        <f>'Cap Outlay Deprec 26'!H16</f>
        <v>2469593</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41026</v>
      </c>
      <c r="D2039" s="2" t="str">
        <f t="shared" si="30"/>
        <v>Error?</v>
      </c>
    </row>
    <row r="2040" spans="1:4" x14ac:dyDescent="0.2">
      <c r="A2040" s="5">
        <v>1979</v>
      </c>
      <c r="B2040" s="1831">
        <f>'Cap Outlay Deprec 26'!I10</f>
        <v>22897</v>
      </c>
      <c r="D2040" s="2" t="str">
        <f t="shared" si="30"/>
        <v>Error?</v>
      </c>
    </row>
    <row r="2041" spans="1:4" x14ac:dyDescent="0.2">
      <c r="A2041" s="5">
        <v>1980</v>
      </c>
      <c r="B2041" s="1831">
        <f>'Cap Outlay Deprec 26'!I12</f>
        <v>32350</v>
      </c>
      <c r="D2041" s="2" t="str">
        <f t="shared" si="30"/>
        <v>Error?</v>
      </c>
    </row>
    <row r="2042" spans="1:4" x14ac:dyDescent="0.2">
      <c r="A2042" s="5">
        <v>1981</v>
      </c>
      <c r="B2042" s="1831">
        <f>'Cap Outlay Deprec 26'!I13</f>
        <v>4759</v>
      </c>
      <c r="D2042" s="2" t="str">
        <f t="shared" si="30"/>
        <v>Error?</v>
      </c>
    </row>
    <row r="2043" spans="1:4" x14ac:dyDescent="0.2">
      <c r="A2043" s="5">
        <v>1982</v>
      </c>
      <c r="B2043" s="1831">
        <f>'Cap Outlay Deprec 26'!I16</f>
        <v>101419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2112397</v>
      </c>
      <c r="C2051" s="2" t="s">
        <v>569</v>
      </c>
      <c r="D2051" s="2" t="str">
        <f t="shared" si="31"/>
        <v>Error?</v>
      </c>
    </row>
    <row r="2052" spans="1:4" x14ac:dyDescent="0.2">
      <c r="A2052" s="5">
        <v>1991</v>
      </c>
      <c r="B2052" s="1831">
        <f>'Cap Outlay Deprec 26'!K10</f>
        <v>192394</v>
      </c>
      <c r="C2052" s="2" t="s">
        <v>569</v>
      </c>
      <c r="D2052" s="2" t="str">
        <f t="shared" si="31"/>
        <v>Error?</v>
      </c>
    </row>
    <row r="2053" spans="1:4" x14ac:dyDescent="0.2">
      <c r="A2053" s="5">
        <v>1992</v>
      </c>
      <c r="B2053" s="1831">
        <f>'Cap Outlay Deprec 26'!K12</f>
        <v>258556</v>
      </c>
      <c r="C2053" s="2" t="s">
        <v>569</v>
      </c>
      <c r="D2053" s="2" t="str">
        <f t="shared" si="31"/>
        <v>Error?</v>
      </c>
    </row>
    <row r="2054" spans="1:4" x14ac:dyDescent="0.2">
      <c r="A2054" s="5">
        <v>1993</v>
      </c>
      <c r="B2054" s="1831">
        <f>'Cap Outlay Deprec 26'!K13</f>
        <v>7084</v>
      </c>
      <c r="C2054" s="2" t="s">
        <v>569</v>
      </c>
      <c r="D2054" s="2" t="str">
        <f t="shared" si="31"/>
        <v>Error?</v>
      </c>
    </row>
    <row r="2055" spans="1:4" x14ac:dyDescent="0.2">
      <c r="A2055" s="5">
        <v>1994</v>
      </c>
      <c r="B2055" s="1831">
        <f>'Cap Outlay Deprec 26'!K16</f>
        <v>2571012</v>
      </c>
      <c r="C2055" s="2" t="s">
        <v>569</v>
      </c>
      <c r="D2055" s="2" t="str">
        <f t="shared" si="31"/>
        <v>Error?</v>
      </c>
    </row>
    <row r="2056" spans="1:4" x14ac:dyDescent="0.2">
      <c r="A2056" s="5">
        <v>1995</v>
      </c>
      <c r="B2056" s="1831">
        <f>'Cap Outlay Deprec 26'!L5</f>
        <v>4500</v>
      </c>
      <c r="C2056" s="2" t="s">
        <v>569</v>
      </c>
      <c r="D2056" s="2" t="str">
        <f t="shared" si="31"/>
        <v>Error?</v>
      </c>
    </row>
    <row r="2057" spans="1:4" x14ac:dyDescent="0.2">
      <c r="A2057" s="5">
        <v>1996</v>
      </c>
      <c r="B2057" s="1831">
        <f>'Cap Outlay Deprec 26'!L8</f>
        <v>1588781</v>
      </c>
      <c r="C2057" s="2" t="s">
        <v>569</v>
      </c>
      <c r="D2057" s="2" t="str">
        <f t="shared" si="31"/>
        <v>Error?</v>
      </c>
    </row>
    <row r="2058" spans="1:4" x14ac:dyDescent="0.2">
      <c r="A2058" s="5">
        <v>1997</v>
      </c>
      <c r="B2058" s="1831">
        <f>'Cap Outlay Deprec 26'!L10</f>
        <v>916342</v>
      </c>
      <c r="C2058" s="2" t="s">
        <v>569</v>
      </c>
      <c r="D2058" s="2" t="str">
        <f t="shared" si="31"/>
        <v>Error?</v>
      </c>
    </row>
    <row r="2059" spans="1:4" x14ac:dyDescent="0.2">
      <c r="A2059" s="5">
        <v>1998</v>
      </c>
      <c r="B2059" s="1831">
        <f>'Cap Outlay Deprec 26'!L12</f>
        <v>190902</v>
      </c>
      <c r="C2059" s="2" t="s">
        <v>569</v>
      </c>
      <c r="D2059" s="2" t="str">
        <f t="shared" si="31"/>
        <v>Error?</v>
      </c>
    </row>
    <row r="2060" spans="1:4" x14ac:dyDescent="0.2">
      <c r="A2060" s="5">
        <v>1999</v>
      </c>
      <c r="B2060" s="1831">
        <f>'Cap Outlay Deprec 26'!L13</f>
        <v>27143</v>
      </c>
      <c r="C2060" s="2" t="s">
        <v>569</v>
      </c>
      <c r="D2060" s="2" t="str">
        <f t="shared" si="31"/>
        <v>Error?</v>
      </c>
    </row>
    <row r="2061" spans="1:4" x14ac:dyDescent="0.2">
      <c r="A2061" s="5">
        <v>2000</v>
      </c>
      <c r="B2061" s="1831">
        <f>'Cap Outlay Deprec 26'!L16</f>
        <v>2734832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38818</v>
      </c>
      <c r="C2088" s="2" t="s">
        <v>569</v>
      </c>
      <c r="D2088" s="2" t="str">
        <f t="shared" si="31"/>
        <v>Error?</v>
      </c>
    </row>
    <row r="2089" spans="1:4" x14ac:dyDescent="0.2">
      <c r="A2089" s="5">
        <v>2028</v>
      </c>
      <c r="B2089" s="1831">
        <f>'Expenditures 15-22'!K92</f>
        <v>31142</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67626</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98993</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149169</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1877565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364067</v>
      </c>
      <c r="C2553" s="2" t="s">
        <v>569</v>
      </c>
      <c r="D2553" s="2" t="str">
        <f t="shared" si="38"/>
        <v>Error?</v>
      </c>
    </row>
    <row r="2554" spans="1:4" x14ac:dyDescent="0.2">
      <c r="A2554" s="5">
        <v>2493</v>
      </c>
      <c r="B2554" s="1831">
        <f>'Acct Summary 7-8'!C7</f>
        <v>256894</v>
      </c>
      <c r="C2554" s="2" t="s">
        <v>569</v>
      </c>
      <c r="D2554" s="2" t="str">
        <f t="shared" si="38"/>
        <v>Error?</v>
      </c>
    </row>
    <row r="2555" spans="1:4" x14ac:dyDescent="0.2">
      <c r="A2555" s="5">
        <v>2494</v>
      </c>
      <c r="B2555" s="1831">
        <f>'Acct Summary 7-8'!C8</f>
        <v>2498526</v>
      </c>
      <c r="C2555" s="2" t="s">
        <v>569</v>
      </c>
      <c r="D2555" s="2" t="str">
        <f t="shared" si="38"/>
        <v>Error?</v>
      </c>
    </row>
    <row r="2556" spans="1:4" x14ac:dyDescent="0.2">
      <c r="A2556" s="5">
        <v>2495</v>
      </c>
      <c r="B2556" s="1831">
        <f>'Acct Summary 7-8'!C12</f>
        <v>1568132</v>
      </c>
      <c r="C2556" s="2" t="s">
        <v>569</v>
      </c>
      <c r="D2556" s="2" t="str">
        <f t="shared" si="38"/>
        <v>Error?</v>
      </c>
    </row>
    <row r="2557" spans="1:4" x14ac:dyDescent="0.2">
      <c r="A2557" s="5">
        <v>2496</v>
      </c>
      <c r="B2557" s="1831">
        <f>'Acct Summary 7-8'!C13</f>
        <v>722122</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69960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2360214</v>
      </c>
      <c r="C2561" s="2" t="s">
        <v>569</v>
      </c>
      <c r="D2561" s="2" t="str">
        <f t="shared" si="39"/>
        <v>Error?</v>
      </c>
    </row>
    <row r="2562" spans="1:4" x14ac:dyDescent="0.2">
      <c r="A2562" s="5">
        <v>2501</v>
      </c>
      <c r="B2562" s="1831">
        <f>'Acct Summary 7-8'!C20</f>
        <v>138312</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169326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169326</v>
      </c>
      <c r="C2568" s="2" t="s">
        <v>569</v>
      </c>
      <c r="D2568" s="2" t="str">
        <f t="shared" si="39"/>
        <v>Error?</v>
      </c>
    </row>
    <row r="2569" spans="1:4" x14ac:dyDescent="0.2">
      <c r="A2569" s="5">
        <v>2508</v>
      </c>
      <c r="B2569" s="1831">
        <f>'Acct Summary 7-8'!D13</f>
        <v>312807</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312807</v>
      </c>
      <c r="C2573" s="2" t="s">
        <v>569</v>
      </c>
      <c r="D2573" s="2" t="str">
        <f t="shared" si="39"/>
        <v>Error?</v>
      </c>
    </row>
    <row r="2574" spans="1:4" x14ac:dyDescent="0.2">
      <c r="A2574" s="5">
        <v>2513</v>
      </c>
      <c r="B2574" s="1831">
        <f>'Acct Summary 7-8'!D20</f>
        <v>-143481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157070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39535</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196605</v>
      </c>
      <c r="C2595" s="2" t="s">
        <v>569</v>
      </c>
      <c r="D2595" s="2" t="str">
        <f t="shared" si="39"/>
        <v>Error?</v>
      </c>
    </row>
    <row r="2596" spans="1:4" x14ac:dyDescent="0.2">
      <c r="A2596" s="5">
        <v>2535</v>
      </c>
      <c r="B2596" s="1831">
        <f>'Acct Summary 7-8'!F13</f>
        <v>141668</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141668</v>
      </c>
      <c r="C2600" s="2" t="s">
        <v>569</v>
      </c>
      <c r="D2600" s="2" t="str">
        <f t="shared" si="39"/>
        <v>Error?</v>
      </c>
    </row>
    <row r="2601" spans="1:4" x14ac:dyDescent="0.2">
      <c r="A2601" s="5">
        <v>2540</v>
      </c>
      <c r="B2601" s="1831">
        <f>'Acct Summary 7-8'!F20</f>
        <v>54937</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155955</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155955</v>
      </c>
      <c r="C2606" s="2" t="s">
        <v>569</v>
      </c>
      <c r="D2606" s="2" t="str">
        <f t="shared" si="39"/>
        <v>Error?</v>
      </c>
    </row>
    <row r="2607" spans="1:4" x14ac:dyDescent="0.2">
      <c r="A2607" s="5">
        <v>2546</v>
      </c>
      <c r="B2607" s="1831">
        <f>'Acct Summary 7-8'!G12</f>
        <v>27122</v>
      </c>
      <c r="C2607" s="2" t="s">
        <v>569</v>
      </c>
      <c r="D2607" s="2" t="str">
        <f t="shared" si="39"/>
        <v>Error?</v>
      </c>
    </row>
    <row r="2608" spans="1:4" x14ac:dyDescent="0.2">
      <c r="A2608" s="5">
        <v>2547</v>
      </c>
      <c r="B2608" s="1831">
        <f>'Acct Summary 7-8'!G13</f>
        <v>72890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100012</v>
      </c>
      <c r="C2612" s="2" t="s">
        <v>569</v>
      </c>
      <c r="D2612" s="2" t="str">
        <f t="shared" si="39"/>
        <v>Error?</v>
      </c>
    </row>
    <row r="2613" spans="1:4" x14ac:dyDescent="0.2">
      <c r="A2613" s="5">
        <v>2552</v>
      </c>
      <c r="B2613" s="1831">
        <f>'Acct Summary 7-8'!G20</f>
        <v>55943</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217389</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217389</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170736</v>
      </c>
      <c r="C2634" s="2" t="s">
        <v>569</v>
      </c>
      <c r="D2634" s="2" t="str">
        <f t="shared" si="40"/>
        <v>Error?</v>
      </c>
    </row>
    <row r="2635" spans="1:4" x14ac:dyDescent="0.2">
      <c r="A2635" s="5">
        <v>2574</v>
      </c>
      <c r="B2635" s="1831">
        <f>'Acct Summary 7-8'!E17</f>
        <v>170736</v>
      </c>
      <c r="C2635" s="2" t="s">
        <v>569</v>
      </c>
      <c r="D2635" s="2" t="str">
        <f t="shared" si="40"/>
        <v>Error?</v>
      </c>
    </row>
    <row r="2636" spans="1:4" x14ac:dyDescent="0.2">
      <c r="A2636" s="5">
        <v>2575</v>
      </c>
      <c r="B2636" s="1831">
        <f>'Acct Summary 7-8'!E20</f>
        <v>46653</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131744</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131744</v>
      </c>
      <c r="C2658" s="2" t="s">
        <v>569</v>
      </c>
      <c r="D2658" s="2" t="str">
        <f t="shared" si="40"/>
        <v>Error?</v>
      </c>
    </row>
    <row r="2659" spans="1:4" x14ac:dyDescent="0.2">
      <c r="A2659" s="5">
        <v>2598</v>
      </c>
      <c r="B2659" s="1831">
        <f>'Acct Summary 7-8'!H13</f>
        <v>206298</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206298</v>
      </c>
      <c r="C2661" s="2" t="s">
        <v>569</v>
      </c>
      <c r="D2661" s="2" t="str">
        <f t="shared" si="40"/>
        <v>Error?</v>
      </c>
    </row>
    <row r="2662" spans="1:4" x14ac:dyDescent="0.2">
      <c r="A2662" s="5">
        <v>2601</v>
      </c>
      <c r="B2662" s="1831">
        <f>'Acct Summary 7-8'!H20</f>
        <v>-74554</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38818</v>
      </c>
      <c r="C2789" s="2" t="s">
        <v>569</v>
      </c>
      <c r="D2789" s="2" t="str">
        <f t="shared" si="42"/>
        <v>Error?</v>
      </c>
    </row>
    <row r="2790" spans="1:4" x14ac:dyDescent="0.2">
      <c r="A2790" s="5">
        <v>2729</v>
      </c>
      <c r="B2790" s="1831">
        <f>'Expenditures 15-22'!E102</f>
        <v>38818</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111310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133078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56530</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133078</v>
      </c>
      <c r="D2912" s="2" t="str">
        <f t="shared" si="44"/>
        <v>Error?</v>
      </c>
    </row>
    <row r="2913" spans="1:4" x14ac:dyDescent="0.2">
      <c r="A2913" s="5">
        <v>2852</v>
      </c>
      <c r="B2913" s="1831">
        <f>'Assets-Liab 5-6'!I41</f>
        <v>133078</v>
      </c>
      <c r="C2913" s="2" t="s">
        <v>569</v>
      </c>
      <c r="D2913" s="2" t="str">
        <f t="shared" si="44"/>
        <v>Error?</v>
      </c>
    </row>
    <row r="2914" spans="1:4" x14ac:dyDescent="0.2">
      <c r="A2914" s="5">
        <v>2853</v>
      </c>
      <c r="B2914" s="1831">
        <f>'Assets-Liab 5-6'!L33</f>
        <v>56530</v>
      </c>
      <c r="D2914" s="2" t="str">
        <f t="shared" si="44"/>
        <v>Error?</v>
      </c>
    </row>
    <row r="2915" spans="1:4" x14ac:dyDescent="0.2">
      <c r="A2915" s="10">
        <v>2854</v>
      </c>
      <c r="B2915" s="1831"/>
      <c r="D2915" s="2" t="str">
        <f t="shared" si="44"/>
        <v>OK</v>
      </c>
    </row>
    <row r="2916" spans="1:4" x14ac:dyDescent="0.2">
      <c r="A2916" s="5">
        <v>2855</v>
      </c>
      <c r="B2916" s="1831">
        <f>'Assets-Liab 5-6'!L34</f>
        <v>56530</v>
      </c>
      <c r="C2916" s="2" t="s">
        <v>569</v>
      </c>
      <c r="D2916" s="2" t="str">
        <f t="shared" si="44"/>
        <v>Error?</v>
      </c>
    </row>
    <row r="2917" spans="1:4" x14ac:dyDescent="0.2">
      <c r="A2917" s="5">
        <v>2856</v>
      </c>
      <c r="B2917" s="1831">
        <f>'Assets-Liab 5-6'!L41</f>
        <v>56530</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38818</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38818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52605</v>
      </c>
      <c r="D3055" s="2" t="str">
        <f t="shared" si="46"/>
        <v>Error?</v>
      </c>
    </row>
    <row r="3056" spans="1:4" x14ac:dyDescent="0.2">
      <c r="A3056" s="5">
        <v>2995</v>
      </c>
      <c r="B3056" s="1831">
        <f>'Expenditures 15-22'!D10</f>
        <v>12130</v>
      </c>
      <c r="D3056" s="2" t="str">
        <f t="shared" si="46"/>
        <v>Error?</v>
      </c>
    </row>
    <row r="3057" spans="1:4" x14ac:dyDescent="0.2">
      <c r="A3057" s="5">
        <v>2996</v>
      </c>
      <c r="B3057" s="1831">
        <f>'Expenditures 15-22'!E10</f>
        <v>10520</v>
      </c>
      <c r="D3057" s="2" t="str">
        <f t="shared" si="46"/>
        <v>Error?</v>
      </c>
    </row>
    <row r="3058" spans="1:4" x14ac:dyDescent="0.2">
      <c r="A3058" s="5">
        <v>2997</v>
      </c>
      <c r="B3058" s="1831">
        <f>'Expenditures 15-22'!F10</f>
        <v>1288</v>
      </c>
      <c r="D3058" s="2" t="str">
        <f t="shared" si="46"/>
        <v>Error?</v>
      </c>
    </row>
    <row r="3059" spans="1:4" x14ac:dyDescent="0.2">
      <c r="A3059" s="5">
        <v>2998</v>
      </c>
      <c r="B3059" s="1831">
        <f>'Expenditures 15-22'!G10</f>
        <v>12763</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89306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754</v>
      </c>
      <c r="D3064" s="2" t="str">
        <f t="shared" si="46"/>
        <v>Error?</v>
      </c>
    </row>
    <row r="3065" spans="1:4" x14ac:dyDescent="0.2">
      <c r="A3065" s="5">
        <v>3004</v>
      </c>
      <c r="B3065" s="1831">
        <f>'Expenditures 15-22'!K219</f>
        <v>754</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16768</v>
      </c>
      <c r="C3225" s="2" t="s">
        <v>569</v>
      </c>
      <c r="D3225" s="2" t="str">
        <f t="shared" si="49"/>
        <v>Error?</v>
      </c>
    </row>
    <row r="3226" spans="1:4" x14ac:dyDescent="0.2">
      <c r="A3226" s="5">
        <v>3165</v>
      </c>
      <c r="B3226" s="1831">
        <f>'Acct Summary 7-8'!I8</f>
        <v>16768</v>
      </c>
      <c r="C3226" s="2" t="s">
        <v>569</v>
      </c>
      <c r="D3226" s="2" t="str">
        <f t="shared" si="49"/>
        <v>Error?</v>
      </c>
    </row>
    <row r="3227" spans="1:4" x14ac:dyDescent="0.2">
      <c r="A3227" s="5">
        <v>3166</v>
      </c>
      <c r="B3227" s="1831">
        <f>'Acct Summary 7-8'!I20</f>
        <v>16768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6223</v>
      </c>
      <c r="C3231" s="2" t="s">
        <v>569</v>
      </c>
      <c r="D3231" s="2" t="str">
        <f t="shared" si="49"/>
        <v>Error?</v>
      </c>
    </row>
    <row r="3232" spans="1:4" x14ac:dyDescent="0.2">
      <c r="A3232" s="5">
        <v>3171</v>
      </c>
      <c r="B3232" s="1831">
        <f>'Acct Summary 7-8'!C77</f>
        <v>-6223</v>
      </c>
      <c r="C3232" s="2" t="s">
        <v>569</v>
      </c>
      <c r="D3232" s="2" t="str">
        <f t="shared" si="49"/>
        <v>Error?</v>
      </c>
    </row>
    <row r="3233" spans="1:4" x14ac:dyDescent="0.2">
      <c r="A3233" s="5">
        <v>3172</v>
      </c>
      <c r="B3233" s="1831">
        <f>'Acct Summary 7-8'!C78</f>
        <v>132089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-143481</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54937</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55943</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6223</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6223</v>
      </c>
      <c r="C3277" s="2" t="s">
        <v>569</v>
      </c>
      <c r="D3277" s="2" t="str">
        <f t="shared" si="50"/>
        <v>Error?</v>
      </c>
    </row>
    <row r="3278" spans="1:4" x14ac:dyDescent="0.2">
      <c r="A3278" s="5">
        <v>3217</v>
      </c>
      <c r="B3278" s="1831">
        <f>'Acct Summary 7-8'!E78</f>
        <v>52876</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-74554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16768</v>
      </c>
      <c r="C3320" s="2" t="s">
        <v>569</v>
      </c>
      <c r="D3320" s="2" t="str">
        <f t="shared" si="50"/>
        <v>Error?</v>
      </c>
    </row>
    <row r="3321" spans="1:4" x14ac:dyDescent="0.2">
      <c r="A3321" s="5">
        <v>3260</v>
      </c>
      <c r="B3321" s="1831">
        <f>'Acct Summary 7-8'!I79</f>
        <v>116310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133078</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247878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36002</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893</v>
      </c>
      <c r="D3370" s="2" t="str">
        <f t="shared" si="51"/>
        <v>Error?</v>
      </c>
    </row>
    <row r="3371" spans="1:4" x14ac:dyDescent="0.2">
      <c r="A3371" s="5">
        <v>3310</v>
      </c>
      <c r="B3371" s="1831">
        <f>'Expenditures 15-22'!E19</f>
        <v>200</v>
      </c>
      <c r="D3371" s="2" t="str">
        <f t="shared" si="51"/>
        <v>Error?</v>
      </c>
    </row>
    <row r="3372" spans="1:4" x14ac:dyDescent="0.2">
      <c r="A3372" s="5">
        <v>3311</v>
      </c>
      <c r="B3372" s="1831">
        <f>'Expenditures 15-22'!F8</f>
        <v>1706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286479</v>
      </c>
      <c r="C3380" s="2" t="s">
        <v>569</v>
      </c>
      <c r="D3380" s="2" t="str">
        <f t="shared" si="51"/>
        <v>Error?</v>
      </c>
    </row>
    <row r="3381" spans="1:4" x14ac:dyDescent="0.2">
      <c r="A3381" s="5">
        <v>3320</v>
      </c>
      <c r="B3381" s="1831">
        <f>'Expenditures 15-22'!K19</f>
        <v>200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10143</v>
      </c>
      <c r="D3387" s="2" t="str">
        <f t="shared" si="51"/>
        <v>Error?</v>
      </c>
    </row>
    <row r="3388" spans="1:4" x14ac:dyDescent="0.2">
      <c r="A3388" s="5">
        <v>3327</v>
      </c>
      <c r="B3388" s="1831">
        <f>'Expenditures 15-22'!D217</f>
        <v>11271</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10143</v>
      </c>
      <c r="C3390" s="2" t="s">
        <v>569</v>
      </c>
      <c r="D3390" s="2" t="str">
        <f t="shared" si="51"/>
        <v>Error?</v>
      </c>
    </row>
    <row r="3391" spans="1:4" x14ac:dyDescent="0.2">
      <c r="A3391" s="5">
        <v>3330</v>
      </c>
      <c r="B3391" s="1831">
        <f>'Expenditures 15-22'!K217</f>
        <v>11271</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702288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103357</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113568</v>
      </c>
      <c r="D3417" s="2" t="str">
        <f t="shared" si="52"/>
        <v>Error?</v>
      </c>
    </row>
    <row r="3418" spans="1:4" x14ac:dyDescent="0.2">
      <c r="A3418" s="10">
        <v>3357</v>
      </c>
      <c r="B3418" s="1831"/>
      <c r="D3418" s="2" t="str">
        <f t="shared" si="52"/>
        <v>OK</v>
      </c>
    </row>
    <row r="3419" spans="1:4" x14ac:dyDescent="0.2">
      <c r="A3419" s="5">
        <v>3358</v>
      </c>
      <c r="B3419" s="1831">
        <f>'Assets-Liab 5-6'!F4</f>
        <v>306947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111223</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149169</v>
      </c>
      <c r="D3425" s="2" t="str">
        <f t="shared" si="52"/>
        <v>Error?</v>
      </c>
    </row>
    <row r="3426" spans="1:4" x14ac:dyDescent="0.2">
      <c r="A3426" s="10">
        <v>3365</v>
      </c>
      <c r="B3426" s="1831"/>
      <c r="D3426" s="2" t="str">
        <f t="shared" si="52"/>
        <v>OK</v>
      </c>
    </row>
    <row r="3427" spans="1:4" x14ac:dyDescent="0.2">
      <c r="A3427" s="5">
        <v>3366</v>
      </c>
      <c r="B3427" s="1831">
        <f>'Assets-Liab 5-6'!I4</f>
        <v>21768</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56530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80683</v>
      </c>
      <c r="C3446" s="2" t="s">
        <v>569</v>
      </c>
      <c r="D3446" s="2" t="str">
        <f t="shared" si="52"/>
        <v>Error?</v>
      </c>
    </row>
    <row r="3447" spans="1:4" x14ac:dyDescent="0.2">
      <c r="A3447" s="5">
        <v>3386</v>
      </c>
      <c r="B3447" s="1831">
        <f>'Tax Sched 23'!D16</f>
        <v>61791</v>
      </c>
      <c r="C3447" s="2" t="s">
        <v>569</v>
      </c>
      <c r="D3447" s="2" t="str">
        <f t="shared" si="52"/>
        <v>Error?</v>
      </c>
    </row>
    <row r="3448" spans="1:4" x14ac:dyDescent="0.2">
      <c r="A3448" s="5">
        <v>3387</v>
      </c>
      <c r="B3448" s="1831">
        <f>'Tax Sched 23'!C16</f>
        <v>18892</v>
      </c>
      <c r="D3448" s="2" t="str">
        <f t="shared" si="52"/>
        <v>Error?</v>
      </c>
    </row>
    <row r="3449" spans="1:4" x14ac:dyDescent="0.2">
      <c r="A3449" s="5">
        <v>3388</v>
      </c>
      <c r="B3449" s="1831">
        <f>'Tax Sched 23'!F16</f>
        <v>42108</v>
      </c>
      <c r="C3449" s="2" t="s">
        <v>569</v>
      </c>
      <c r="D3449" s="2" t="str">
        <f t="shared" si="52"/>
        <v>Error?</v>
      </c>
    </row>
    <row r="3450" spans="1:4" x14ac:dyDescent="0.2">
      <c r="A3450" s="5">
        <v>3389</v>
      </c>
      <c r="B3450" s="1831">
        <f>'Tax Sched 23'!E16</f>
        <v>61000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23643</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23643</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23643</v>
      </c>
      <c r="D3567" s="2" t="str">
        <f t="shared" si="54"/>
        <v>Error?</v>
      </c>
    </row>
    <row r="3568" spans="1:4" x14ac:dyDescent="0.2">
      <c r="A3568" s="5">
        <v>3507</v>
      </c>
      <c r="B3568" s="1831">
        <f>'Assets-Liab 5-6'!K41</f>
        <v>23643</v>
      </c>
      <c r="C3568" s="2" t="s">
        <v>569</v>
      </c>
      <c r="D3568" s="2" t="str">
        <f t="shared" si="54"/>
        <v>Error?</v>
      </c>
    </row>
    <row r="3569" spans="1:4" x14ac:dyDescent="0.2">
      <c r="A3569" s="5">
        <v>3508</v>
      </c>
      <c r="B3569" s="1831">
        <f>'Acct Summary 7-8'!K4</f>
        <v>16768</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16768</v>
      </c>
      <c r="C3571" s="2" t="s">
        <v>569</v>
      </c>
      <c r="D3571" s="2" t="str">
        <f t="shared" si="54"/>
        <v>Error?</v>
      </c>
    </row>
    <row r="3572" spans="1:4" x14ac:dyDescent="0.2">
      <c r="A3572" s="5">
        <v>3511</v>
      </c>
      <c r="B3572" s="1831">
        <f>'Acct Summary 7-8'!K13</f>
        <v>10792</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10792</v>
      </c>
      <c r="C3575" s="2" t="s">
        <v>569</v>
      </c>
      <c r="D3575" s="2" t="str">
        <f t="shared" si="54"/>
        <v>Error?</v>
      </c>
    </row>
    <row r="3576" spans="1:4" x14ac:dyDescent="0.2">
      <c r="A3576" s="5">
        <v>3515</v>
      </c>
      <c r="B3576" s="1831">
        <f>'Acct Summary 7-8'!K20</f>
        <v>5976</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5976</v>
      </c>
      <c r="C3588" s="2" t="s">
        <v>569</v>
      </c>
      <c r="D3588" s="2" t="str">
        <f t="shared" si="55"/>
        <v>Error?</v>
      </c>
    </row>
    <row r="3589" spans="1:4" x14ac:dyDescent="0.2">
      <c r="A3589" s="5">
        <v>3528</v>
      </c>
      <c r="B3589" s="1831">
        <f>'Acct Summary 7-8'!K79</f>
        <v>17667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23643</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10792</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10792</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10792</v>
      </c>
      <c r="C3635" s="2" t="s">
        <v>569</v>
      </c>
      <c r="D3635" s="2" t="str">
        <f t="shared" si="55"/>
        <v>Error?</v>
      </c>
    </row>
    <row r="3636" spans="1:4" x14ac:dyDescent="0.2">
      <c r="A3636" s="5">
        <v>3575</v>
      </c>
      <c r="B3636" s="1831">
        <f>'Expenditures 15-22'!E367</f>
        <v>10792</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10792</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10792</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10792</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10792</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5976</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16768</v>
      </c>
      <c r="C3725" s="2" t="s">
        <v>569</v>
      </c>
      <c r="D3725" s="2" t="str">
        <f t="shared" si="57"/>
        <v>Error?</v>
      </c>
    </row>
    <row r="3726" spans="1:4" x14ac:dyDescent="0.2">
      <c r="A3726" s="5">
        <v>3665</v>
      </c>
      <c r="B3726" s="1831">
        <f>'Tax Sched 23'!D13</f>
        <v>12851</v>
      </c>
      <c r="C3726" s="2" t="s">
        <v>569</v>
      </c>
      <c r="D3726" s="2" t="str">
        <f t="shared" si="57"/>
        <v>Error?</v>
      </c>
    </row>
    <row r="3727" spans="1:4" x14ac:dyDescent="0.2">
      <c r="A3727" s="5">
        <v>3666</v>
      </c>
      <c r="B3727" s="1831">
        <f>'Tax Sched 23'!C13</f>
        <v>3917</v>
      </c>
      <c r="D3727" s="2" t="str">
        <f t="shared" si="57"/>
        <v>Error?</v>
      </c>
    </row>
    <row r="3728" spans="1:4" x14ac:dyDescent="0.2">
      <c r="A3728" s="5">
        <v>3667</v>
      </c>
      <c r="B3728" s="1831">
        <f>'Tax Sched 23'!F13</f>
        <v>9188</v>
      </c>
      <c r="C3728" s="2" t="s">
        <v>569</v>
      </c>
      <c r="D3728" s="2" t="str">
        <f t="shared" si="57"/>
        <v>Error?</v>
      </c>
    </row>
    <row r="3729" spans="1:4" x14ac:dyDescent="0.2">
      <c r="A3729" s="5">
        <v>3668</v>
      </c>
      <c r="B3729" s="1831">
        <f>'Tax Sched 23'!E13</f>
        <v>13105</v>
      </c>
      <c r="D3729" s="2" t="str">
        <f t="shared" si="57"/>
        <v>Error?</v>
      </c>
    </row>
    <row r="3730" spans="1:4" x14ac:dyDescent="0.2">
      <c r="A3730" s="5">
        <v>3669</v>
      </c>
      <c r="B3730" s="1831">
        <f>'ICR Computation 30'!E10</f>
        <v>64603</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1177873</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3676399</v>
      </c>
      <c r="C4122" s="2" t="s">
        <v>569</v>
      </c>
      <c r="D4122" s="2" t="str">
        <f t="shared" si="63"/>
        <v>Error?</v>
      </c>
    </row>
    <row r="4123" spans="1:4" x14ac:dyDescent="0.2">
      <c r="A4123" s="5">
        <v>4062</v>
      </c>
      <c r="B4123" s="1831">
        <f>'Acct Summary 7-8'!D10</f>
        <v>169326</v>
      </c>
      <c r="C4123" s="2" t="s">
        <v>569</v>
      </c>
      <c r="D4123" s="2" t="str">
        <f t="shared" si="63"/>
        <v>Error?</v>
      </c>
    </row>
    <row r="4124" spans="1:4" x14ac:dyDescent="0.2">
      <c r="A4124" s="5">
        <v>4063</v>
      </c>
      <c r="B4124" s="1831">
        <f>'Acct Summary 7-8'!E10</f>
        <v>217389</v>
      </c>
      <c r="C4124" s="2" t="s">
        <v>569</v>
      </c>
      <c r="D4124" s="2" t="str">
        <f t="shared" si="63"/>
        <v>Error?</v>
      </c>
    </row>
    <row r="4125" spans="1:4" x14ac:dyDescent="0.2">
      <c r="A4125" s="5">
        <v>4064</v>
      </c>
      <c r="B4125" s="1831">
        <f>'Acct Summary 7-8'!F10</f>
        <v>196605</v>
      </c>
      <c r="C4125" s="2" t="s">
        <v>569</v>
      </c>
      <c r="D4125" s="2" t="str">
        <f t="shared" si="63"/>
        <v>Error?</v>
      </c>
    </row>
    <row r="4126" spans="1:4" x14ac:dyDescent="0.2">
      <c r="A4126" s="5">
        <v>4065</v>
      </c>
      <c r="B4126" s="1831">
        <f>'Acct Summary 7-8'!G10</f>
        <v>155955</v>
      </c>
      <c r="C4126" s="2" t="s">
        <v>569</v>
      </c>
      <c r="D4126" s="2" t="str">
        <f t="shared" si="63"/>
        <v>Error?</v>
      </c>
    </row>
    <row r="4127" spans="1:4" x14ac:dyDescent="0.2">
      <c r="A4127" s="5">
        <v>4066</v>
      </c>
      <c r="B4127" s="1831">
        <f>'Acct Summary 7-8'!H10</f>
        <v>131744</v>
      </c>
      <c r="C4127" s="2" t="s">
        <v>569</v>
      </c>
      <c r="D4127" s="2" t="str">
        <f t="shared" si="63"/>
        <v>Error?</v>
      </c>
    </row>
    <row r="4128" spans="1:4" x14ac:dyDescent="0.2">
      <c r="A4128" s="5">
        <v>4067</v>
      </c>
      <c r="B4128" s="1831">
        <f>'Acct Summary 7-8'!I10</f>
        <v>16768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16768</v>
      </c>
      <c r="C4130" s="2" t="s">
        <v>569</v>
      </c>
      <c r="D4130" s="2" t="str">
        <f t="shared" si="63"/>
        <v>Error?</v>
      </c>
    </row>
    <row r="4131" spans="1:4" x14ac:dyDescent="0.2">
      <c r="A4131" s="5">
        <v>4070</v>
      </c>
      <c r="B4131" s="1831">
        <f>'Acct Summary 7-8'!C18</f>
        <v>1177873</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3538087</v>
      </c>
      <c r="C4136" s="2" t="s">
        <v>569</v>
      </c>
      <c r="D4136" s="2" t="str">
        <f t="shared" si="63"/>
        <v>Error?</v>
      </c>
    </row>
    <row r="4137" spans="1:4" x14ac:dyDescent="0.2">
      <c r="A4137" s="5">
        <v>4076</v>
      </c>
      <c r="B4137" s="1831">
        <f>'Acct Summary 7-8'!D19</f>
        <v>312807</v>
      </c>
      <c r="C4137" s="2" t="s">
        <v>569</v>
      </c>
      <c r="D4137" s="2" t="str">
        <f t="shared" si="63"/>
        <v>Error?</v>
      </c>
    </row>
    <row r="4138" spans="1:4" x14ac:dyDescent="0.2">
      <c r="A4138" s="5">
        <v>4077</v>
      </c>
      <c r="B4138" s="1831">
        <f>'Acct Summary 7-8'!E19</f>
        <v>170736</v>
      </c>
      <c r="C4138" s="2" t="s">
        <v>569</v>
      </c>
      <c r="D4138" s="2" t="str">
        <f t="shared" si="63"/>
        <v>Error?</v>
      </c>
    </row>
    <row r="4139" spans="1:4" x14ac:dyDescent="0.2">
      <c r="A4139" s="5">
        <v>4078</v>
      </c>
      <c r="B4139" s="1831">
        <f>'Acct Summary 7-8'!F19</f>
        <v>141668</v>
      </c>
      <c r="C4139" s="2" t="s">
        <v>569</v>
      </c>
      <c r="D4139" s="2" t="str">
        <f t="shared" si="63"/>
        <v>Error?</v>
      </c>
    </row>
    <row r="4140" spans="1:4" x14ac:dyDescent="0.2">
      <c r="A4140" s="5">
        <v>4079</v>
      </c>
      <c r="B4140" s="1831">
        <f>'Acct Summary 7-8'!G19</f>
        <v>100012</v>
      </c>
      <c r="C4140" s="2" t="s">
        <v>569</v>
      </c>
      <c r="D4140" s="2" t="str">
        <f t="shared" si="63"/>
        <v>Error?</v>
      </c>
    </row>
    <row r="4141" spans="1:4" x14ac:dyDescent="0.2">
      <c r="A4141" s="5">
        <v>4080</v>
      </c>
      <c r="B4141" s="1831">
        <f>'Acct Summary 7-8'!H19</f>
        <v>206298</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10792</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215000</v>
      </c>
      <c r="C4171" s="2" t="s">
        <v>569</v>
      </c>
      <c r="D4171" s="2" t="str">
        <f t="shared" si="64"/>
        <v>Error?</v>
      </c>
    </row>
    <row r="4172" spans="1:4" x14ac:dyDescent="0.2">
      <c r="A4172" s="5">
        <v>4111</v>
      </c>
      <c r="B4172" s="1831">
        <f>'Short-Term Long-Term Debt 24'!J49</f>
        <v>101432</v>
      </c>
      <c r="C4172" s="2" t="s">
        <v>569</v>
      </c>
      <c r="D4172" s="2" t="str">
        <f t="shared" si="64"/>
        <v>Error?</v>
      </c>
    </row>
    <row r="4173" spans="1:4" x14ac:dyDescent="0.2">
      <c r="A4173" s="5">
        <v>4112</v>
      </c>
      <c r="B4173" s="1831">
        <f>'Short-Term Long-Term Debt 24'!H49</f>
        <v>151223</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2750</v>
      </c>
      <c r="C4265" s="2" t="s">
        <v>569</v>
      </c>
      <c r="D4265" s="2" t="str">
        <f t="shared" si="65"/>
        <v>Error?</v>
      </c>
      <c r="E4265" s="125"/>
    </row>
    <row r="4266" spans="1:5" x14ac:dyDescent="0.2">
      <c r="A4266" s="12">
        <v>4205</v>
      </c>
      <c r="B4266" s="1831">
        <f>('FP Info 3'!F10)*100000</f>
        <v>500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3450.0000000000005</v>
      </c>
      <c r="C4268" s="2" t="s">
        <v>569</v>
      </c>
      <c r="D4268" s="2" t="str">
        <f t="shared" si="65"/>
        <v>Error?</v>
      </c>
    </row>
    <row r="4269" spans="1:5" x14ac:dyDescent="0.2">
      <c r="A4269" s="12">
        <v>4208</v>
      </c>
      <c r="B4269" s="1831">
        <f>'FP Info 3'!J16</f>
        <v>1303188</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47958</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8474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12472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15580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8470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9459</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26522108</v>
      </c>
      <c r="D4995" s="2" t="str">
        <f t="shared" si="77"/>
        <v>Error?</v>
      </c>
    </row>
    <row r="4996" spans="1:4" x14ac:dyDescent="0.2">
      <c r="A4996" s="12">
        <v>4935</v>
      </c>
      <c r="B4996" s="1831">
        <f>'FP Info 3'!H31</f>
        <v>3660050.9040000001</v>
      </c>
      <c r="D4996" s="2" t="str">
        <f t="shared" si="77"/>
        <v>Error?</v>
      </c>
    </row>
    <row r="4997" spans="1:4" x14ac:dyDescent="0.2">
      <c r="A4997" s="12">
        <v>4936</v>
      </c>
      <c r="B4997" s="1831">
        <f>'FP Info 3'!H37</f>
        <v>215000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16768</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922486</v>
      </c>
      <c r="D5061" s="2" t="str">
        <f t="shared" si="78"/>
        <v>Error?</v>
      </c>
    </row>
    <row r="5062" spans="1:4" x14ac:dyDescent="0.2">
      <c r="A5062" s="10">
        <v>5001</v>
      </c>
      <c r="B5062" s="1831"/>
      <c r="D5062" s="2" t="str">
        <f t="shared" si="78"/>
        <v>OK</v>
      </c>
    </row>
    <row r="5063" spans="1:4" x14ac:dyDescent="0.2">
      <c r="A5063" s="5">
        <v>5002</v>
      </c>
      <c r="B5063" s="1831">
        <f>'Revenues 9-14'!C7</f>
        <v>13421</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952675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840456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840456</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2537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2537</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5816</v>
      </c>
      <c r="D5094" s="2" t="str">
        <f t="shared" si="78"/>
        <v>Error?</v>
      </c>
    </row>
    <row r="5095" spans="1:4" x14ac:dyDescent="0.2">
      <c r="A5095" s="5">
        <v>5034</v>
      </c>
      <c r="B5095" s="1831">
        <f>'Revenues 9-14'!C74</f>
        <v>211</v>
      </c>
      <c r="D5095" s="2" t="str">
        <f t="shared" si="78"/>
        <v>Error?</v>
      </c>
    </row>
    <row r="5096" spans="1:4" x14ac:dyDescent="0.2">
      <c r="A5096" s="5">
        <v>5035</v>
      </c>
      <c r="B5096" s="1831">
        <f>'Revenues 9-14'!C75</f>
        <v>6027</v>
      </c>
      <c r="C5096" s="2" t="s">
        <v>569</v>
      </c>
      <c r="D5096" s="2" t="str">
        <f t="shared" si="78"/>
        <v>Error?</v>
      </c>
    </row>
    <row r="5097" spans="1:4" x14ac:dyDescent="0.2">
      <c r="A5097" s="5">
        <v>5036</v>
      </c>
      <c r="B5097" s="1831">
        <f>'Revenues 9-14'!C77</f>
        <v>7155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1707</v>
      </c>
      <c r="D5099" s="2" t="str">
        <f t="shared" si="78"/>
        <v>Error?</v>
      </c>
    </row>
    <row r="5100" spans="1:4" x14ac:dyDescent="0.2">
      <c r="A5100" s="5">
        <v>5039</v>
      </c>
      <c r="B5100" s="1831">
        <f>'Revenues 9-14'!C80</f>
        <v>1300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10162</v>
      </c>
      <c r="C5102" s="2" t="s">
        <v>569</v>
      </c>
      <c r="D5102" s="2" t="str">
        <f t="shared" si="78"/>
        <v>Error?</v>
      </c>
    </row>
    <row r="5103" spans="1:4" x14ac:dyDescent="0.2">
      <c r="A5103" s="5">
        <v>5042</v>
      </c>
      <c r="B5103" s="1831">
        <f>'Revenues 9-14'!C84</f>
        <v>4160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1075</v>
      </c>
      <c r="D5111" s="2" t="str">
        <f t="shared" si="78"/>
        <v>Error?</v>
      </c>
    </row>
    <row r="5112" spans="1:4" x14ac:dyDescent="0.2">
      <c r="A5112" s="5">
        <v>5051</v>
      </c>
      <c r="B5112" s="1831">
        <f>'Revenues 9-14'!C93</f>
        <v>5235</v>
      </c>
      <c r="C5112" s="2" t="s">
        <v>569</v>
      </c>
      <c r="D5112" s="2" t="str">
        <f t="shared" si="78"/>
        <v>Error?</v>
      </c>
    </row>
    <row r="5113" spans="1:4" x14ac:dyDescent="0.2">
      <c r="A5113" s="5">
        <v>5052</v>
      </c>
      <c r="B5113" s="1831">
        <f>'Revenues 9-14'!C95</f>
        <v>1500</v>
      </c>
      <c r="D5113" s="2" t="str">
        <f t="shared" si="78"/>
        <v>Error?</v>
      </c>
    </row>
    <row r="5114" spans="1:4" x14ac:dyDescent="0.2">
      <c r="A5114" s="5">
        <v>5053</v>
      </c>
      <c r="B5114" s="1831">
        <f>'Revenues 9-14'!C96</f>
        <v>6795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2163</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48505</v>
      </c>
      <c r="D5119" s="2" t="str">
        <f t="shared" ref="D5119:D5182" si="79">IF(ISBLANK(B5119),"OK",IF(A5119-B5119=0,"OK","Error?"))</f>
        <v>Error?</v>
      </c>
    </row>
    <row r="5120" spans="1:4" x14ac:dyDescent="0.2">
      <c r="A5120" s="5">
        <v>5059</v>
      </c>
      <c r="B5120" s="1831">
        <f>'Revenues 9-14'!C108</f>
        <v>60473</v>
      </c>
      <c r="C5120" s="2" t="s">
        <v>569</v>
      </c>
      <c r="D5120" s="2" t="str">
        <f t="shared" si="79"/>
        <v>Error?</v>
      </c>
    </row>
    <row r="5121" spans="1:4" x14ac:dyDescent="0.2">
      <c r="A5121" s="5">
        <v>5060</v>
      </c>
      <c r="B5121" s="1831">
        <f>'Revenues 9-14'!C109</f>
        <v>1877565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342939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342939</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8246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8246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1309</v>
      </c>
      <c r="D5167" s="2" t="str">
        <f t="shared" si="79"/>
        <v>Error?</v>
      </c>
    </row>
    <row r="5168" spans="1:4" x14ac:dyDescent="0.2">
      <c r="A5168" s="5">
        <v>5107</v>
      </c>
      <c r="B5168" s="1831">
        <f>'Revenues 9-14'!C148</f>
        <v>2114</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21128</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364067</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56484</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17265</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73749</v>
      </c>
      <c r="C5246" s="2" t="s">
        <v>569</v>
      </c>
      <c r="D5246" s="2" t="str">
        <f t="shared" si="80"/>
        <v>Error?</v>
      </c>
    </row>
    <row r="5247" spans="1:4" x14ac:dyDescent="0.2">
      <c r="A5247" s="5">
        <v>5186</v>
      </c>
      <c r="B5247" s="1831">
        <f>'Revenues 9-14'!C200</f>
        <v>90191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15580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138149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256894</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256894</v>
      </c>
      <c r="C5326" s="2" t="s">
        <v>569</v>
      </c>
      <c r="D5326" s="2" t="str">
        <f t="shared" si="82"/>
        <v>Error?</v>
      </c>
    </row>
    <row r="5327" spans="1:5" x14ac:dyDescent="0.2">
      <c r="A5327" s="5">
        <v>5266</v>
      </c>
      <c r="B5327" s="1831">
        <f>'Revenues 9-14'!C268</f>
        <v>2498526</v>
      </c>
      <c r="C5327" s="2" t="s">
        <v>569</v>
      </c>
      <c r="D5327" s="2" t="str">
        <f t="shared" si="82"/>
        <v>Error?</v>
      </c>
    </row>
    <row r="5328" spans="1:5" x14ac:dyDescent="0.2">
      <c r="A5328" s="5">
        <v>5267</v>
      </c>
      <c r="B5328" s="1831">
        <f>'Revenues 9-14'!D5</f>
        <v>167736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167736</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1590</v>
      </c>
      <c r="D5354" s="2" t="str">
        <f t="shared" si="82"/>
        <v>Error?</v>
      </c>
    </row>
    <row r="5355" spans="1:4" x14ac:dyDescent="0.2">
      <c r="A5355" s="5">
        <v>5294</v>
      </c>
      <c r="B5355" s="1831">
        <f>'Revenues 9-14'!D108</f>
        <v>1590</v>
      </c>
      <c r="C5355" s="2" t="s">
        <v>569</v>
      </c>
      <c r="D5355" s="2" t="str">
        <f t="shared" si="82"/>
        <v>Error?</v>
      </c>
    </row>
    <row r="5356" spans="1:4" x14ac:dyDescent="0.2">
      <c r="A5356" s="5">
        <v>5295</v>
      </c>
      <c r="B5356" s="1831">
        <f>'Revenues 9-14'!D109</f>
        <v>169326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169326</v>
      </c>
      <c r="C5508" s="2" t="s">
        <v>569</v>
      </c>
      <c r="D5508" s="2" t="str">
        <f t="shared" si="85"/>
        <v>Error?</v>
      </c>
    </row>
    <row r="5509" spans="1:4" x14ac:dyDescent="0.2">
      <c r="A5509" s="5">
        <v>5448</v>
      </c>
      <c r="B5509" s="1831">
        <f>'Revenues 9-14'!E5</f>
        <v>217389</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217389</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217389</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217389</v>
      </c>
      <c r="C5552" s="2" t="s">
        <v>569</v>
      </c>
      <c r="D5552" s="2" t="str">
        <f t="shared" si="85"/>
        <v>Error?</v>
      </c>
    </row>
    <row r="5553" spans="1:4" x14ac:dyDescent="0.2">
      <c r="A5553" s="5">
        <v>5492</v>
      </c>
      <c r="B5553" s="1831">
        <f>'Revenues 9-14'!F5</f>
        <v>67070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67070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90000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90000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157070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20712</v>
      </c>
      <c r="D5615" s="2" t="str">
        <f t="shared" si="86"/>
        <v>Error?</v>
      </c>
    </row>
    <row r="5616" spans="1:4" x14ac:dyDescent="0.2">
      <c r="A5616" s="10">
        <v>5555</v>
      </c>
      <c r="B5616" s="1831"/>
      <c r="D5616" s="2" t="str">
        <f t="shared" si="86"/>
        <v>OK</v>
      </c>
    </row>
    <row r="5617" spans="1:5" x14ac:dyDescent="0.2">
      <c r="A5617" s="5">
        <v>5556</v>
      </c>
      <c r="B5617" s="1831">
        <f>'Revenues 9-14'!F153</f>
        <v>18823</v>
      </c>
      <c r="D5617" s="2" t="str">
        <f t="shared" si="86"/>
        <v>Error?</v>
      </c>
    </row>
    <row r="5618" spans="1:5" x14ac:dyDescent="0.2">
      <c r="A5618" s="5">
        <v>5557</v>
      </c>
      <c r="B5618" s="1831">
        <f>'Revenues 9-14'!F155</f>
        <v>39535</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39535</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39535</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196605</v>
      </c>
      <c r="C5720" s="2" t="s">
        <v>569</v>
      </c>
      <c r="D5720" s="2" t="str">
        <f t="shared" si="88"/>
        <v>Error?</v>
      </c>
    </row>
    <row r="5721" spans="1:4" x14ac:dyDescent="0.2">
      <c r="A5721" s="5">
        <v>5660</v>
      </c>
      <c r="B5721" s="1831">
        <f>'Revenues 9-14'!G5</f>
        <v>59522</v>
      </c>
      <c r="D5721" s="2" t="str">
        <f t="shared" si="88"/>
        <v>Error?</v>
      </c>
    </row>
    <row r="5722" spans="1:4" x14ac:dyDescent="0.2">
      <c r="A5722" s="5">
        <v>5661</v>
      </c>
      <c r="B5722" s="1831">
        <f>'Revenues 9-14'!G7</f>
        <v>0</v>
      </c>
      <c r="D5722" s="2" t="str">
        <f t="shared" si="88"/>
        <v>Error?</v>
      </c>
    </row>
    <row r="5723" spans="1:4" x14ac:dyDescent="0.2">
      <c r="A5723" s="5">
        <v>5662</v>
      </c>
      <c r="B5723" s="1831">
        <f>'Revenues 9-14'!G8</f>
        <v>80683</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140205</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15750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15750</v>
      </c>
      <c r="C5730" s="2" t="s">
        <v>569</v>
      </c>
      <c r="D5730" s="2" t="str">
        <f t="shared" si="88"/>
        <v>Error?</v>
      </c>
    </row>
    <row r="5731" spans="1:4" x14ac:dyDescent="0.2">
      <c r="A5731" s="5">
        <v>5670</v>
      </c>
      <c r="B5731" s="1831">
        <f>'Revenues 9-14'!G65</f>
        <v>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155955</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5400</v>
      </c>
      <c r="D5885" s="2" t="str">
        <f t="shared" si="90"/>
        <v>Error?</v>
      </c>
    </row>
    <row r="5886" spans="1:4" x14ac:dyDescent="0.2">
      <c r="A5886" s="5">
        <v>5825</v>
      </c>
      <c r="B5886" s="1831">
        <f>'Revenues 9-14'!H108</f>
        <v>131744</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131744</v>
      </c>
      <c r="C5915" s="2" t="s">
        <v>569</v>
      </c>
      <c r="D5915" s="2" t="str">
        <f t="shared" si="91"/>
        <v>Error?</v>
      </c>
    </row>
    <row r="5916" spans="1:4" x14ac:dyDescent="0.2">
      <c r="A5916" s="5">
        <v>5855</v>
      </c>
      <c r="B5916" s="1831">
        <f>'Revenues 9-14'!I5</f>
        <v>16768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16768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16768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16768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16768</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16768</v>
      </c>
      <c r="C6023" s="2" t="s">
        <v>569</v>
      </c>
      <c r="D6023" s="2" t="str">
        <f t="shared" si="93"/>
        <v>Error?</v>
      </c>
    </row>
    <row r="6024" spans="1:5" x14ac:dyDescent="0.2">
      <c r="A6024" s="5">
        <v>5963</v>
      </c>
      <c r="B6024" s="1831">
        <f>'Revenues 9-14'!G109</f>
        <v>155955</v>
      </c>
      <c r="C6024" s="2" t="s">
        <v>569</v>
      </c>
      <c r="D6024" s="2" t="str">
        <f t="shared" si="93"/>
        <v>Error?</v>
      </c>
    </row>
    <row r="6025" spans="1:5" x14ac:dyDescent="0.2">
      <c r="A6025" s="5">
        <v>5964</v>
      </c>
      <c r="B6025" s="1831">
        <f>'Revenues 9-14'!H109</f>
        <v>131744</v>
      </c>
      <c r="C6025" s="2" t="s">
        <v>569</v>
      </c>
      <c r="D6025" s="2" t="str">
        <f t="shared" si="93"/>
        <v>Error?</v>
      </c>
    </row>
    <row r="6026" spans="1:5" x14ac:dyDescent="0.2">
      <c r="A6026" s="5">
        <v>5965</v>
      </c>
      <c r="B6026" s="1831">
        <f>'Revenues 9-14'!I109</f>
        <v>16768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16768</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9283</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169.2</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6013</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118653</v>
      </c>
      <c r="D6124" s="2" t="str">
        <f t="shared" si="94"/>
        <v>Error?</v>
      </c>
      <c r="E6124" s="2" t="s">
        <v>189</v>
      </c>
    </row>
    <row r="6125" spans="1:5" x14ac:dyDescent="0.2">
      <c r="A6125">
        <v>6064</v>
      </c>
      <c r="B6125" s="1831">
        <f>'Assets-Liab 5-6'!C25</f>
        <v>6013</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118653</v>
      </c>
      <c r="D6215" s="2" t="str">
        <f t="shared" si="96"/>
        <v>Error?</v>
      </c>
      <c r="E6215" s="2" t="s">
        <v>189</v>
      </c>
    </row>
    <row r="6216" spans="1:5" x14ac:dyDescent="0.2">
      <c r="A6216">
        <v>6155</v>
      </c>
      <c r="B6216" s="1831">
        <f>'Assets-Liab 5-6'!J41</f>
        <v>118653</v>
      </c>
      <c r="D6216" s="2" t="str">
        <f t="shared" si="96"/>
        <v>Error?</v>
      </c>
      <c r="E6216" s="2" t="s">
        <v>189</v>
      </c>
    </row>
    <row r="6217" spans="1:5" x14ac:dyDescent="0.2">
      <c r="A6217">
        <v>6156</v>
      </c>
      <c r="B6217" s="1831">
        <f>'Assets-Liab 5-6'!J4</f>
        <v>112640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388652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388652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388652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456474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456474</v>
      </c>
      <c r="D6229" s="2" t="str">
        <f t="shared" si="96"/>
        <v>Error?</v>
      </c>
      <c r="E6229" s="2" t="s">
        <v>189</v>
      </c>
    </row>
    <row r="6230" spans="1:5" x14ac:dyDescent="0.2">
      <c r="A6230">
        <v>6169</v>
      </c>
      <c r="B6230" s="1831">
        <f>'Acct Summary 7-8'!J20</f>
        <v>-67822</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-67822</v>
      </c>
      <c r="D6263" s="2" t="str">
        <f t="shared" si="96"/>
        <v>Error?</v>
      </c>
      <c r="E6263" s="2" t="s">
        <v>189</v>
      </c>
    </row>
    <row r="6264" spans="1:5" x14ac:dyDescent="0.2">
      <c r="A6264">
        <v>6203</v>
      </c>
      <c r="B6264" s="1831">
        <f>'Acct Summary 7-8'!J79</f>
        <v>186475</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118653</v>
      </c>
      <c r="D6266" s="2" t="str">
        <f t="shared" si="96"/>
        <v>Error?</v>
      </c>
      <c r="E6266" s="2" t="s">
        <v>189</v>
      </c>
    </row>
    <row r="6267" spans="1:5" x14ac:dyDescent="0.2">
      <c r="A6267">
        <v>6206</v>
      </c>
      <c r="B6267" s="1831">
        <f>'Acct Summary 7-8'!C82</f>
        <v>132089</v>
      </c>
      <c r="D6267" s="2" t="str">
        <f t="shared" si="96"/>
        <v>Error?</v>
      </c>
      <c r="E6267" s="2" t="s">
        <v>189</v>
      </c>
    </row>
    <row r="6268" spans="1:5" x14ac:dyDescent="0.2">
      <c r="A6268">
        <v>6207</v>
      </c>
      <c r="B6268" s="1831">
        <f>'Acct Summary 7-8'!D82</f>
        <v>-143481</v>
      </c>
      <c r="D6268" s="2" t="str">
        <f t="shared" si="96"/>
        <v>Error?</v>
      </c>
      <c r="E6268" s="2" t="s">
        <v>189</v>
      </c>
    </row>
    <row r="6269" spans="1:5" x14ac:dyDescent="0.2">
      <c r="A6269">
        <v>6208</v>
      </c>
      <c r="B6269" s="1831">
        <f>'Acct Summary 7-8'!E82</f>
        <v>52876</v>
      </c>
      <c r="D6269" s="2" t="str">
        <f t="shared" si="96"/>
        <v>Error?</v>
      </c>
      <c r="E6269" s="2" t="s">
        <v>189</v>
      </c>
    </row>
    <row r="6270" spans="1:5" x14ac:dyDescent="0.2">
      <c r="A6270">
        <v>6209</v>
      </c>
      <c r="B6270" s="1831">
        <f>'Acct Summary 7-8'!F82</f>
        <v>54937</v>
      </c>
      <c r="D6270" s="2" t="str">
        <f t="shared" si="96"/>
        <v>Error?</v>
      </c>
      <c r="E6270" s="2" t="s">
        <v>189</v>
      </c>
    </row>
    <row r="6271" spans="1:5" x14ac:dyDescent="0.2">
      <c r="A6271">
        <v>6210</v>
      </c>
      <c r="B6271" s="1831">
        <f>'Acct Summary 7-8'!G82</f>
        <v>55943</v>
      </c>
      <c r="D6271" s="2" t="str">
        <f t="shared" ref="D6271:D6334" si="97">IF(ISBLANK(B6271),"OK",IF(A6271-B6271=0,"OK","Error?"))</f>
        <v>Error?</v>
      </c>
      <c r="E6271" s="2" t="s">
        <v>189</v>
      </c>
    </row>
    <row r="6272" spans="1:5" x14ac:dyDescent="0.2">
      <c r="A6272">
        <v>6211</v>
      </c>
      <c r="B6272" s="1831">
        <f>'Acct Summary 7-8'!H82</f>
        <v>-74554</v>
      </c>
      <c r="D6272" s="2" t="str">
        <f t="shared" si="97"/>
        <v>Error?</v>
      </c>
      <c r="E6272" s="2" t="s">
        <v>189</v>
      </c>
    </row>
    <row r="6273" spans="1:5" x14ac:dyDescent="0.2">
      <c r="A6273">
        <v>6212</v>
      </c>
      <c r="B6273" s="1831">
        <f>'Acct Summary 7-8'!I82</f>
        <v>16768</v>
      </c>
      <c r="D6273" s="2" t="str">
        <f t="shared" si="97"/>
        <v>Error?</v>
      </c>
      <c r="E6273" s="2" t="s">
        <v>189</v>
      </c>
    </row>
    <row r="6274" spans="1:5" x14ac:dyDescent="0.2">
      <c r="A6274">
        <v>6213</v>
      </c>
      <c r="B6274" s="1831">
        <f>'Acct Summary 7-8'!J82</f>
        <v>-67822</v>
      </c>
      <c r="D6274" s="2" t="str">
        <f t="shared" si="97"/>
        <v>Error?</v>
      </c>
      <c r="E6274" s="2" t="s">
        <v>189</v>
      </c>
    </row>
    <row r="6275" spans="1:5" x14ac:dyDescent="0.2">
      <c r="A6275">
        <v>6214</v>
      </c>
      <c r="B6275" s="1831">
        <f>'Acct Summary 7-8'!K82</f>
        <v>5976</v>
      </c>
      <c r="D6275" s="2" t="str">
        <f t="shared" si="97"/>
        <v>Error?</v>
      </c>
      <c r="E6275" s="2" t="s">
        <v>189</v>
      </c>
    </row>
    <row r="6276" spans="1:5" x14ac:dyDescent="0.2">
      <c r="A6276">
        <v>6215</v>
      </c>
      <c r="B6276" s="1831">
        <f>'Acct Summary 7-8'!C83</f>
        <v>0.17384569218984847</v>
      </c>
      <c r="D6276" s="2" t="str">
        <f t="shared" si="97"/>
        <v>Error?</v>
      </c>
      <c r="E6276" s="2" t="s">
        <v>189</v>
      </c>
    </row>
    <row r="6277" spans="1:5" x14ac:dyDescent="0.2">
      <c r="A6277">
        <v>6216</v>
      </c>
      <c r="B6277" s="1831">
        <f>'Acct Summary 7-8'!D83</f>
        <v>-1.3882078620703</v>
      </c>
      <c r="D6277" s="2" t="str">
        <f t="shared" si="97"/>
        <v>Error?</v>
      </c>
      <c r="E6277" s="2" t="s">
        <v>189</v>
      </c>
    </row>
    <row r="6278" spans="1:5" x14ac:dyDescent="0.2">
      <c r="A6278">
        <v>6217</v>
      </c>
      <c r="B6278" s="1831">
        <f>'Acct Summary 7-8'!E83</f>
        <v>0.46558889828120598</v>
      </c>
      <c r="D6278" s="2" t="str">
        <f t="shared" si="97"/>
        <v>Error?</v>
      </c>
      <c r="E6278" s="2" t="s">
        <v>189</v>
      </c>
    </row>
    <row r="6279" spans="1:5" x14ac:dyDescent="0.2">
      <c r="A6279">
        <v>6218</v>
      </c>
      <c r="B6279" s="1831">
        <f>'Acct Summary 7-8'!F83</f>
        <v>0.17897878135313264</v>
      </c>
      <c r="D6279" s="2" t="str">
        <f t="shared" si="97"/>
        <v>Error?</v>
      </c>
      <c r="E6279" s="2" t="s">
        <v>189</v>
      </c>
    </row>
    <row r="6280" spans="1:5" x14ac:dyDescent="0.2">
      <c r="A6280">
        <v>6219</v>
      </c>
      <c r="B6280" s="1831">
        <f>'Acct Summary 7-8'!G83</f>
        <v>0.1456981756149649</v>
      </c>
      <c r="D6280" s="2" t="str">
        <f t="shared" si="97"/>
        <v>Error?</v>
      </c>
      <c r="E6280" s="2" t="s">
        <v>189</v>
      </c>
    </row>
    <row r="6281" spans="1:5" x14ac:dyDescent="0.2">
      <c r="A6281">
        <v>6220</v>
      </c>
      <c r="B6281" s="1831">
        <f>'Acct Summary 7-8'!H83</f>
        <v>-0.49979553392460901</v>
      </c>
      <c r="D6281" s="2" t="str">
        <f t="shared" si="97"/>
        <v>Error?</v>
      </c>
      <c r="E6281" s="2" t="s">
        <v>189</v>
      </c>
    </row>
    <row r="6282" spans="1:5" x14ac:dyDescent="0.2">
      <c r="A6282">
        <v>6221</v>
      </c>
      <c r="B6282" s="1831">
        <f>'Acct Summary 7-8'!I83</f>
        <v>0.12600129247508979</v>
      </c>
      <c r="D6282" s="2" t="str">
        <f t="shared" si="97"/>
        <v>Error?</v>
      </c>
      <c r="E6282" s="2" t="s">
        <v>189</v>
      </c>
    </row>
    <row r="6283" spans="1:5" x14ac:dyDescent="0.2">
      <c r="A6283">
        <v>6222</v>
      </c>
      <c r="B6283" s="1831">
        <f>'Acct Summary 7-8'!J83</f>
        <v>-0.57159953814905651</v>
      </c>
      <c r="D6283" s="2" t="str">
        <f t="shared" si="97"/>
        <v>Error?</v>
      </c>
      <c r="E6283" s="2" t="s">
        <v>189</v>
      </c>
    </row>
    <row r="6284" spans="1:5" x14ac:dyDescent="0.2">
      <c r="A6284">
        <v>6223</v>
      </c>
      <c r="B6284" s="1831">
        <f>'Acct Summary 7-8'!K83</f>
        <v>0.25275980205557669</v>
      </c>
      <c r="D6284" s="2" t="str">
        <f t="shared" si="97"/>
        <v>Error?</v>
      </c>
      <c r="E6284" s="2" t="s">
        <v>189</v>
      </c>
    </row>
    <row r="6285" spans="1:5" x14ac:dyDescent="0.2">
      <c r="A6285">
        <v>6224</v>
      </c>
      <c r="B6285" s="1831">
        <f>'Acct Summary 7-8'!E37</f>
        <v>6223</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359057</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359057</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1510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29595</v>
      </c>
      <c r="D6350" s="2" t="str">
        <f t="shared" si="98"/>
        <v>Error?</v>
      </c>
      <c r="E6350" s="2" t="s">
        <v>189</v>
      </c>
    </row>
    <row r="6351" spans="1:5" x14ac:dyDescent="0.2">
      <c r="A6351">
        <v>6290</v>
      </c>
      <c r="B6351" s="1831">
        <f>'Revenues 9-14'!J108</f>
        <v>29595</v>
      </c>
      <c r="D6351" s="2" t="str">
        <f t="shared" si="98"/>
        <v>Error?</v>
      </c>
      <c r="E6351" s="2" t="s">
        <v>189</v>
      </c>
    </row>
    <row r="6352" spans="1:5" x14ac:dyDescent="0.2">
      <c r="A6352">
        <v>6291</v>
      </c>
      <c r="B6352" s="1831">
        <f>'Revenues 9-14'!J109</f>
        <v>388652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50214</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63409</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15672</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31142</v>
      </c>
      <c r="D6983" s="2" t="str">
        <f t="shared" si="108"/>
        <v>Error?</v>
      </c>
    </row>
    <row r="6984" spans="1:4" x14ac:dyDescent="0.2">
      <c r="A6984">
        <v>6923</v>
      </c>
      <c r="B6984" s="1831">
        <f>'Expenditures 15-22'!K86</f>
        <v>31142</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31142</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456474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388652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2938</v>
      </c>
      <c r="D7073" s="2" t="str">
        <f t="shared" si="109"/>
        <v>Error?</v>
      </c>
    </row>
    <row r="7074" spans="1:4" x14ac:dyDescent="0.2">
      <c r="A7074">
        <v>7013</v>
      </c>
      <c r="B7074" s="1831">
        <f>'Expenditures 15-22'!K216</f>
        <v>2938</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6</v>
      </c>
      <c r="D7079" s="2" t="str">
        <f t="shared" si="109"/>
        <v>Error?</v>
      </c>
    </row>
    <row r="7080" spans="1:4" x14ac:dyDescent="0.2">
      <c r="A7080">
        <v>7019</v>
      </c>
      <c r="B7080" s="1831">
        <f>'Expenditures 15-22'!K226</f>
        <v>6</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12983</v>
      </c>
      <c r="D7093" s="2" t="str">
        <f t="shared" si="109"/>
        <v>Error?</v>
      </c>
    </row>
    <row r="7094" spans="1:4" x14ac:dyDescent="0.2">
      <c r="A7094">
        <v>7033</v>
      </c>
      <c r="B7094" s="1831">
        <f>'Expenditures 15-22'!K254</f>
        <v>12983</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16173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16173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4319</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4319</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27718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27718</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34960</v>
      </c>
      <c r="D7157" s="2" t="str">
        <f t="shared" si="110"/>
        <v>Error?</v>
      </c>
    </row>
    <row r="7158" spans="1:4" x14ac:dyDescent="0.2">
      <c r="A7158">
        <v>7097</v>
      </c>
      <c r="B7158" s="1831">
        <f>'Expenditures 15-22'!G323</f>
        <v>235438</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270398</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111886</v>
      </c>
      <c r="D7172" s="2" t="str">
        <f t="shared" si="111"/>
        <v>Error?</v>
      </c>
    </row>
    <row r="7173" spans="1:4" x14ac:dyDescent="0.2">
      <c r="A7173">
        <v>7112</v>
      </c>
      <c r="B7173" s="1831">
        <f>'Expenditures 15-22'!D325</f>
        <v>23045</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134931</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2935</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2935</v>
      </c>
      <c r="D7198" s="2" t="str">
        <f t="shared" si="111"/>
        <v>Error?</v>
      </c>
    </row>
    <row r="7199" spans="1:4" x14ac:dyDescent="0.2">
      <c r="A7199">
        <v>7138</v>
      </c>
      <c r="B7199" s="1831">
        <f>'Expenditures 15-22'!C330</f>
        <v>111886</v>
      </c>
      <c r="D7199" s="2" t="str">
        <f t="shared" si="111"/>
        <v>Error?</v>
      </c>
    </row>
    <row r="7200" spans="1:4" x14ac:dyDescent="0.2">
      <c r="A7200">
        <v>7139</v>
      </c>
      <c r="B7200" s="1831">
        <f>'Expenditures 15-22'!D330</f>
        <v>23045</v>
      </c>
      <c r="D7200" s="2" t="str">
        <f t="shared" si="111"/>
        <v>Error?</v>
      </c>
    </row>
    <row r="7201" spans="1:4" x14ac:dyDescent="0.2">
      <c r="A7201">
        <v>7140</v>
      </c>
      <c r="B7201" s="1831">
        <f>'Expenditures 15-22'!E330</f>
        <v>51145</v>
      </c>
      <c r="D7201" s="2" t="str">
        <f t="shared" si="111"/>
        <v>Error?</v>
      </c>
    </row>
    <row r="7202" spans="1:4" x14ac:dyDescent="0.2">
      <c r="A7202">
        <v>7141</v>
      </c>
      <c r="B7202" s="1831">
        <f>'Expenditures 15-22'!F330</f>
        <v>34960</v>
      </c>
      <c r="D7202" s="2" t="str">
        <f t="shared" si="111"/>
        <v>Error?</v>
      </c>
    </row>
    <row r="7203" spans="1:4" x14ac:dyDescent="0.2">
      <c r="A7203">
        <v>7142</v>
      </c>
      <c r="B7203" s="1831">
        <f>'Expenditures 15-22'!G330</f>
        <v>235438</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456474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111886</v>
      </c>
      <c r="D7216" s="2" t="str">
        <f t="shared" si="111"/>
        <v>Error?</v>
      </c>
    </row>
    <row r="7217" spans="1:4" x14ac:dyDescent="0.2">
      <c r="A7217">
        <v>7156</v>
      </c>
      <c r="B7217" s="1831">
        <f>'Expenditures 15-22'!D342</f>
        <v>23045</v>
      </c>
      <c r="D7217" s="2" t="str">
        <f t="shared" si="111"/>
        <v>Error?</v>
      </c>
    </row>
    <row r="7218" spans="1:4" x14ac:dyDescent="0.2">
      <c r="A7218">
        <v>7157</v>
      </c>
      <c r="B7218" s="1831">
        <f>'Expenditures 15-22'!E342</f>
        <v>51145</v>
      </c>
      <c r="D7218" s="2" t="str">
        <f t="shared" si="111"/>
        <v>Error?</v>
      </c>
    </row>
    <row r="7219" spans="1:4" x14ac:dyDescent="0.2">
      <c r="A7219">
        <v>7158</v>
      </c>
      <c r="B7219" s="1831">
        <f>'Expenditures 15-22'!F342</f>
        <v>34960</v>
      </c>
      <c r="D7219" s="2" t="str">
        <f t="shared" si="111"/>
        <v>Error?</v>
      </c>
    </row>
    <row r="7220" spans="1:4" x14ac:dyDescent="0.2">
      <c r="A7220">
        <v>7159</v>
      </c>
      <c r="B7220" s="1831">
        <f>'Expenditures 15-22'!G342</f>
        <v>235438</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456474</v>
      </c>
      <c r="D7224" s="2" t="str">
        <f t="shared" si="111"/>
        <v>Error?</v>
      </c>
    </row>
    <row r="7225" spans="1:4" x14ac:dyDescent="0.2">
      <c r="A7225">
        <v>7164</v>
      </c>
      <c r="B7225" s="1831">
        <f>'Expenditures 15-22'!K343</f>
        <v>-67822</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11977</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1218</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3624</v>
      </c>
      <c r="D7263" s="2" t="str">
        <f t="shared" si="112"/>
        <v>Error?</v>
      </c>
    </row>
    <row r="7264" spans="1:4" x14ac:dyDescent="0.2">
      <c r="A7264">
        <f t="shared" si="113"/>
        <v>7203</v>
      </c>
      <c r="B7264" s="1831">
        <f>'Expenditures 15-22'!D17</f>
        <v>75</v>
      </c>
      <c r="D7264" s="2" t="str">
        <f t="shared" si="112"/>
        <v>Error?</v>
      </c>
    </row>
    <row r="7265" spans="1:5" x14ac:dyDescent="0.2">
      <c r="A7265">
        <f t="shared" si="113"/>
        <v>7204</v>
      </c>
      <c r="B7265" s="1831">
        <f>'Expenditures 15-22'!E17</f>
        <v>931</v>
      </c>
      <c r="D7265" s="2" t="str">
        <f t="shared" si="112"/>
        <v>Error?</v>
      </c>
    </row>
    <row r="7266" spans="1:5" x14ac:dyDescent="0.2">
      <c r="A7266">
        <f t="shared" si="113"/>
        <v>7205</v>
      </c>
      <c r="B7266" s="1831">
        <f>'Expenditures 15-22'!F17</f>
        <v>67</v>
      </c>
      <c r="D7266" s="2" t="str">
        <f t="shared" si="112"/>
        <v>Error?</v>
      </c>
    </row>
    <row r="7267" spans="1:5" x14ac:dyDescent="0.2">
      <c r="A7267">
        <f t="shared" si="113"/>
        <v>7206</v>
      </c>
      <c r="B7267" s="1831">
        <f>'Expenditures 15-22'!G17</f>
        <v>10975</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7745</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7745</v>
      </c>
      <c r="D7609" s="2" t="str">
        <f t="shared" si="122"/>
        <v>Error?</v>
      </c>
      <c r="E7609" s="2" t="s">
        <v>19</v>
      </c>
    </row>
    <row r="7610" spans="1:5" x14ac:dyDescent="0.2">
      <c r="A7610">
        <f t="shared" si="123"/>
        <v>7549</v>
      </c>
      <c r="B7610" s="1831">
        <f>'Cap Outlay Deprec 26'!H9</f>
        <v>194</v>
      </c>
      <c r="D7610" s="2" t="str">
        <f t="shared" si="122"/>
        <v>Error?</v>
      </c>
      <c r="E7610" s="2" t="s">
        <v>19</v>
      </c>
    </row>
    <row r="7611" spans="1:5" x14ac:dyDescent="0.2">
      <c r="A7611">
        <f t="shared" si="123"/>
        <v>7550</v>
      </c>
      <c r="B7611" s="1831">
        <f>'Cap Outlay Deprec 26'!I9</f>
        <v>387</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581</v>
      </c>
      <c r="D7613" s="2" t="str">
        <f t="shared" si="122"/>
        <v>Error?</v>
      </c>
      <c r="E7613" s="2" t="s">
        <v>19</v>
      </c>
    </row>
    <row r="7614" spans="1:5" x14ac:dyDescent="0.2">
      <c r="A7614">
        <f t="shared" si="123"/>
        <v>7553</v>
      </c>
      <c r="B7614" s="1831">
        <f>'Cap Outlay Deprec 26'!L9</f>
        <v>7164</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101419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6223</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223723</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1510</v>
      </c>
      <c r="D7712" s="2" t="str">
        <f t="shared" si="126"/>
        <v>Error?</v>
      </c>
      <c r="E7712" s="2" t="s">
        <v>822</v>
      </c>
    </row>
    <row r="7713" spans="1:6" x14ac:dyDescent="0.2">
      <c r="A7713">
        <v>7652</v>
      </c>
      <c r="B7713" s="1831">
        <f>'Rest Tax Levies-Tort Im 25'!J8</f>
        <v>126344</v>
      </c>
      <c r="D7713" s="2" t="str">
        <f t="shared" si="126"/>
        <v>Error?</v>
      </c>
      <c r="E7713" s="2" t="s">
        <v>822</v>
      </c>
    </row>
    <row r="7714" spans="1:6" x14ac:dyDescent="0.2">
      <c r="A7714">
        <v>7653</v>
      </c>
      <c r="B7714" s="1831">
        <f>'Rest Tax Levies-Tort Im 25'!K9</f>
        <v>2114</v>
      </c>
      <c r="D7714" s="2" t="str">
        <f t="shared" si="126"/>
        <v>Error?</v>
      </c>
      <c r="E7714" s="2" t="s">
        <v>822</v>
      </c>
    </row>
    <row r="7715" spans="1:6" x14ac:dyDescent="0.2">
      <c r="A7715">
        <v>7654</v>
      </c>
      <c r="B7715" s="1831">
        <f>'Rest Tax Levies-Tort Im 25'!J10</f>
        <v>5400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131744</v>
      </c>
      <c r="D7718" s="2" t="str">
        <f t="shared" si="126"/>
        <v>Error?</v>
      </c>
      <c r="E7718" s="2" t="s">
        <v>822</v>
      </c>
    </row>
    <row r="7719" spans="1:6" x14ac:dyDescent="0.2">
      <c r="A7719">
        <v>7658</v>
      </c>
      <c r="B7719" s="1831">
        <f>'Rest Tax Levies-Tort Im 25'!K12</f>
        <v>3624</v>
      </c>
      <c r="D7719" s="2" t="str">
        <f t="shared" si="126"/>
        <v>Error?</v>
      </c>
      <c r="E7719" s="2" t="s">
        <v>822</v>
      </c>
    </row>
    <row r="7720" spans="1:6" x14ac:dyDescent="0.2">
      <c r="A7720">
        <v>7659</v>
      </c>
      <c r="B7720" s="1831">
        <f>'Rest Tax Levies-Tort Im 25'!H14</f>
        <v>13421</v>
      </c>
      <c r="D7720" s="2" t="str">
        <f t="shared" si="126"/>
        <v>Error?</v>
      </c>
      <c r="E7720" s="2" t="s">
        <v>822</v>
      </c>
    </row>
    <row r="7721" spans="1:6" x14ac:dyDescent="0.2">
      <c r="A7721">
        <v>7660</v>
      </c>
      <c r="B7721" s="1831">
        <f>'Rest Tax Levies-Tort Im 25'!K14</f>
        <v>3624</v>
      </c>
      <c r="D7721" s="2" t="str">
        <f t="shared" si="126"/>
        <v>Error?</v>
      </c>
      <c r="E7721" s="2" t="s">
        <v>822</v>
      </c>
    </row>
    <row r="7722" spans="1:6" x14ac:dyDescent="0.2">
      <c r="A7722">
        <v>7661</v>
      </c>
      <c r="B7722" s="1831">
        <f>'Rest Tax Levies-Tort Im 25'!J15</f>
        <v>206298</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206298</v>
      </c>
      <c r="D7730" s="2" t="str">
        <f t="shared" si="126"/>
        <v>Error?</v>
      </c>
      <c r="E7730" s="2" t="s">
        <v>822</v>
      </c>
    </row>
    <row r="7731" spans="1:6" x14ac:dyDescent="0.2">
      <c r="A7731">
        <v>7670</v>
      </c>
      <c r="B7731" s="1831">
        <f>'Revenues 9-14'!H103</f>
        <v>126344</v>
      </c>
      <c r="D7731" s="2" t="str">
        <f t="shared" si="126"/>
        <v>Error?</v>
      </c>
      <c r="E7731" s="2" t="s">
        <v>822</v>
      </c>
    </row>
    <row r="7732" spans="1:6" x14ac:dyDescent="0.2">
      <c r="A7732">
        <v>7671</v>
      </c>
      <c r="B7732" s="1831">
        <f>'Rest Tax Levies-Tort Im 25'!J24</f>
        <v>149169</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149169</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3624</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818669</v>
      </c>
      <c r="D7817" s="2" t="str">
        <f t="shared" si="128"/>
        <v>Error?</v>
      </c>
      <c r="E7817" s="4" t="s">
        <v>1969</v>
      </c>
    </row>
    <row r="7818" spans="1:5" x14ac:dyDescent="0.2">
      <c r="A7818">
        <v>7757</v>
      </c>
      <c r="B7818" s="1831">
        <f>'PCTC-OEPP 27-28'!F172</f>
        <v>71199</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-4515</v>
      </c>
      <c r="D7820" s="2" t="str">
        <f t="shared" si="128"/>
        <v>Error?</v>
      </c>
    </row>
    <row r="7821" spans="1:5" x14ac:dyDescent="0.2">
      <c r="A7821">
        <v>7760</v>
      </c>
      <c r="B7821" s="1831">
        <f>'ICR Computation 30'!G40</f>
        <v>-4515</v>
      </c>
      <c r="D7821" s="2" t="str">
        <f t="shared" si="128"/>
        <v>Error?</v>
      </c>
    </row>
    <row r="7822" spans="1:5" x14ac:dyDescent="0.2">
      <c r="A7822" s="1">
        <v>7761</v>
      </c>
      <c r="B7822" s="1831">
        <f>'PCTC-OEPP 27-28'!F14</f>
        <v>3541911</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63409</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609534</v>
      </c>
      <c r="D7834" s="2" t="str">
        <f t="shared" si="129"/>
        <v>Error?</v>
      </c>
      <c r="E7834" s="4" t="s">
        <v>2001</v>
      </c>
    </row>
    <row r="7835" spans="1:5" x14ac:dyDescent="0.2">
      <c r="A7835">
        <v>7774</v>
      </c>
      <c r="B7835" s="1831">
        <f>'PCTC-OEPP 27-28'!F78</f>
        <v>2932377</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17330.833333333336</v>
      </c>
      <c r="D7837" s="2" t="str">
        <f t="shared" si="129"/>
        <v>Error?</v>
      </c>
      <c r="E7837" s="4" t="s">
        <v>2001</v>
      </c>
    </row>
    <row r="7838" spans="1:5" x14ac:dyDescent="0.2">
      <c r="A7838">
        <v>7777</v>
      </c>
      <c r="B7838" s="1831">
        <f>'PCTC-OEPP 27-28'!F96</f>
        <v>10162</v>
      </c>
      <c r="D7838" s="2" t="str">
        <f t="shared" si="129"/>
        <v>Error?</v>
      </c>
      <c r="E7838" s="4" t="s">
        <v>2001</v>
      </c>
    </row>
    <row r="7839" spans="1:5" x14ac:dyDescent="0.2">
      <c r="A7839">
        <v>7778</v>
      </c>
      <c r="B7839" s="1831">
        <f>'PCTC-OEPP 27-28'!F102</f>
        <v>1500</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8246</v>
      </c>
      <c r="D7842" s="2" t="str">
        <f t="shared" si="129"/>
        <v>Error?</v>
      </c>
      <c r="E7842" s="4" t="s">
        <v>2001</v>
      </c>
    </row>
    <row r="7843" spans="1:5" x14ac:dyDescent="0.2">
      <c r="A7843">
        <v>7782</v>
      </c>
      <c r="B7843" s="1831">
        <f>'PCTC-OEPP 27-28'!F107</f>
        <v>0</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2114</v>
      </c>
      <c r="D7846" s="2" t="str">
        <f t="shared" si="129"/>
        <v>Error?</v>
      </c>
      <c r="E7846" s="4" t="s">
        <v>2001</v>
      </c>
    </row>
    <row r="7847" spans="1:5" x14ac:dyDescent="0.2">
      <c r="A7847">
        <v>7786</v>
      </c>
      <c r="B7847" s="1831">
        <f>'PCTC-OEPP 27-28'!F112</f>
        <v>39535</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9459</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73749</v>
      </c>
      <c r="D7858" s="2" t="str">
        <f t="shared" si="129"/>
        <v>Error?</v>
      </c>
      <c r="E7858" s="4" t="s">
        <v>2001</v>
      </c>
    </row>
    <row r="7859" spans="1:5" x14ac:dyDescent="0.2">
      <c r="A7859">
        <v>7798</v>
      </c>
      <c r="B7859" s="1831">
        <f>'PCTC-OEPP 27-28'!F127</f>
        <v>138149</v>
      </c>
      <c r="D7859" s="2" t="str">
        <f t="shared" si="129"/>
        <v>Error?</v>
      </c>
      <c r="E7859" s="4" t="s">
        <v>2001</v>
      </c>
    </row>
    <row r="7860" spans="1:5" x14ac:dyDescent="0.2">
      <c r="A7860">
        <v>7799</v>
      </c>
      <c r="B7860" s="1831">
        <f>'PCTC-OEPP 27-28'!F128</f>
        <v>15580</v>
      </c>
      <c r="D7860" s="2" t="str">
        <f t="shared" si="129"/>
        <v>Error?</v>
      </c>
      <c r="E7860" s="4" t="s">
        <v>2001</v>
      </c>
    </row>
    <row r="7861" spans="1:5" x14ac:dyDescent="0.2">
      <c r="A7861">
        <v>7800</v>
      </c>
      <c r="B7861" s="1831">
        <f>'PCTC-OEPP 27-28'!F129</f>
        <v>0</v>
      </c>
      <c r="D7861" s="2" t="str">
        <f t="shared" si="129"/>
        <v>Error?</v>
      </c>
      <c r="E7861" s="4" t="s">
        <v>2001</v>
      </c>
    </row>
    <row r="7862" spans="1:5" x14ac:dyDescent="0.2">
      <c r="A7862">
        <v>7801</v>
      </c>
      <c r="B7862" s="1831">
        <f>'PCTC-OEPP 27-28'!F130</f>
        <v>0</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8470</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8474</v>
      </c>
      <c r="D7874" s="2" t="str">
        <f t="shared" si="129"/>
        <v>Error?</v>
      </c>
      <c r="E7874" s="4" t="s">
        <v>2001</v>
      </c>
    </row>
    <row r="7875" spans="1:5" x14ac:dyDescent="0.2">
      <c r="A7875">
        <v>7814</v>
      </c>
      <c r="B7875" s="1831">
        <f>'PCTC-OEPP 27-28'!F170</f>
        <v>12472</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411680</v>
      </c>
      <c r="D7877" s="2" t="str">
        <f t="shared" si="129"/>
        <v>Error?</v>
      </c>
      <c r="E7877" s="4" t="s">
        <v>2001</v>
      </c>
    </row>
    <row r="7878" spans="1:5" x14ac:dyDescent="0.2">
      <c r="A7878">
        <v>7817</v>
      </c>
      <c r="B7878" s="1831">
        <f>'PCTC-OEPP 27-28'!F176</f>
        <v>2520697</v>
      </c>
      <c r="D7878" s="2" t="str">
        <f t="shared" si="129"/>
        <v>Error?</v>
      </c>
      <c r="E7878" s="4" t="s">
        <v>2001</v>
      </c>
    </row>
    <row r="7879" spans="1:5" x14ac:dyDescent="0.2">
      <c r="A7879">
        <v>7818</v>
      </c>
      <c r="B7879" s="1831">
        <f>'PCTC-OEPP 27-28'!F178</f>
        <v>2622116</v>
      </c>
      <c r="D7879" s="2" t="str">
        <f t="shared" si="129"/>
        <v>Error?</v>
      </c>
      <c r="E7879" s="4" t="s">
        <v>2001</v>
      </c>
    </row>
    <row r="7880" spans="1:5" x14ac:dyDescent="0.2">
      <c r="A7880">
        <v>7819</v>
      </c>
      <c r="B7880" s="1831">
        <f>'PCTC-OEPP 27-28'!F180</f>
        <v>15497.139479905438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235438</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7" t="s">
        <v>1183</v>
      </c>
      <c r="B2" s="2517"/>
      <c r="C2" s="2517"/>
      <c r="D2" s="2517"/>
      <c r="E2" s="2517"/>
      <c r="F2" s="2517"/>
      <c r="G2" s="2517"/>
      <c r="H2" s="2517"/>
      <c r="I2" s="2517"/>
      <c r="J2" s="2517"/>
      <c r="K2" s="2517"/>
      <c r="L2" s="2517"/>
    </row>
    <row r="3" spans="1:29" ht="13.5" customHeight="1" x14ac:dyDescent="0.2">
      <c r="A3" s="2549" t="s">
        <v>1182</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540" t="str">
        <f>COVER!A17</f>
        <v>Meredosia- Chambersburg CUSD 11</v>
      </c>
      <c r="B7" s="2541"/>
      <c r="C7" s="2541"/>
      <c r="D7" s="2542"/>
      <c r="E7" s="2543">
        <f>COVER!A13</f>
        <v>1069011026</v>
      </c>
      <c r="F7" s="2544"/>
      <c r="G7" s="2550" t="str">
        <f>COVER!T23</f>
        <v>066-004993</v>
      </c>
      <c r="H7" s="2551"/>
      <c r="I7" s="2551"/>
      <c r="J7" s="2551"/>
      <c r="K7" s="2551"/>
      <c r="L7" s="2552"/>
    </row>
    <row r="8" spans="1:29" ht="13.5" customHeight="1" x14ac:dyDescent="0.2">
      <c r="A8" s="962" t="s">
        <v>1503</v>
      </c>
      <c r="B8" s="963"/>
      <c r="C8" s="964"/>
      <c r="D8" s="964"/>
      <c r="E8" s="969"/>
      <c r="F8" s="968"/>
      <c r="G8" s="970" t="s">
        <v>1178</v>
      </c>
      <c r="H8" s="971"/>
      <c r="I8" s="971"/>
      <c r="J8" s="971"/>
      <c r="K8" s="971"/>
      <c r="L8" s="972"/>
    </row>
    <row r="9" spans="1:29" ht="13.5" customHeight="1" x14ac:dyDescent="0.2">
      <c r="A9" s="2553"/>
      <c r="B9" s="2554"/>
      <c r="C9" s="2554"/>
      <c r="D9" s="2554"/>
      <c r="E9" s="2554"/>
      <c r="F9" s="2555"/>
      <c r="G9" s="2523" t="str">
        <f>COVER!T13</f>
        <v>Zumbahlen, Eyth, Surratt, Foote &amp; Flynn, Ltd.</v>
      </c>
      <c r="H9" s="2556"/>
      <c r="I9" s="2556"/>
      <c r="J9" s="2556"/>
      <c r="K9" s="2556"/>
      <c r="L9" s="2557"/>
    </row>
    <row r="10" spans="1:29" ht="13.5" customHeight="1" x14ac:dyDescent="0.2">
      <c r="A10" s="2529" t="str">
        <f>COVER!A38</f>
        <v>Thad Walker</v>
      </c>
      <c r="B10" s="2530"/>
      <c r="C10" s="2530"/>
      <c r="D10" s="2530"/>
      <c r="E10" s="2530"/>
      <c r="F10" s="2531"/>
      <c r="G10" s="2523" t="str">
        <f>COVER!T17</f>
        <v>1395 Lincoln Ave</v>
      </c>
      <c r="H10" s="2524"/>
      <c r="I10" s="2524"/>
      <c r="J10" s="2524"/>
      <c r="K10" s="2524"/>
      <c r="L10" s="2525"/>
    </row>
    <row r="11" spans="1:29" ht="13.5" customHeight="1" x14ac:dyDescent="0.2">
      <c r="A11" s="962" t="s">
        <v>1505</v>
      </c>
      <c r="B11" s="963"/>
      <c r="C11" s="964"/>
      <c r="D11" s="969"/>
      <c r="E11" s="964"/>
      <c r="F11" s="968"/>
      <c r="G11" s="2523" t="str">
        <f>COVER!T19</f>
        <v>Jacksonville</v>
      </c>
      <c r="H11" s="2524"/>
      <c r="I11" s="2524"/>
      <c r="J11" s="2524"/>
      <c r="K11" s="2524"/>
      <c r="L11" s="2525"/>
    </row>
    <row r="12" spans="1:29" ht="13.5" customHeight="1" x14ac:dyDescent="0.2">
      <c r="A12" s="2532" t="s">
        <v>1504</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1506</v>
      </c>
      <c r="H13" s="2519"/>
      <c r="I13" s="2535" t="str">
        <f>COVER!T25</f>
        <v>awithee@zescpa.com</v>
      </c>
      <c r="J13" s="2536"/>
      <c r="K13" s="2536"/>
      <c r="L13" s="2537"/>
    </row>
    <row r="14" spans="1:29" ht="13.5" customHeight="1" x14ac:dyDescent="0.2">
      <c r="A14" s="2523" t="str">
        <f>COVER!A19</f>
        <v>830 Main Street</v>
      </c>
      <c r="B14" s="2524"/>
      <c r="C14" s="2524"/>
      <c r="D14" s="2524"/>
      <c r="E14" s="2524"/>
      <c r="F14" s="2525"/>
      <c r="G14" s="973" t="s">
        <v>1177</v>
      </c>
      <c r="H14" s="971"/>
      <c r="I14" s="971"/>
      <c r="J14" s="971"/>
      <c r="K14" s="971"/>
      <c r="L14" s="972"/>
    </row>
    <row r="15" spans="1:29" ht="13.5" customHeight="1" x14ac:dyDescent="0.2">
      <c r="A15" s="2523" t="str">
        <f>COVER!A21</f>
        <v>Meredosia</v>
      </c>
      <c r="B15" s="2524"/>
      <c r="C15" s="2524"/>
      <c r="D15" s="2524"/>
      <c r="E15" s="2524"/>
      <c r="F15" s="2525"/>
      <c r="G15" s="2520" t="str">
        <f>COVER!T15</f>
        <v>Adam R. Withee</v>
      </c>
      <c r="H15" s="2521"/>
      <c r="I15" s="2521"/>
      <c r="J15" s="2521"/>
      <c r="K15" s="2521"/>
      <c r="L15" s="2522"/>
    </row>
    <row r="16" spans="1:29" ht="12.2" customHeight="1" x14ac:dyDescent="0.2">
      <c r="A16" s="2546">
        <f>COVER!A25</f>
        <v>62665</v>
      </c>
      <c r="B16" s="2547"/>
      <c r="C16" s="2547"/>
      <c r="D16" s="2547"/>
      <c r="E16" s="2547"/>
      <c r="F16" s="2548"/>
      <c r="G16" s="2558"/>
      <c r="H16" s="2559"/>
      <c r="I16" s="2559"/>
      <c r="J16" s="2559"/>
      <c r="K16" s="2559"/>
      <c r="L16" s="2560"/>
    </row>
    <row r="17" spans="1:13" ht="12.2" customHeight="1" x14ac:dyDescent="0.2">
      <c r="A17" s="2561"/>
      <c r="B17" s="2547"/>
      <c r="C17" s="2547"/>
      <c r="D17" s="2547"/>
      <c r="E17" s="2547"/>
      <c r="F17" s="2548"/>
      <c r="G17" s="973" t="s">
        <v>1176</v>
      </c>
      <c r="H17" s="971"/>
      <c r="I17" s="971"/>
      <c r="J17" s="971"/>
      <c r="K17" s="975" t="s">
        <v>1175</v>
      </c>
      <c r="L17" s="968"/>
      <c r="M17" s="961"/>
    </row>
    <row r="18" spans="1:13" ht="12.2" customHeight="1" x14ac:dyDescent="0.2">
      <c r="A18" s="2529"/>
      <c r="B18" s="2530"/>
      <c r="C18" s="2530"/>
      <c r="D18" s="2530"/>
      <c r="E18" s="2530"/>
      <c r="F18" s="2531"/>
      <c r="G18" s="2540" t="str">
        <f>COVER!T21</f>
        <v>217-245-5121</v>
      </c>
      <c r="H18" s="2541"/>
      <c r="I18" s="2541"/>
      <c r="J18" s="2541"/>
      <c r="K18" s="2540" t="str">
        <f>COVER!X21</f>
        <v>217-243-3356</v>
      </c>
      <c r="L18" s="2545"/>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1679</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1680</v>
      </c>
    </row>
    <row r="27" spans="1:13" s="976" customFormat="1" ht="9" customHeight="1" x14ac:dyDescent="0.2">
      <c r="B27" s="981"/>
      <c r="C27" s="980"/>
    </row>
    <row r="28" spans="1:13" s="976" customFormat="1" ht="12.2" customHeight="1" x14ac:dyDescent="0.2">
      <c r="A28" s="983"/>
      <c r="B28" s="979"/>
      <c r="C28" s="980" t="s">
        <v>1681</v>
      </c>
    </row>
    <row r="29" spans="1:13" s="976" customFormat="1" ht="9" customHeight="1" x14ac:dyDescent="0.2">
      <c r="A29" s="983"/>
      <c r="B29" s="981"/>
      <c r="C29" s="980"/>
    </row>
    <row r="30" spans="1:13" s="976" customFormat="1" ht="12.2" customHeight="1" x14ac:dyDescent="0.2">
      <c r="B30" s="979"/>
      <c r="C30" s="980" t="s">
        <v>1548</v>
      </c>
      <c r="D30" s="974"/>
      <c r="E30" s="974"/>
    </row>
    <row r="31" spans="1:13" s="976" customFormat="1" ht="9" customHeight="1" x14ac:dyDescent="0.2">
      <c r="B31" s="981"/>
      <c r="C31" s="980"/>
      <c r="D31" s="974"/>
      <c r="E31" s="974"/>
    </row>
    <row r="32" spans="1:13" s="976" customFormat="1" ht="12.2" customHeight="1" x14ac:dyDescent="0.2">
      <c r="B32" s="979"/>
      <c r="C32" s="980" t="s">
        <v>1549</v>
      </c>
      <c r="D32" s="974"/>
      <c r="E32" s="974"/>
    </row>
    <row r="33" spans="1:8" s="976" customFormat="1" ht="10.9" customHeight="1" x14ac:dyDescent="0.2">
      <c r="B33" s="981"/>
      <c r="C33" s="984" t="s">
        <v>1682</v>
      </c>
      <c r="D33" s="974"/>
      <c r="E33" s="974"/>
    </row>
    <row r="34" spans="1:8" ht="9" customHeight="1" x14ac:dyDescent="0.2">
      <c r="B34" s="981"/>
      <c r="C34" s="984"/>
    </row>
    <row r="35" spans="1:8" s="976" customFormat="1" ht="13.5" customHeight="1" x14ac:dyDescent="0.2">
      <c r="B35" s="979"/>
      <c r="C35" s="980" t="s">
        <v>1550</v>
      </c>
    </row>
    <row r="36" spans="1:8" s="976" customFormat="1" ht="10.9" customHeight="1" x14ac:dyDescent="0.2">
      <c r="B36" s="981"/>
      <c r="C36" s="984" t="s">
        <v>1551</v>
      </c>
    </row>
    <row r="37" spans="1:8" ht="9" customHeight="1" x14ac:dyDescent="0.2">
      <c r="B37" s="981"/>
      <c r="C37" s="984"/>
    </row>
    <row r="38" spans="1:8" s="976" customFormat="1" ht="12.2" customHeight="1" x14ac:dyDescent="0.2">
      <c r="B38" s="979"/>
      <c r="C38" s="980" t="s">
        <v>1552</v>
      </c>
    </row>
    <row r="39" spans="1:8" ht="9" customHeight="1" x14ac:dyDescent="0.2">
      <c r="B39" s="981"/>
      <c r="C39" s="984"/>
    </row>
    <row r="40" spans="1:8" s="976" customFormat="1" ht="13.5" customHeight="1" x14ac:dyDescent="0.2">
      <c r="B40" s="979"/>
      <c r="C40" s="980" t="s">
        <v>1553</v>
      </c>
    </row>
    <row r="41" spans="1:8" ht="9" customHeight="1" x14ac:dyDescent="0.2">
      <c r="A41" s="985"/>
      <c r="B41" s="981"/>
      <c r="C41" s="984"/>
    </row>
    <row r="42" spans="1:8" s="976" customFormat="1" ht="13.5" customHeight="1" x14ac:dyDescent="0.2">
      <c r="B42" s="979"/>
      <c r="C42" s="980" t="s">
        <v>1812</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1554</v>
      </c>
      <c r="D46" s="974"/>
      <c r="E46" s="974"/>
      <c r="F46" s="974"/>
      <c r="G46" s="974"/>
      <c r="H46" s="974"/>
    </row>
    <row r="47" spans="1:8" ht="9" customHeight="1" x14ac:dyDescent="0.2"/>
    <row r="48" spans="1:8" ht="12.2" customHeight="1" x14ac:dyDescent="0.2">
      <c r="B48" s="1540"/>
      <c r="C48" s="988" t="s">
        <v>1555</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2" t="str">
        <f>'Single Audit Cover'!A7</f>
        <v>Meredosia- Chambersburg CUSD 11</v>
      </c>
      <c r="B1" s="2563"/>
      <c r="C1" s="2563"/>
      <c r="D1" s="2563"/>
    </row>
    <row r="2" spans="1:11" s="990" customFormat="1" ht="12.75" x14ac:dyDescent="0.2">
      <c r="A2" s="2564">
        <f>'Single Audit Cover'!E7</f>
        <v>1069011026</v>
      </c>
      <c r="B2" s="2565"/>
      <c r="C2" s="2565"/>
      <c r="D2" s="2565"/>
    </row>
    <row r="3" spans="1:11" s="990" customFormat="1" ht="12.75" x14ac:dyDescent="0.2">
      <c r="A3" s="2562" t="s">
        <v>1499</v>
      </c>
      <c r="B3" s="2563"/>
      <c r="C3" s="2563"/>
      <c r="D3" s="2563"/>
    </row>
    <row r="4" spans="1:11" s="990" customFormat="1" ht="4.5" customHeight="1" x14ac:dyDescent="0.2">
      <c r="A4" s="991"/>
      <c r="B4" s="992"/>
      <c r="C4" s="992"/>
      <c r="D4" s="992"/>
    </row>
    <row r="5" spans="1:11" x14ac:dyDescent="0.2">
      <c r="B5" s="994" t="s">
        <v>1500</v>
      </c>
      <c r="C5" s="995"/>
      <c r="D5" s="996"/>
    </row>
    <row r="6" spans="1:11" x14ac:dyDescent="0.2">
      <c r="B6" s="994" t="s">
        <v>1216</v>
      </c>
      <c r="C6" s="995"/>
      <c r="D6" s="996"/>
    </row>
    <row r="7" spans="1:11" x14ac:dyDescent="0.2">
      <c r="B7" s="994" t="s">
        <v>1501</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1683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1685</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1686</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1707</v>
      </c>
      <c r="E24" s="1003"/>
      <c r="F24" s="1003"/>
      <c r="G24" s="1003"/>
      <c r="H24" s="1003"/>
      <c r="I24" s="1003"/>
      <c r="J24" s="1003"/>
      <c r="K24" s="1003"/>
    </row>
    <row r="25" spans="1:11" x14ac:dyDescent="0.2">
      <c r="A25" s="997"/>
      <c r="B25" s="1006"/>
      <c r="D25" s="1005" t="s">
        <v>1687</v>
      </c>
      <c r="E25" s="1003"/>
      <c r="F25" s="1003"/>
      <c r="G25" s="1003"/>
      <c r="H25" s="1003"/>
      <c r="I25" s="1003"/>
      <c r="J25" s="1003"/>
      <c r="K25" s="1003"/>
    </row>
    <row r="26" spans="1:11" x14ac:dyDescent="0.2">
      <c r="A26" s="997"/>
      <c r="B26" s="1006"/>
      <c r="D26" s="1010" t="s">
        <v>1688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1556</v>
      </c>
      <c r="E28" s="1003"/>
      <c r="F28" s="1003"/>
      <c r="G28" s="1003"/>
      <c r="H28" s="1003"/>
      <c r="I28" s="1003"/>
      <c r="J28" s="1003"/>
      <c r="K28" s="1003"/>
    </row>
    <row r="29" spans="1:11" ht="10.5" customHeight="1" x14ac:dyDescent="0.2">
      <c r="A29" s="997"/>
      <c r="D29" s="1011" t="s">
        <v>1557</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1558</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1558</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1559</v>
      </c>
    </row>
    <row r="41" spans="1:5" ht="3" customHeight="1" x14ac:dyDescent="0.2">
      <c r="A41" s="997"/>
      <c r="B41" s="1014"/>
      <c r="C41" s="1015"/>
      <c r="D41" s="996"/>
    </row>
    <row r="42" spans="1:5" ht="10.5" customHeight="1" x14ac:dyDescent="0.2">
      <c r="A42" s="997"/>
      <c r="B42" s="1016"/>
      <c r="C42" s="1007">
        <v>11</v>
      </c>
      <c r="D42" s="1018" t="s">
        <v>1560</v>
      </c>
      <c r="E42" s="290"/>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1972</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1561</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1689</v>
      </c>
    </row>
    <row r="57" spans="1:4" ht="10.5" customHeight="1" x14ac:dyDescent="0.2">
      <c r="A57" s="997"/>
      <c r="D57" s="1012" t="s">
        <v>1690</v>
      </c>
    </row>
    <row r="58" spans="1:4" x14ac:dyDescent="0.2">
      <c r="A58" s="997"/>
      <c r="C58" s="1019"/>
      <c r="D58" s="1012" t="s">
        <v>1691</v>
      </c>
    </row>
    <row r="59" spans="1:4" ht="10.5" customHeight="1" x14ac:dyDescent="0.2">
      <c r="A59" s="997"/>
      <c r="D59" s="996" t="s">
        <v>1201</v>
      </c>
    </row>
    <row r="60" spans="1:4" ht="10.5" customHeight="1" x14ac:dyDescent="0.2">
      <c r="A60" s="997"/>
      <c r="D60" s="1020" t="s">
        <v>1585</v>
      </c>
    </row>
    <row r="61" spans="1:4" ht="10.5" customHeight="1" x14ac:dyDescent="0.2">
      <c r="A61" s="997"/>
      <c r="C61" s="1019"/>
      <c r="D61" s="1012" t="s">
        <v>1692</v>
      </c>
    </row>
    <row r="62" spans="1:4" ht="10.5" customHeight="1" x14ac:dyDescent="0.2">
      <c r="A62" s="997"/>
      <c r="D62" s="1021" t="s">
        <v>1200</v>
      </c>
    </row>
    <row r="63" spans="1:4" ht="10.5" customHeight="1" x14ac:dyDescent="0.2">
      <c r="A63" s="997"/>
      <c r="D63" s="996" t="s">
        <v>1562</v>
      </c>
    </row>
    <row r="64" spans="1:4" ht="10.5" customHeight="1" x14ac:dyDescent="0.2">
      <c r="A64" s="997"/>
      <c r="D64" s="1020" t="s">
        <v>1584</v>
      </c>
    </row>
    <row r="65" spans="1:4" x14ac:dyDescent="0.2">
      <c r="A65" s="997"/>
      <c r="C65" s="1019"/>
      <c r="D65" s="1012" t="s">
        <v>1693</v>
      </c>
    </row>
    <row r="66" spans="1:4" ht="10.5" customHeight="1" x14ac:dyDescent="0.2">
      <c r="A66" s="997"/>
      <c r="D66" s="1022" t="s">
        <v>1199</v>
      </c>
    </row>
    <row r="67" spans="1:4" ht="10.5" customHeight="1" x14ac:dyDescent="0.2">
      <c r="A67" s="997"/>
      <c r="D67" s="996" t="s">
        <v>1563</v>
      </c>
    </row>
    <row r="68" spans="1:4" ht="10.5" customHeight="1" x14ac:dyDescent="0.2">
      <c r="A68" s="997"/>
      <c r="D68" s="1020" t="s">
        <v>1584</v>
      </c>
    </row>
    <row r="69" spans="1:4" ht="10.5" customHeight="1" x14ac:dyDescent="0.2">
      <c r="A69" s="997"/>
      <c r="C69" s="1019"/>
      <c r="D69" s="1012" t="s">
        <v>1694</v>
      </c>
    </row>
    <row r="70" spans="1:4" x14ac:dyDescent="0.2">
      <c r="A70" s="997"/>
      <c r="D70" s="1021" t="s">
        <v>1198</v>
      </c>
    </row>
    <row r="71" spans="1:4" ht="3" customHeight="1" x14ac:dyDescent="0.2">
      <c r="A71" s="997"/>
      <c r="D71" s="996"/>
    </row>
    <row r="72" spans="1:4" x14ac:dyDescent="0.2">
      <c r="A72" s="997"/>
      <c r="B72" s="1000"/>
      <c r="C72" s="1001">
        <f>C56+1</f>
        <v>18</v>
      </c>
      <c r="D72" s="1022" t="s">
        <v>1695</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1696</v>
      </c>
    </row>
    <row r="77" spans="1:4" ht="3" customHeight="1" x14ac:dyDescent="0.2">
      <c r="A77" s="997"/>
      <c r="B77" s="1004"/>
      <c r="C77" s="1001"/>
      <c r="D77" s="1023"/>
    </row>
    <row r="78" spans="1:4" x14ac:dyDescent="0.2">
      <c r="A78" s="997"/>
      <c r="B78" s="1000"/>
      <c r="C78" s="1001">
        <f>C76+1</f>
        <v>21</v>
      </c>
      <c r="D78" s="996" t="s">
        <v>1697</v>
      </c>
    </row>
    <row r="79" spans="1:4" ht="3" customHeight="1" x14ac:dyDescent="0.2">
      <c r="A79" s="997"/>
      <c r="B79" s="1004"/>
      <c r="C79" s="1001"/>
      <c r="D79" s="996"/>
    </row>
    <row r="80" spans="1:4" x14ac:dyDescent="0.2">
      <c r="A80" s="997"/>
      <c r="B80" s="1000"/>
      <c r="C80" s="1001">
        <f>C78+1</f>
        <v>22</v>
      </c>
      <c r="D80" s="1024" t="s">
        <v>1698</v>
      </c>
    </row>
    <row r="81" spans="1:4" ht="3" customHeight="1" x14ac:dyDescent="0.2">
      <c r="A81" s="997"/>
      <c r="B81" s="1004"/>
      <c r="C81" s="1001"/>
      <c r="D81" s="1024"/>
    </row>
    <row r="82" spans="1:4" x14ac:dyDescent="0.2">
      <c r="A82" s="997"/>
      <c r="B82" s="1000"/>
      <c r="C82" s="1001">
        <f>C80+1</f>
        <v>23</v>
      </c>
      <c r="D82" s="1023" t="s">
        <v>1699</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1700</v>
      </c>
    </row>
    <row r="92" spans="1:4" x14ac:dyDescent="0.2">
      <c r="A92" s="997"/>
      <c r="B92" s="1025"/>
      <c r="C92" s="1019"/>
      <c r="D92" s="1012" t="s">
        <v>1192</v>
      </c>
    </row>
    <row r="93" spans="1:4" ht="4.5" customHeight="1" x14ac:dyDescent="0.2">
      <c r="A93" s="997"/>
      <c r="D93" s="996"/>
    </row>
    <row r="94" spans="1:4" x14ac:dyDescent="0.2">
      <c r="A94" s="997"/>
      <c r="B94" s="998" t="s">
        <v>1564</v>
      </c>
      <c r="C94" s="999"/>
      <c r="D94" s="996"/>
    </row>
    <row r="95" spans="1:4" ht="4.5" customHeight="1" x14ac:dyDescent="0.2">
      <c r="A95" s="997"/>
      <c r="B95" s="998"/>
      <c r="C95" s="999"/>
      <c r="D95" s="996"/>
    </row>
    <row r="96" spans="1:4" x14ac:dyDescent="0.2">
      <c r="A96" s="997"/>
      <c r="B96" s="1000"/>
      <c r="C96" s="1001">
        <f>C91+1</f>
        <v>28</v>
      </c>
      <c r="D96" s="1012" t="s">
        <v>1701</v>
      </c>
    </row>
    <row r="97" spans="1:4" ht="3" customHeight="1" x14ac:dyDescent="0.2">
      <c r="A97" s="997"/>
      <c r="B97" s="1004"/>
      <c r="C97" s="1001"/>
      <c r="D97" s="1012"/>
    </row>
    <row r="98" spans="1:4" x14ac:dyDescent="0.2">
      <c r="A98" s="997"/>
      <c r="B98" s="1000"/>
      <c r="C98" s="1001">
        <f>C96+1</f>
        <v>29</v>
      </c>
      <c r="D98" s="1026" t="s">
        <v>1702</v>
      </c>
    </row>
    <row r="99" spans="1:4" ht="3" customHeight="1" x14ac:dyDescent="0.2">
      <c r="A99" s="997"/>
      <c r="B99" s="1004"/>
      <c r="C99" s="1001"/>
      <c r="D99" s="1026"/>
    </row>
    <row r="100" spans="1:4" x14ac:dyDescent="0.2">
      <c r="A100" s="997"/>
      <c r="B100" s="1000"/>
      <c r="C100" s="1001">
        <f>C98+1</f>
        <v>30</v>
      </c>
      <c r="D100" s="1012" t="s">
        <v>1703</v>
      </c>
    </row>
    <row r="101" spans="1:4" ht="3" customHeight="1" x14ac:dyDescent="0.2">
      <c r="A101" s="997"/>
      <c r="B101" s="1004"/>
      <c r="C101" s="1001"/>
      <c r="D101" s="1027"/>
    </row>
    <row r="102" spans="1:4" x14ac:dyDescent="0.2">
      <c r="A102" s="997"/>
      <c r="B102" s="1000"/>
      <c r="C102" s="1001">
        <f>C100+1</f>
        <v>31</v>
      </c>
      <c r="D102" s="1012" t="s">
        <v>1565</v>
      </c>
    </row>
    <row r="103" spans="1:4" ht="4.5" customHeight="1" x14ac:dyDescent="0.2">
      <c r="A103" s="997"/>
      <c r="B103" s="290"/>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1566</v>
      </c>
    </row>
    <row r="107" spans="1:4" ht="3" customHeight="1" x14ac:dyDescent="0.2">
      <c r="A107" s="997"/>
      <c r="B107" s="1004"/>
      <c r="C107" s="1001"/>
      <c r="D107" s="996"/>
    </row>
    <row r="108" spans="1:4" x14ac:dyDescent="0.2">
      <c r="A108" s="997"/>
      <c r="B108" s="1000"/>
      <c r="C108" s="1001">
        <v>33</v>
      </c>
      <c r="D108" s="996" t="s">
        <v>1704</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1705</v>
      </c>
    </row>
    <row r="118" spans="1:4" ht="3" customHeight="1" x14ac:dyDescent="0.2">
      <c r="A118" s="997"/>
      <c r="B118" s="1004"/>
      <c r="C118" s="1001"/>
      <c r="D118" s="1012"/>
    </row>
    <row r="119" spans="1:4" x14ac:dyDescent="0.2">
      <c r="A119" s="997"/>
      <c r="B119" s="1000"/>
      <c r="C119" s="1001">
        <f>C117+1</f>
        <v>38</v>
      </c>
      <c r="D119" s="1012" t="s">
        <v>1706</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1813</v>
      </c>
    </row>
    <row r="124" spans="1:4" x14ac:dyDescent="0.2">
      <c r="A124" s="997"/>
      <c r="B124" s="290"/>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7" t="str">
        <f>'Single Audit Cover'!A7</f>
        <v>Meredosia- Chambersburg CUSD 11</v>
      </c>
      <c r="B1" s="2567"/>
      <c r="C1" s="2567"/>
      <c r="D1" s="2567"/>
      <c r="E1" s="2567"/>
    </row>
    <row r="2" spans="1:5" x14ac:dyDescent="0.2">
      <c r="A2" s="2568">
        <f>'Single Audit Cover'!E7</f>
        <v>1069011026</v>
      </c>
      <c r="B2" s="2568"/>
      <c r="C2" s="2568"/>
      <c r="D2" s="2568"/>
      <c r="E2" s="2568"/>
    </row>
    <row r="3" spans="1:5" ht="4.5" customHeight="1" x14ac:dyDescent="0.2"/>
    <row r="4" spans="1:5" x14ac:dyDescent="0.2">
      <c r="A4" s="2567" t="s">
        <v>1236</v>
      </c>
      <c r="B4" s="2567"/>
      <c r="C4" s="2567"/>
      <c r="D4" s="2567"/>
      <c r="E4" s="2567"/>
    </row>
    <row r="5" spans="1:5" x14ac:dyDescent="0.2">
      <c r="A5" s="2570" t="str">
        <f>'Single Audit Cover'!A4</f>
        <v>Year Ending June 30, 2020</v>
      </c>
      <c r="B5" s="2570"/>
      <c r="C5" s="2570"/>
      <c r="D5" s="2570"/>
      <c r="E5" s="2570"/>
    </row>
    <row r="6" spans="1:5" x14ac:dyDescent="0.2">
      <c r="A6" s="2567" t="s">
        <v>1235</v>
      </c>
      <c r="B6" s="2567"/>
      <c r="C6" s="2567"/>
      <c r="D6" s="2567"/>
      <c r="E6" s="2567"/>
    </row>
    <row r="8" spans="1:5" x14ac:dyDescent="0.2">
      <c r="A8" s="1035" t="s">
        <v>1234</v>
      </c>
    </row>
    <row r="10" spans="1:5" x14ac:dyDescent="0.2">
      <c r="A10" s="1036" t="s">
        <v>1233</v>
      </c>
      <c r="B10" s="1037" t="s">
        <v>1232</v>
      </c>
      <c r="C10" s="1037"/>
      <c r="D10" s="1038">
        <f>SUM('Acct Summary 7-8'!C7:K7)</f>
        <v>256894</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2007</v>
      </c>
      <c r="B14" s="1037"/>
      <c r="C14" s="1037"/>
      <c r="D14" s="1039">
        <f>'ICR Computation 30'!E11</f>
        <v>9283</v>
      </c>
    </row>
    <row r="15" spans="1:5" x14ac:dyDescent="0.2">
      <c r="A15" s="1036"/>
      <c r="B15" s="1037"/>
      <c r="C15" s="1037"/>
    </row>
    <row r="16" spans="1:5" x14ac:dyDescent="0.2">
      <c r="A16" s="1036" t="s">
        <v>1818</v>
      </c>
      <c r="B16" s="1037"/>
      <c r="C16" s="1037"/>
    </row>
    <row r="17" spans="1:4" x14ac:dyDescent="0.2">
      <c r="A17" s="1036" t="s">
        <v>1967</v>
      </c>
      <c r="B17" s="1037" t="s">
        <v>1227</v>
      </c>
      <c r="C17" s="1037"/>
      <c r="D17" s="1039">
        <f>-SUM('Revenues 9-14'!C264:D264,'Revenues 9-14'!F264:G264)</f>
        <v>-12472</v>
      </c>
    </row>
    <row r="19" spans="1:4" ht="13.5" thickBot="1" x14ac:dyDescent="0.25">
      <c r="A19" s="1040" t="s">
        <v>1226</v>
      </c>
      <c r="D19" s="1041">
        <f>SUM(D10:D17)</f>
        <v>253705</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569"/>
      <c r="B24" s="2569"/>
      <c r="D24" s="1043"/>
    </row>
    <row r="25" spans="1:4" x14ac:dyDescent="0.2">
      <c r="A25" s="2566"/>
      <c r="B25" s="2566"/>
      <c r="D25" s="1043"/>
    </row>
    <row r="26" spans="1:4" x14ac:dyDescent="0.2">
      <c r="A26" s="2566"/>
      <c r="B26" s="2566"/>
      <c r="D26" s="1043"/>
    </row>
    <row r="27" spans="1:4" x14ac:dyDescent="0.2">
      <c r="A27" s="2566"/>
      <c r="B27" s="2566"/>
      <c r="D27" s="1043"/>
    </row>
    <row r="28" spans="1:4" x14ac:dyDescent="0.2">
      <c r="A28" s="2566"/>
      <c r="B28" s="2566"/>
      <c r="D28" s="1043"/>
    </row>
    <row r="29" spans="1:4" x14ac:dyDescent="0.2">
      <c r="A29" s="2566"/>
      <c r="B29" s="2566"/>
      <c r="D29" s="1043"/>
    </row>
    <row r="30" spans="1:4" x14ac:dyDescent="0.2">
      <c r="A30" s="2566"/>
      <c r="B30" s="2566"/>
      <c r="D30" s="1043"/>
    </row>
    <row r="32" spans="1:4" x14ac:dyDescent="0.2">
      <c r="A32" s="1035" t="s">
        <v>1224</v>
      </c>
      <c r="D32" s="1038">
        <f>SUM(D19:D30)</f>
        <v>253705</v>
      </c>
    </row>
    <row r="33" spans="1:4" x14ac:dyDescent="0.2">
      <c r="D33" s="1044"/>
    </row>
    <row r="34" spans="1:4" x14ac:dyDescent="0.2">
      <c r="A34" s="295" t="s">
        <v>1223</v>
      </c>
    </row>
    <row r="35" spans="1:4" x14ac:dyDescent="0.2">
      <c r="A35" s="295" t="s">
        <v>1222</v>
      </c>
      <c r="B35" s="1033" t="s">
        <v>1221</v>
      </c>
      <c r="D35" s="1045"/>
    </row>
    <row r="37" spans="1:4" x14ac:dyDescent="0.2">
      <c r="A37" s="1035" t="s">
        <v>1220</v>
      </c>
    </row>
    <row r="39" spans="1:4" ht="13.35" customHeight="1" x14ac:dyDescent="0.2">
      <c r="A39" s="1042" t="s">
        <v>1219</v>
      </c>
    </row>
    <row r="40" spans="1:4" x14ac:dyDescent="0.2">
      <c r="A40" s="2566"/>
      <c r="B40" s="2566"/>
      <c r="D40" s="1043"/>
    </row>
    <row r="41" spans="1:4" x14ac:dyDescent="0.2">
      <c r="A41" s="2566"/>
      <c r="B41" s="2566"/>
      <c r="D41" s="1046"/>
    </row>
    <row r="42" spans="1:4" x14ac:dyDescent="0.2">
      <c r="A42" s="2566"/>
      <c r="B42" s="2566"/>
      <c r="D42" s="1046"/>
    </row>
    <row r="43" spans="1:4" x14ac:dyDescent="0.2">
      <c r="A43" s="2566"/>
      <c r="B43" s="2566"/>
      <c r="D43" s="1046"/>
    </row>
    <row r="44" spans="1:4" x14ac:dyDescent="0.2">
      <c r="A44" s="2566"/>
      <c r="B44" s="2566"/>
      <c r="D44" s="1046"/>
    </row>
    <row r="45" spans="1:4" x14ac:dyDescent="0.2">
      <c r="A45" s="2566"/>
      <c r="B45" s="2566"/>
      <c r="D45" s="1046"/>
    </row>
    <row r="47" spans="1:4" x14ac:dyDescent="0.2">
      <c r="B47" s="1047" t="s">
        <v>1218</v>
      </c>
      <c r="C47" s="1047"/>
      <c r="D47" s="1048">
        <f>SUM(D35:D45)</f>
        <v>0</v>
      </c>
    </row>
    <row r="49" spans="2:4" x14ac:dyDescent="0.2">
      <c r="B49" s="1047" t="s">
        <v>1217</v>
      </c>
      <c r="C49" s="1047"/>
      <c r="D49" s="1048">
        <f>D32-D47</f>
        <v>253705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49" t="str">
        <f>'Single Audit Cover'!A7</f>
        <v>Meredosia- Chambersburg CUSD 11</v>
      </c>
      <c r="C1" s="2571"/>
      <c r="D1" s="2571"/>
      <c r="E1" s="2571"/>
      <c r="F1" s="2571"/>
      <c r="G1" s="2571"/>
      <c r="H1" s="2571"/>
      <c r="I1" s="2571"/>
      <c r="J1" s="2571"/>
      <c r="K1" s="2571"/>
      <c r="L1" s="2571"/>
      <c r="M1" s="2571"/>
    </row>
    <row r="2" spans="2:14" ht="15" x14ac:dyDescent="0.2">
      <c r="B2" s="2572">
        <f>'Single Audit Cover'!E7</f>
        <v>1069011026</v>
      </c>
      <c r="C2" s="2572"/>
      <c r="D2" s="2572"/>
      <c r="E2" s="2572"/>
      <c r="F2" s="2572"/>
      <c r="G2" s="2572"/>
      <c r="H2" s="2572"/>
      <c r="I2" s="2572"/>
      <c r="J2" s="2572"/>
      <c r="K2" s="2572"/>
      <c r="L2" s="2572"/>
      <c r="M2" s="2572"/>
      <c r="N2" s="1077"/>
    </row>
    <row r="3" spans="2:14" ht="15" x14ac:dyDescent="0.2">
      <c r="B3" s="2573" t="s">
        <v>1210</v>
      </c>
      <c r="C3" s="2573"/>
      <c r="D3" s="2573"/>
      <c r="E3" s="2573"/>
      <c r="F3" s="2573"/>
      <c r="G3" s="2573"/>
      <c r="H3" s="2573"/>
      <c r="I3" s="2573"/>
      <c r="J3" s="2573"/>
      <c r="K3" s="2573"/>
      <c r="L3" s="2573"/>
      <c r="M3" s="2573"/>
      <c r="N3" s="1077"/>
    </row>
    <row r="4" spans="2:14" ht="15" x14ac:dyDescent="0.2">
      <c r="B4" s="2574" t="str">
        <f>'Single Audit Cover'!A4</f>
        <v>Year Ending June 30, 2020</v>
      </c>
      <c r="C4" s="2574"/>
      <c r="D4" s="2574"/>
      <c r="E4" s="2574"/>
      <c r="F4" s="2574"/>
      <c r="G4" s="2574"/>
      <c r="H4" s="2574"/>
      <c r="I4" s="2574"/>
      <c r="J4" s="2574"/>
      <c r="K4" s="2574"/>
      <c r="L4" s="2574"/>
      <c r="M4" s="2574"/>
      <c r="N4" s="1077"/>
    </row>
    <row r="5" spans="2:14" x14ac:dyDescent="0.2">
      <c r="H5" s="1914"/>
      <c r="J5" s="1914"/>
    </row>
    <row r="6" spans="2:14" x14ac:dyDescent="0.2">
      <c r="B6" s="1078"/>
      <c r="C6" s="1079"/>
      <c r="D6" s="1080" t="s">
        <v>1256</v>
      </c>
      <c r="E6" s="1081" t="s">
        <v>524</v>
      </c>
      <c r="F6" s="1082"/>
      <c r="G6" s="1083" t="s">
        <v>1714</v>
      </c>
      <c r="H6" s="1081"/>
      <c r="I6" s="1081"/>
      <c r="J6" s="1915"/>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tr">
        <f>"7/1/"&amp;MID('AFR20'!$E$2,3,2)-2&amp;"-6/30/"&amp;MID('AFR20'!$E$2,3,2)-1</f>
        <v>7/1/18-6/30/19</v>
      </c>
      <c r="I8" s="1094" t="s">
        <v>1253</v>
      </c>
      <c r="J8" s="1819" t="str">
        <f>"7/1/"&amp;MID('AFR20'!$E$2,3,2)-1&amp;"-6/30/"&amp;MID('AFR20'!$E$2,3,2)</f>
        <v>7/1/19-6/30/20</v>
      </c>
      <c r="K8" s="1094" t="s">
        <v>1252</v>
      </c>
      <c r="L8" s="1095" t="s">
        <v>1248</v>
      </c>
      <c r="M8" s="1096" t="s">
        <v>30</v>
      </c>
    </row>
    <row r="9" spans="2:14" ht="14.25" x14ac:dyDescent="0.2">
      <c r="B9" s="1100" t="s">
        <v>1250</v>
      </c>
      <c r="C9" s="1088" t="s">
        <v>1715</v>
      </c>
      <c r="D9" s="1089" t="s">
        <v>1716</v>
      </c>
      <c r="E9" s="1913" t="str">
        <f>"7/1/"&amp;MID('AFR20'!$E$2,3,2)-2&amp;"-6/30/"&amp;MID('AFR20'!$E$2,3,2)-1</f>
        <v>7/1/18-6/30/19</v>
      </c>
      <c r="F9" s="1913" t="str">
        <f>"7/1/"&amp;MID('AFR20'!$E$2,3,2)-1&amp;"-6/30/"&amp;MID('AFR20'!$E$2,3,2)</f>
        <v>7/1/19-6/30/20</v>
      </c>
      <c r="G9" s="1913" t="str">
        <f>"7/1/"&amp;MID('AFR20'!$E$2,3,2)-2&amp;"-6/30/"&amp;MID('AFR20'!$E$2,3,2)-1</f>
        <v>7/1/18-6/30/19</v>
      </c>
      <c r="H9" s="1092" t="s">
        <v>1568</v>
      </c>
      <c r="I9" s="1913" t="str">
        <f>"7/1/"&amp;MID('AFR20'!$E$2,3,2)-1&amp;"-6/30/"&amp;MID('AFR20'!$E$2,3,2)</f>
        <v>7/1/19-6/30/20</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1161</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1717</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1815</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1237</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1718</v>
      </c>
      <c r="C37" s="1134"/>
      <c r="D37" s="1134"/>
      <c r="E37" s="1134"/>
      <c r="F37" s="1134"/>
      <c r="G37" s="1134"/>
      <c r="H37" s="1134"/>
      <c r="I37" s="1135"/>
      <c r="J37" s="1135"/>
      <c r="K37" s="1135"/>
      <c r="L37" s="1135"/>
      <c r="M37" s="1135"/>
    </row>
    <row r="38" spans="2:13" ht="11.25" customHeight="1" x14ac:dyDescent="0.2">
      <c r="B38" s="1136" t="s">
        <v>1570</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1719</v>
      </c>
      <c r="C40" s="1135"/>
      <c r="D40" s="1135"/>
      <c r="E40" s="1135"/>
      <c r="F40" s="1135"/>
      <c r="G40" s="1135"/>
      <c r="H40" s="1135"/>
      <c r="I40" s="1135"/>
      <c r="J40" s="1135"/>
      <c r="K40" s="1135"/>
      <c r="L40" s="1135"/>
      <c r="M40" s="1135"/>
    </row>
    <row r="41" spans="2:13" ht="11.25" customHeight="1" x14ac:dyDescent="0.2">
      <c r="B41" s="1075" t="s">
        <v>1571</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1720</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1721</v>
      </c>
      <c r="C45" s="1137"/>
      <c r="D45" s="1138"/>
      <c r="E45" s="1075"/>
      <c r="F45" s="1075"/>
      <c r="G45" s="1075"/>
      <c r="H45" s="1075"/>
      <c r="I45" s="1075"/>
      <c r="J45" s="1075"/>
      <c r="K45" s="1139"/>
      <c r="L45" s="1139"/>
      <c r="M45" s="1075"/>
    </row>
    <row r="46" spans="2:13" ht="11.25" customHeight="1" x14ac:dyDescent="0.2">
      <c r="B46" s="1075" t="s">
        <v>1572</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Meredosia- Chambersburg CUSD 11</v>
      </c>
      <c r="B1" s="2584"/>
      <c r="C1" s="2584"/>
      <c r="D1" s="2584"/>
      <c r="E1" s="2584"/>
      <c r="F1" s="2584"/>
    </row>
    <row r="2" spans="1:7" ht="13.5" customHeight="1" x14ac:dyDescent="0.2">
      <c r="A2" s="2572">
        <f>'Single Audit Cover'!E7</f>
        <v>1069011026</v>
      </c>
      <c r="B2" s="2572"/>
      <c r="C2" s="2572"/>
      <c r="D2" s="2572"/>
      <c r="E2" s="2572"/>
      <c r="F2" s="2572"/>
      <c r="G2" s="1050"/>
    </row>
    <row r="3" spans="1:7" ht="15.75" customHeight="1" x14ac:dyDescent="0.2">
      <c r="A3" s="2585" t="s">
        <v>1262</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1" t="s">
        <v>1708</v>
      </c>
      <c r="C6" s="295"/>
      <c r="D6" s="295"/>
    </row>
    <row r="7" spans="1:7" ht="60.95" customHeight="1" x14ac:dyDescent="0.2">
      <c r="A7" s="2583" t="s">
        <v>1709</v>
      </c>
      <c r="B7" s="2583"/>
      <c r="C7" s="2583"/>
      <c r="D7" s="2583"/>
      <c r="E7" s="2583"/>
      <c r="F7" s="2583"/>
    </row>
    <row r="8" spans="1:7" ht="12" customHeight="1" x14ac:dyDescent="0.2">
      <c r="A8" s="1051"/>
      <c r="B8" s="1057"/>
      <c r="C8" s="1057"/>
      <c r="D8" s="1057"/>
    </row>
    <row r="9" spans="1:7" ht="15" customHeight="1" x14ac:dyDescent="0.2">
      <c r="A9" s="1052" t="s">
        <v>1710</v>
      </c>
      <c r="B9" s="1055"/>
      <c r="C9" s="1055"/>
      <c r="D9" s="1055"/>
      <c r="E9" s="1053"/>
      <c r="F9" s="1053"/>
      <c r="G9" s="1053"/>
    </row>
    <row r="10" spans="1:7" ht="15" customHeight="1" x14ac:dyDescent="0.2">
      <c r="A10" s="1054" t="s">
        <v>1533</v>
      </c>
      <c r="B10" s="1055"/>
      <c r="C10" s="1056"/>
      <c r="D10" s="1055" t="s">
        <v>1534</v>
      </c>
      <c r="E10" s="1056"/>
      <c r="F10" s="1055" t="s">
        <v>99</v>
      </c>
      <c r="G10" s="1053"/>
    </row>
    <row r="11" spans="1:7" ht="12" customHeight="1" x14ac:dyDescent="0.2">
      <c r="A11" s="1054"/>
      <c r="B11" s="1055"/>
      <c r="C11" s="1524"/>
      <c r="D11" s="1055"/>
      <c r="E11" s="1524"/>
      <c r="F11" s="1055"/>
      <c r="G11" s="1053"/>
    </row>
    <row r="12" spans="1:7" x14ac:dyDescent="0.2">
      <c r="A12" s="1051" t="s">
        <v>1573</v>
      </c>
      <c r="C12" s="1035"/>
      <c r="D12" s="1035"/>
    </row>
    <row r="13" spans="1:7" ht="15" customHeight="1" x14ac:dyDescent="0.2">
      <c r="A13" s="2583" t="s">
        <v>1711</v>
      </c>
      <c r="B13" s="2583"/>
      <c r="C13" s="2583"/>
      <c r="D13" s="2583"/>
      <c r="E13" s="2583"/>
      <c r="F13" s="2583"/>
    </row>
    <row r="14" spans="1:7" ht="9.75" customHeight="1" x14ac:dyDescent="0.2">
      <c r="C14" s="1035"/>
      <c r="D14" s="1035"/>
    </row>
    <row r="15" spans="1:7" ht="13.5" customHeight="1" x14ac:dyDescent="0.2">
      <c r="C15" s="1475" t="s">
        <v>1261</v>
      </c>
      <c r="D15" s="2581" t="s">
        <v>1260</v>
      </c>
      <c r="E15" s="2581"/>
      <c r="F15" s="2581"/>
    </row>
    <row r="16" spans="1:7" ht="13.5" customHeight="1" x14ac:dyDescent="0.2">
      <c r="A16" s="1057"/>
      <c r="B16" s="1051" t="s">
        <v>1259</v>
      </c>
      <c r="C16" s="1475" t="s">
        <v>1258</v>
      </c>
      <c r="D16" s="2582" t="s">
        <v>1574</v>
      </c>
      <c r="E16" s="2582"/>
      <c r="F16" s="2582"/>
    </row>
    <row r="17" spans="1:6" ht="20.45" customHeight="1" x14ac:dyDescent="0.2">
      <c r="A17" s="1058"/>
      <c r="B17" s="1059"/>
      <c r="C17" s="1060"/>
      <c r="D17" s="2576"/>
      <c r="E17" s="2576"/>
      <c r="F17" s="2576"/>
    </row>
    <row r="18" spans="1:6" ht="20.65" customHeight="1" x14ac:dyDescent="0.2">
      <c r="A18" s="1058"/>
      <c r="B18" s="1059"/>
      <c r="C18" s="1060"/>
      <c r="D18" s="2576"/>
      <c r="E18" s="2576"/>
      <c r="F18" s="2576"/>
    </row>
    <row r="19" spans="1:6" ht="20.65" customHeight="1" x14ac:dyDescent="0.2">
      <c r="A19" s="1058"/>
      <c r="B19" s="1059"/>
      <c r="C19" s="1060"/>
      <c r="D19" s="2576"/>
      <c r="E19" s="2576"/>
      <c r="F19" s="2576"/>
    </row>
    <row r="20" spans="1:6" ht="20.65" customHeight="1" x14ac:dyDescent="0.2">
      <c r="A20" s="1058"/>
      <c r="B20" s="1059"/>
      <c r="C20" s="1060"/>
      <c r="D20" s="2576"/>
      <c r="E20" s="2576"/>
      <c r="F20" s="2576"/>
    </row>
    <row r="21" spans="1:6" ht="20.65" customHeight="1" x14ac:dyDescent="0.2">
      <c r="A21" s="1058"/>
      <c r="B21" s="1059"/>
      <c r="C21" s="1060"/>
      <c r="D21" s="2576"/>
      <c r="E21" s="2576"/>
      <c r="F21" s="2576"/>
    </row>
    <row r="22" spans="1:6" ht="20.65" customHeight="1" x14ac:dyDescent="0.2">
      <c r="A22" s="1058"/>
      <c r="B22" s="1059"/>
      <c r="C22" s="1060"/>
      <c r="D22" s="2576"/>
      <c r="E22" s="2576"/>
      <c r="F22" s="2576"/>
    </row>
    <row r="23" spans="1:6" ht="20.65" customHeight="1" x14ac:dyDescent="0.2">
      <c r="A23" s="1058"/>
      <c r="B23" s="1059"/>
      <c r="C23" s="1060"/>
      <c r="D23" s="2576"/>
      <c r="E23" s="2576"/>
      <c r="F23" s="2576"/>
    </row>
    <row r="24" spans="1:6" ht="20.65" customHeight="1" x14ac:dyDescent="0.2">
      <c r="A24" s="1058"/>
      <c r="B24" s="1059"/>
      <c r="C24" s="1060"/>
      <c r="D24" s="2576"/>
      <c r="E24" s="2576"/>
      <c r="F24" s="2576"/>
    </row>
    <row r="25" spans="1:6" ht="20.65" customHeight="1" x14ac:dyDescent="0.2">
      <c r="A25" s="1058"/>
      <c r="B25" s="1059"/>
      <c r="C25" s="1060"/>
      <c r="D25" s="2576"/>
      <c r="E25" s="2576"/>
      <c r="F25" s="2576"/>
    </row>
    <row r="26" spans="1:6" ht="20.65" customHeight="1" x14ac:dyDescent="0.2">
      <c r="A26" s="1058"/>
      <c r="B26" s="1059"/>
      <c r="C26" s="1060"/>
      <c r="D26" s="2576"/>
      <c r="E26" s="2576"/>
      <c r="F26" s="2576"/>
    </row>
    <row r="27" spans="1:6" ht="20.65" customHeight="1" x14ac:dyDescent="0.2">
      <c r="A27" s="1058"/>
      <c r="B27" s="1059"/>
      <c r="C27" s="1060"/>
      <c r="D27" s="2576"/>
      <c r="E27" s="2576"/>
      <c r="F27" s="2576"/>
    </row>
    <row r="28" spans="1:6" ht="20.65" customHeight="1" x14ac:dyDescent="0.2">
      <c r="A28" s="1058"/>
      <c r="B28" s="1059"/>
      <c r="C28" s="1060"/>
      <c r="D28" s="2576"/>
      <c r="E28" s="2576"/>
      <c r="F28" s="2576"/>
    </row>
    <row r="29" spans="1:6" ht="20.65" customHeight="1" x14ac:dyDescent="0.2">
      <c r="A29" s="1058"/>
      <c r="B29" s="1059"/>
      <c r="C29" s="1060"/>
      <c r="D29" s="2576"/>
      <c r="E29" s="2576"/>
      <c r="F29" s="2576"/>
    </row>
    <row r="30" spans="1:6" ht="12" customHeight="1" x14ac:dyDescent="0.2">
      <c r="A30" s="306"/>
      <c r="B30" s="306"/>
      <c r="C30" s="1232"/>
      <c r="D30" s="1525"/>
      <c r="E30" s="1061"/>
    </row>
    <row r="31" spans="1:6" ht="12" customHeight="1" x14ac:dyDescent="0.2">
      <c r="A31" s="1062" t="s">
        <v>1535</v>
      </c>
      <c r="B31" s="306"/>
      <c r="C31" s="1232"/>
      <c r="D31" s="1525"/>
      <c r="E31" s="1061"/>
    </row>
    <row r="32" spans="1:6" ht="30" customHeight="1" x14ac:dyDescent="0.2">
      <c r="A32" s="2577" t="s">
        <v>1712</v>
      </c>
      <c r="B32" s="2577"/>
      <c r="C32" s="2577"/>
      <c r="D32" s="2577"/>
      <c r="E32" s="2577"/>
      <c r="F32" s="2577"/>
    </row>
    <row r="33" spans="1:6" ht="13.5" customHeight="1" x14ac:dyDescent="0.2">
      <c r="A33" s="306" t="s">
        <v>1420</v>
      </c>
      <c r="B33" s="306"/>
      <c r="C33" s="1063">
        <v>0</v>
      </c>
      <c r="D33" s="1525"/>
      <c r="E33" s="1061"/>
    </row>
    <row r="34" spans="1:6" ht="13.5" customHeight="1" x14ac:dyDescent="0.2">
      <c r="A34" s="306" t="s">
        <v>1814</v>
      </c>
      <c r="B34" s="306"/>
      <c r="C34" s="1064">
        <v>0</v>
      </c>
      <c r="D34" s="1525" t="s">
        <v>1575</v>
      </c>
      <c r="E34" s="2578">
        <f>+C33+C34</f>
        <v>0</v>
      </c>
      <c r="F34" s="2579"/>
    </row>
    <row r="35" spans="1:6" ht="12" customHeight="1" x14ac:dyDescent="0.2">
      <c r="A35" s="306"/>
      <c r="B35" s="306"/>
      <c r="C35" s="1526"/>
      <c r="D35" s="1525"/>
      <c r="E35" s="1065"/>
      <c r="F35" s="1066"/>
    </row>
    <row r="36" spans="1:6" ht="13.5" customHeight="1" x14ac:dyDescent="0.2">
      <c r="A36" s="1062" t="s">
        <v>1536</v>
      </c>
      <c r="B36" s="306"/>
      <c r="C36" s="1232"/>
      <c r="D36" s="1525"/>
      <c r="E36" s="1061"/>
    </row>
    <row r="37" spans="1:6" ht="14.25" customHeight="1" x14ac:dyDescent="0.2">
      <c r="A37" s="306" t="s">
        <v>1470</v>
      </c>
      <c r="B37" s="306"/>
      <c r="C37" s="1527"/>
      <c r="D37" s="1525"/>
      <c r="E37" s="1061"/>
    </row>
    <row r="38" spans="1:6" ht="14.25" customHeight="1" x14ac:dyDescent="0.2">
      <c r="A38" s="306"/>
      <c r="B38" s="306" t="s">
        <v>1421</v>
      </c>
      <c r="C38" s="1067"/>
      <c r="D38" s="1525"/>
      <c r="E38" s="1061"/>
    </row>
    <row r="39" spans="1:6" ht="14.25" customHeight="1" x14ac:dyDescent="0.2">
      <c r="A39" s="306"/>
      <c r="B39" s="306" t="s">
        <v>1422</v>
      </c>
      <c r="C39" s="1067"/>
      <c r="D39" s="1525"/>
      <c r="E39" s="1061"/>
    </row>
    <row r="40" spans="1:6" ht="14.25" customHeight="1" x14ac:dyDescent="0.2">
      <c r="A40" s="306"/>
      <c r="B40" s="306" t="s">
        <v>1423</v>
      </c>
      <c r="C40" s="1067"/>
      <c r="D40" s="1525"/>
      <c r="E40" s="1061"/>
    </row>
    <row r="41" spans="1:6" ht="14.25" customHeight="1" x14ac:dyDescent="0.2">
      <c r="A41" s="306"/>
      <c r="B41" s="306" t="s">
        <v>1424</v>
      </c>
      <c r="C41" s="1067"/>
      <c r="D41" s="1525"/>
      <c r="E41" s="1061"/>
    </row>
    <row r="42" spans="1:6" ht="14.25" customHeight="1" x14ac:dyDescent="0.2">
      <c r="A42" s="306" t="s">
        <v>1425</v>
      </c>
      <c r="B42" s="306"/>
      <c r="C42" s="1523"/>
      <c r="D42" s="1525"/>
      <c r="E42" s="1061"/>
    </row>
    <row r="43" spans="1:6" ht="14.25" customHeight="1" x14ac:dyDescent="0.2">
      <c r="A43" s="306" t="s">
        <v>1426</v>
      </c>
      <c r="B43" s="306"/>
      <c r="C43" s="1068"/>
      <c r="D43" s="1525"/>
      <c r="E43" s="1061"/>
    </row>
    <row r="44" spans="1:6" ht="14.25" customHeight="1" x14ac:dyDescent="0.2">
      <c r="A44" s="306"/>
      <c r="B44" s="306"/>
      <c r="C44" s="1527" t="s">
        <v>1427</v>
      </c>
      <c r="D44" s="1525"/>
      <c r="E44" s="1061"/>
    </row>
    <row r="45" spans="1:6" ht="13.5" customHeight="1" x14ac:dyDescent="0.2">
      <c r="B45" s="300"/>
      <c r="C45" s="1069"/>
      <c r="D45" s="1069"/>
    </row>
    <row r="46" spans="1:6" x14ac:dyDescent="0.2">
      <c r="A46" s="1070" t="s">
        <v>1713</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1576</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5" t="s">
        <v>1537</v>
      </c>
      <c r="C51" s="2575"/>
      <c r="D51" s="2575"/>
    </row>
    <row r="52" spans="1:5" ht="14.25" customHeight="1" x14ac:dyDescent="0.2">
      <c r="A52" s="1076"/>
      <c r="B52" s="2575"/>
      <c r="C52" s="2575"/>
      <c r="D52" s="25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FF00"/>
  </sheetPr>
  <dimension ref="A1:K143"/>
  <sheetViews>
    <sheetView showGridLines="0" defaultGridColor="0" topLeftCell="A86"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1160</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6" t="s">
        <v>1619</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1314</v>
      </c>
      <c r="B70" s="2169"/>
      <c r="C70" s="2169"/>
      <c r="D70" s="2169"/>
      <c r="E70" s="2170"/>
      <c r="F70" s="2170"/>
      <c r="G70" s="2170"/>
      <c r="H70" s="2170"/>
      <c r="I70" s="217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1311</v>
      </c>
      <c r="B83" s="2171"/>
      <c r="C83" s="2171"/>
      <c r="D83" s="217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2" t="s">
        <v>1992</v>
      </c>
      <c r="B85" s="2182"/>
      <c r="C85" s="2182"/>
      <c r="D85" s="2183"/>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4" t="s">
        <v>1992</v>
      </c>
      <c r="B88" s="2185"/>
      <c r="C88" s="2185"/>
      <c r="D88" s="2186"/>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2030</v>
      </c>
      <c r="D114" s="216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1321</v>
      </c>
      <c r="D117" s="2164"/>
      <c r="E117" s="2165"/>
      <c r="F117" s="2165"/>
      <c r="G117" s="2165"/>
      <c r="H117" s="2165"/>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1876</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Meredosia- Chambersburg CUSD 11</v>
      </c>
      <c r="C1" s="2599"/>
      <c r="D1" s="2599"/>
      <c r="E1" s="2599"/>
      <c r="F1" s="2599"/>
      <c r="G1" s="2599"/>
      <c r="H1" s="2599"/>
      <c r="I1" s="2599"/>
      <c r="J1" s="1177"/>
    </row>
    <row r="2" spans="2:10" s="295" customFormat="1" ht="12.75" customHeight="1" x14ac:dyDescent="0.2">
      <c r="B2" s="2600">
        <f>'Single Audit Cover'!E7</f>
        <v>1069011026</v>
      </c>
      <c r="C2" s="2601"/>
      <c r="D2" s="2601"/>
      <c r="E2" s="2601"/>
      <c r="F2" s="2601"/>
      <c r="G2" s="2601"/>
      <c r="H2" s="2601"/>
      <c r="I2" s="2601"/>
      <c r="J2" s="1177"/>
    </row>
    <row r="3" spans="2:10" s="295" customFormat="1" ht="12.75" customHeight="1" x14ac:dyDescent="0.2">
      <c r="B3" s="2602" t="s">
        <v>1276</v>
      </c>
      <c r="C3" s="2603"/>
      <c r="D3" s="2603"/>
      <c r="E3" s="2603"/>
      <c r="F3" s="2603"/>
      <c r="G3" s="2603"/>
      <c r="H3" s="2603"/>
      <c r="I3" s="2603"/>
      <c r="J3" s="1178"/>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79" t="s">
        <v>1161</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2" t="s">
        <v>1275</v>
      </c>
      <c r="C7" s="2603"/>
      <c r="D7" s="2603"/>
      <c r="E7" s="2603"/>
      <c r="F7" s="2603"/>
      <c r="G7" s="2603"/>
      <c r="H7" s="2603"/>
      <c r="I7" s="2603"/>
    </row>
    <row r="8" spans="2:10" s="295" customFormat="1" ht="6.2" customHeight="1" x14ac:dyDescent="0.2">
      <c r="B8" s="1181" t="s">
        <v>1161</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1274</v>
      </c>
      <c r="C10" s="1186"/>
      <c r="D10" s="1186"/>
      <c r="E10" s="1033"/>
    </row>
    <row r="11" spans="2:10" s="295" customFormat="1" ht="13.5" customHeight="1" x14ac:dyDescent="0.2">
      <c r="B11" s="1118" t="s">
        <v>1273</v>
      </c>
      <c r="C11" s="2604"/>
      <c r="D11" s="2604"/>
      <c r="E11" s="1187"/>
      <c r="F11" s="1187"/>
      <c r="G11" s="1187"/>
    </row>
    <row r="12" spans="2:10" s="295" customFormat="1" ht="11.45" customHeight="1" x14ac:dyDescent="0.2">
      <c r="B12" s="1126"/>
      <c r="C12" s="1188" t="s">
        <v>1428</v>
      </c>
      <c r="D12" s="1189"/>
      <c r="E12" s="1033"/>
    </row>
    <row r="13" spans="2:10" s="295" customFormat="1" ht="12.75" customHeight="1" x14ac:dyDescent="0.2">
      <c r="B13" s="1190"/>
      <c r="C13" s="1155"/>
      <c r="D13" s="1155"/>
      <c r="E13" s="1033"/>
    </row>
    <row r="14" spans="2:10" s="295" customFormat="1" ht="12.75" customHeight="1" x14ac:dyDescent="0.2">
      <c r="B14" s="1137" t="s">
        <v>1272</v>
      </c>
      <c r="C14" s="1057"/>
      <c r="E14" s="1033"/>
    </row>
    <row r="15" spans="2:10" s="295" customFormat="1" ht="13.5" customHeight="1" x14ac:dyDescent="0.2">
      <c r="B15" s="1191" t="s">
        <v>1269</v>
      </c>
      <c r="C15" s="1192"/>
      <c r="D15" s="1166"/>
      <c r="E15" s="1193"/>
      <c r="F15" s="1075" t="s">
        <v>879</v>
      </c>
      <c r="G15" s="1193"/>
      <c r="H15" s="1075" t="s">
        <v>1267</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1268</v>
      </c>
      <c r="C17" s="1192"/>
      <c r="D17" s="1166"/>
      <c r="E17" s="1194"/>
      <c r="F17" s="1032"/>
      <c r="G17" s="1194"/>
      <c r="H17" s="1075"/>
      <c r="I17" s="1075"/>
    </row>
    <row r="18" spans="2:9" s="295" customFormat="1" ht="12.75" customHeight="1" x14ac:dyDescent="0.2">
      <c r="B18" s="1191" t="s">
        <v>1429</v>
      </c>
      <c r="C18" s="1192"/>
      <c r="D18" s="1166"/>
      <c r="E18" s="1193"/>
      <c r="F18" s="1075" t="s">
        <v>879</v>
      </c>
      <c r="G18" s="1193"/>
      <c r="H18" s="1075" t="s">
        <v>1267</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1577</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1271</v>
      </c>
      <c r="C22" s="1195"/>
      <c r="D22" s="1186"/>
      <c r="E22" s="1152"/>
      <c r="F22" s="1075"/>
      <c r="G22" s="300"/>
      <c r="H22" s="1075"/>
      <c r="I22" s="1075"/>
    </row>
    <row r="23" spans="2:9" s="295" customFormat="1" ht="12.75" customHeight="1" x14ac:dyDescent="0.2">
      <c r="B23" s="1137" t="s">
        <v>1270</v>
      </c>
      <c r="C23" s="1057"/>
      <c r="E23" s="1152"/>
      <c r="F23" s="1075"/>
      <c r="G23" s="300"/>
      <c r="H23" s="1075"/>
      <c r="I23" s="1075"/>
    </row>
    <row r="24" spans="2:9" s="295" customFormat="1" ht="13.5" customHeight="1" x14ac:dyDescent="0.2">
      <c r="B24" s="1191" t="s">
        <v>1269</v>
      </c>
      <c r="C24" s="1192"/>
      <c r="D24" s="1166"/>
      <c r="E24" s="1193"/>
      <c r="F24" s="1075" t="s">
        <v>879</v>
      </c>
      <c r="G24" s="1193"/>
      <c r="H24" s="1075" t="s">
        <v>1267</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1268</v>
      </c>
      <c r="C26" s="1192"/>
      <c r="D26" s="1166"/>
      <c r="E26" s="1194"/>
      <c r="F26" s="1032"/>
      <c r="G26" s="1194"/>
      <c r="H26" s="1075"/>
      <c r="I26" s="1075"/>
    </row>
    <row r="27" spans="2:9" s="295" customFormat="1" ht="12.75" customHeight="1" x14ac:dyDescent="0.2">
      <c r="B27" s="1191" t="s">
        <v>1429</v>
      </c>
      <c r="C27" s="1192"/>
      <c r="D27" s="1166"/>
      <c r="E27" s="1193"/>
      <c r="F27" s="1075" t="s">
        <v>879</v>
      </c>
      <c r="G27" s="1193"/>
      <c r="H27" s="1075" t="s">
        <v>1267</v>
      </c>
      <c r="I27" s="1075"/>
    </row>
    <row r="28" spans="2:9" s="295" customFormat="1" ht="12.75" customHeight="1" x14ac:dyDescent="0.2">
      <c r="B28" s="1137"/>
      <c r="C28" s="1057"/>
      <c r="E28" s="1033"/>
    </row>
    <row r="29" spans="2:9" s="295" customFormat="1" ht="12.75" customHeight="1" x14ac:dyDescent="0.2">
      <c r="B29" s="1137" t="s">
        <v>1266</v>
      </c>
      <c r="C29" s="1057"/>
      <c r="D29" s="2605"/>
      <c r="E29" s="2605"/>
      <c r="F29" s="2605"/>
      <c r="G29" s="2605"/>
      <c r="H29" s="2605"/>
      <c r="I29" s="2605"/>
    </row>
    <row r="30" spans="2:9" s="295" customFormat="1" x14ac:dyDescent="0.2">
      <c r="B30" s="1137"/>
      <c r="C30" s="300"/>
      <c r="D30" s="1188" t="s">
        <v>1728</v>
      </c>
      <c r="E30" s="1189"/>
      <c r="F30" s="1189"/>
      <c r="G30" s="1189"/>
      <c r="H30" s="1189"/>
      <c r="I30" s="1189"/>
    </row>
    <row r="31" spans="2:9" s="295" customFormat="1" ht="9.9499999999999993" customHeight="1" x14ac:dyDescent="0.2">
      <c r="B31" s="1137"/>
      <c r="E31" s="1033"/>
    </row>
    <row r="32" spans="2:9" s="295" customFormat="1" x14ac:dyDescent="0.2">
      <c r="B32" s="1137" t="s">
        <v>1265</v>
      </c>
      <c r="C32" s="1057"/>
      <c r="E32" s="1033"/>
    </row>
    <row r="33" spans="2:9" ht="13.5" customHeight="1" x14ac:dyDescent="0.2">
      <c r="B33" s="1137" t="s">
        <v>1538</v>
      </c>
      <c r="C33" s="1057"/>
      <c r="E33" s="1193"/>
      <c r="F33" s="1075" t="s">
        <v>879</v>
      </c>
      <c r="G33" s="1193"/>
      <c r="H33" s="1075" t="s">
        <v>99</v>
      </c>
    </row>
    <row r="35" spans="2:9" x14ac:dyDescent="0.2">
      <c r="B35" s="1196" t="s">
        <v>1729</v>
      </c>
      <c r="C35" s="1197"/>
      <c r="D35" s="1042"/>
    </row>
    <row r="36" spans="2:9" ht="6" customHeight="1" x14ac:dyDescent="0.2">
      <c r="B36" s="1196"/>
      <c r="C36" s="1197"/>
      <c r="D36" s="1042"/>
    </row>
    <row r="37" spans="2:9" ht="17.25" customHeight="1" x14ac:dyDescent="0.2">
      <c r="B37" s="1198" t="s">
        <v>1730</v>
      </c>
      <c r="C37" s="2606" t="s">
        <v>1731</v>
      </c>
      <c r="D37" s="2607"/>
      <c r="E37" s="2607"/>
      <c r="F37" s="2608"/>
      <c r="G37" s="2606" t="s">
        <v>1578</v>
      </c>
      <c r="H37" s="2607"/>
      <c r="I37" s="2608"/>
    </row>
    <row r="38" spans="2:9" ht="16.5" customHeight="1" x14ac:dyDescent="0.2">
      <c r="B38" s="1199"/>
      <c r="C38" s="2594"/>
      <c r="D38" s="2595"/>
      <c r="E38" s="2595"/>
      <c r="F38" s="2596"/>
      <c r="G38" s="2609"/>
      <c r="H38" s="2610"/>
      <c r="I38" s="2611"/>
    </row>
    <row r="39" spans="2:9" ht="16.5" customHeight="1" x14ac:dyDescent="0.2">
      <c r="B39" s="1199"/>
      <c r="C39" s="2594"/>
      <c r="D39" s="2595"/>
      <c r="E39" s="2595"/>
      <c r="F39" s="2596"/>
      <c r="G39" s="2597"/>
      <c r="H39" s="2597"/>
      <c r="I39" s="2597"/>
    </row>
    <row r="40" spans="2:9" ht="16.5" customHeight="1" x14ac:dyDescent="0.2">
      <c r="B40" s="1199"/>
      <c r="C40" s="2594"/>
      <c r="D40" s="2595"/>
      <c r="E40" s="2595"/>
      <c r="F40" s="2596"/>
      <c r="G40" s="2597"/>
      <c r="H40" s="2597"/>
      <c r="I40" s="2597"/>
    </row>
    <row r="41" spans="2:9" ht="16.5" customHeight="1" x14ac:dyDescent="0.2">
      <c r="B41" s="1199"/>
      <c r="C41" s="2594"/>
      <c r="D41" s="2595"/>
      <c r="E41" s="2595"/>
      <c r="F41" s="2596"/>
      <c r="G41" s="2597"/>
      <c r="H41" s="2597"/>
      <c r="I41" s="2597"/>
    </row>
    <row r="42" spans="2:9" ht="16.5" customHeight="1" x14ac:dyDescent="0.2">
      <c r="B42" s="1199"/>
      <c r="C42" s="2594"/>
      <c r="D42" s="2595"/>
      <c r="E42" s="2595"/>
      <c r="F42" s="2596"/>
      <c r="G42" s="2597"/>
      <c r="H42" s="2597"/>
      <c r="I42" s="2597"/>
    </row>
    <row r="43" spans="2:9" ht="16.5" customHeight="1" x14ac:dyDescent="0.2">
      <c r="B43" s="1199"/>
      <c r="C43" s="2587" t="s">
        <v>1579</v>
      </c>
      <c r="D43" s="2588"/>
      <c r="E43" s="2588"/>
      <c r="F43" s="2589"/>
      <c r="G43" s="2590">
        <f>SUM(G38:I42)</f>
        <v>0</v>
      </c>
      <c r="H43" s="2590"/>
      <c r="I43" s="2590"/>
    </row>
    <row r="44" spans="2:9" ht="12.75" customHeight="1" x14ac:dyDescent="0.2"/>
    <row r="45" spans="2:9" ht="12.75" customHeight="1" x14ac:dyDescent="0.2">
      <c r="B45" s="1916" t="str">
        <f>"Total Federal Expenditures for 7/1/"&amp;MID('AFR20'!E2,3,2)-1&amp;"-6/30/"&amp;MID('AFR20'!E2,3,2)</f>
        <v>Total Federal Expenditures for 7/1/19-6/30/20</v>
      </c>
      <c r="C45" s="1917"/>
      <c r="D45" s="2591">
        <v>0</v>
      </c>
      <c r="E45" s="2592"/>
    </row>
    <row r="46" spans="2:9" ht="5.25" customHeight="1" x14ac:dyDescent="0.2">
      <c r="B46" s="1200"/>
      <c r="D46" s="1201"/>
      <c r="E46" s="1202"/>
    </row>
    <row r="47" spans="2:9" ht="12.75" customHeight="1" x14ac:dyDescent="0.2">
      <c r="B47" s="1075" t="s">
        <v>1580</v>
      </c>
      <c r="C47" s="1075"/>
      <c r="D47" s="1203" t="e">
        <f>+G43/D45</f>
        <v>#DIV/0!</v>
      </c>
      <c r="E47" s="1204"/>
      <c r="F47" s="1205"/>
      <c r="I47" s="1206"/>
    </row>
    <row r="48" spans="2:9" ht="9.9499999999999993" customHeight="1" x14ac:dyDescent="0.2"/>
    <row r="49" spans="1:9" x14ac:dyDescent="0.2">
      <c r="B49" s="1137" t="s">
        <v>1264</v>
      </c>
      <c r="C49" s="1057"/>
      <c r="D49" s="1057"/>
      <c r="E49" s="2593"/>
      <c r="F49" s="2593"/>
      <c r="G49" s="2593"/>
      <c r="H49" s="300"/>
    </row>
    <row r="51" spans="1:9" ht="13.5" customHeight="1" x14ac:dyDescent="0.2">
      <c r="B51" s="1137" t="s">
        <v>1263</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1732</v>
      </c>
      <c r="C54" s="1215"/>
      <c r="D54" s="1215"/>
    </row>
    <row r="55" spans="1:9" s="1216" customFormat="1" ht="12.75" customHeight="1" x14ac:dyDescent="0.2">
      <c r="A55" s="1213"/>
      <c r="B55" s="1217" t="s">
        <v>1581</v>
      </c>
      <c r="C55" s="1213"/>
      <c r="D55" s="1213"/>
    </row>
    <row r="56" spans="1:9" s="1216" customFormat="1" ht="12.75" customHeight="1" x14ac:dyDescent="0.2">
      <c r="A56" s="1213"/>
      <c r="B56" s="1217" t="s">
        <v>1582</v>
      </c>
      <c r="C56" s="1213"/>
      <c r="D56" s="1213"/>
    </row>
    <row r="57" spans="1:9" s="1216" customFormat="1" ht="3.95" customHeight="1" x14ac:dyDescent="0.2">
      <c r="A57" s="1213"/>
      <c r="B57" s="1217"/>
      <c r="C57" s="1213"/>
      <c r="D57" s="1213"/>
    </row>
    <row r="58" spans="1:9" s="1216" customFormat="1" ht="13.5" customHeight="1" x14ac:dyDescent="0.2">
      <c r="A58" s="1213"/>
      <c r="B58" s="1218" t="s">
        <v>1733</v>
      </c>
      <c r="C58" s="1219"/>
      <c r="D58" s="1219"/>
    </row>
    <row r="59" spans="1:9" s="1216" customFormat="1" ht="3.95" customHeight="1" x14ac:dyDescent="0.2">
      <c r="A59" s="1213"/>
      <c r="B59" s="1218"/>
      <c r="C59" s="1219"/>
      <c r="D59" s="1219"/>
    </row>
    <row r="60" spans="1:9" s="1216" customFormat="1" ht="13.5" customHeight="1" x14ac:dyDescent="0.2">
      <c r="A60" s="1213"/>
      <c r="B60" s="1218" t="s">
        <v>1734</v>
      </c>
      <c r="C60" s="1219"/>
      <c r="D60" s="1219"/>
    </row>
    <row r="61" spans="1:9" s="1216" customFormat="1" ht="3.95" customHeight="1" x14ac:dyDescent="0.2">
      <c r="A61" s="1213"/>
      <c r="B61" s="1218"/>
      <c r="C61" s="1219"/>
      <c r="D61" s="1219"/>
    </row>
    <row r="62" spans="1:9" s="1216" customFormat="1" ht="12.75" customHeight="1" x14ac:dyDescent="0.2">
      <c r="A62" s="1213"/>
      <c r="B62" s="1218" t="s">
        <v>1735</v>
      </c>
      <c r="C62" s="1219"/>
      <c r="D62" s="1219"/>
    </row>
    <row r="63" spans="1:9" s="1216" customFormat="1" ht="13.5" customHeight="1" x14ac:dyDescent="0.2">
      <c r="A63" s="1213"/>
      <c r="B63" s="1217" t="s">
        <v>1583</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Meredosia- Chambersburg CUSD 11</v>
      </c>
      <c r="C1" s="2598"/>
      <c r="D1" s="2598"/>
      <c r="E1" s="2598"/>
      <c r="F1" s="2598"/>
      <c r="G1" s="2598"/>
      <c r="H1" s="2598"/>
      <c r="I1" s="2598"/>
      <c r="J1" s="2598"/>
      <c r="K1" s="2598"/>
      <c r="L1" s="1143"/>
      <c r="M1" s="1143"/>
    </row>
    <row r="2" spans="1:13" ht="12" customHeight="1" x14ac:dyDescent="0.2">
      <c r="B2" s="2600">
        <f>'Single Audit Cover'!E7</f>
        <v>1069011026</v>
      </c>
      <c r="C2" s="2600"/>
      <c r="D2" s="2600"/>
      <c r="E2" s="2600"/>
      <c r="F2" s="2600"/>
      <c r="G2" s="2600"/>
      <c r="H2" s="2600"/>
      <c r="I2" s="2600"/>
      <c r="J2" s="2600"/>
      <c r="K2" s="2600"/>
      <c r="L2" s="1144"/>
      <c r="M2" s="1145"/>
    </row>
    <row r="3" spans="1:13" ht="10.35" customHeight="1" x14ac:dyDescent="0.2">
      <c r="B3" s="2614" t="s">
        <v>1276</v>
      </c>
      <c r="C3" s="2614"/>
      <c r="D3" s="2614"/>
      <c r="E3" s="2614"/>
      <c r="F3" s="2614"/>
      <c r="G3" s="2614"/>
      <c r="H3" s="2614"/>
      <c r="I3" s="2614"/>
      <c r="J3" s="2614"/>
      <c r="K3" s="2614"/>
      <c r="L3" s="1146"/>
      <c r="M3" s="1146"/>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5" t="s">
        <v>1161</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5" t="s">
        <v>1287</v>
      </c>
      <c r="C7" s="2615"/>
      <c r="D7" s="2616"/>
      <c r="E7" s="2616"/>
      <c r="F7" s="2616"/>
      <c r="G7" s="2616"/>
      <c r="H7" s="2616"/>
      <c r="I7" s="2616"/>
      <c r="J7" s="2616"/>
      <c r="K7" s="261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1722</v>
      </c>
      <c r="C10" s="1918" t="str">
        <f>'AFR20'!$E$2&amp;"-"</f>
        <v>2020-</v>
      </c>
      <c r="D10" s="1154"/>
      <c r="E10" s="300"/>
      <c r="F10" s="1155" t="s">
        <v>1286</v>
      </c>
      <c r="G10" s="1156"/>
      <c r="H10" s="1157" t="s">
        <v>1285</v>
      </c>
      <c r="I10" s="1156"/>
      <c r="J10" s="1158" t="s">
        <v>1284</v>
      </c>
      <c r="K10" s="300"/>
      <c r="L10" s="1150"/>
    </row>
    <row r="11" spans="1:13" ht="13.5" customHeight="1" x14ac:dyDescent="0.2">
      <c r="B11" s="300"/>
      <c r="C11" s="300"/>
      <c r="D11" s="300"/>
      <c r="E11" s="300"/>
      <c r="F11" s="300"/>
      <c r="G11" s="1152"/>
      <c r="H11" s="300"/>
      <c r="I11" s="1159" t="s">
        <v>1283</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1282</v>
      </c>
      <c r="C13" s="1161"/>
      <c r="D13" s="1162"/>
      <c r="E13" s="1162"/>
      <c r="F13" s="1162"/>
      <c r="G13" s="1163"/>
      <c r="H13" s="1162"/>
      <c r="I13" s="1163"/>
      <c r="J13" s="1162"/>
      <c r="K13" s="1162"/>
      <c r="L13" s="1164"/>
    </row>
    <row r="14" spans="1:13" ht="45.75" customHeight="1" x14ac:dyDescent="0.2">
      <c r="B14" s="2613"/>
      <c r="C14" s="2613"/>
      <c r="D14" s="2613"/>
      <c r="E14" s="2613"/>
      <c r="F14" s="2613"/>
      <c r="G14" s="2613"/>
      <c r="H14" s="2613"/>
      <c r="I14" s="2613"/>
      <c r="J14" s="2613"/>
      <c r="K14" s="261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1281</v>
      </c>
      <c r="C16" s="1161"/>
      <c r="D16" s="1162"/>
      <c r="E16" s="1162"/>
      <c r="F16" s="1162"/>
      <c r="G16" s="1163"/>
      <c r="H16" s="1162"/>
      <c r="I16" s="1163"/>
      <c r="J16" s="1162"/>
      <c r="K16" s="1162"/>
      <c r="L16" s="1164"/>
    </row>
    <row r="17" spans="2:12" ht="45.75" customHeight="1" x14ac:dyDescent="0.2">
      <c r="B17" s="2613"/>
      <c r="C17" s="2613"/>
      <c r="D17" s="2613"/>
      <c r="E17" s="2613"/>
      <c r="F17" s="2613"/>
      <c r="G17" s="2613"/>
      <c r="H17" s="2613"/>
      <c r="I17" s="2613"/>
      <c r="J17" s="2613"/>
      <c r="K17" s="2613"/>
      <c r="L17" s="1150"/>
    </row>
    <row r="18" spans="2:12" ht="4.5" customHeight="1" x14ac:dyDescent="0.2">
      <c r="B18" s="1166"/>
      <c r="C18" s="1166"/>
      <c r="L18" s="1150"/>
    </row>
    <row r="19" spans="2:12" s="1057" customFormat="1" ht="13.5" customHeight="1" x14ac:dyDescent="0.2">
      <c r="B19" s="1161" t="s">
        <v>1723</v>
      </c>
      <c r="C19" s="1161"/>
      <c r="D19" s="1162"/>
      <c r="E19" s="1162"/>
      <c r="F19" s="1162"/>
      <c r="G19" s="1163"/>
      <c r="H19" s="1162"/>
      <c r="I19" s="1163"/>
      <c r="J19" s="1162"/>
      <c r="K19" s="1162"/>
      <c r="L19" s="1164"/>
    </row>
    <row r="20" spans="2:12" ht="45.75" customHeight="1" x14ac:dyDescent="0.2">
      <c r="B20" s="2617"/>
      <c r="C20" s="2617"/>
      <c r="D20" s="2613"/>
      <c r="E20" s="2613"/>
      <c r="F20" s="2613"/>
      <c r="G20" s="2613"/>
      <c r="H20" s="2613"/>
      <c r="I20" s="2613"/>
      <c r="J20" s="2613"/>
      <c r="K20" s="2613"/>
      <c r="L20" s="1150"/>
    </row>
    <row r="21" spans="2:12" ht="4.5" customHeight="1" x14ac:dyDescent="0.2">
      <c r="B21" s="1168"/>
      <c r="C21" s="1168"/>
      <c r="L21" s="1150"/>
    </row>
    <row r="22" spans="2:12" ht="13.5" customHeight="1" x14ac:dyDescent="0.2">
      <c r="B22" s="1161" t="s">
        <v>1280</v>
      </c>
      <c r="C22" s="1161"/>
      <c r="D22" s="1148"/>
      <c r="E22" s="1148"/>
      <c r="F22" s="1148"/>
      <c r="G22" s="1149"/>
      <c r="H22" s="1148"/>
      <c r="I22" s="1149"/>
      <c r="J22" s="1148"/>
      <c r="K22" s="1148"/>
      <c r="L22" s="1150"/>
    </row>
    <row r="23" spans="2:12" ht="45" customHeight="1" x14ac:dyDescent="0.2">
      <c r="B23" s="2613"/>
      <c r="C23" s="2613"/>
      <c r="D23" s="2613"/>
      <c r="E23" s="2613"/>
      <c r="F23" s="2613"/>
      <c r="G23" s="2613"/>
      <c r="H23" s="2613"/>
      <c r="I23" s="2613"/>
      <c r="J23" s="2613"/>
      <c r="K23" s="2613"/>
      <c r="L23" s="1150"/>
    </row>
    <row r="24" spans="2:12" ht="4.5" customHeight="1" x14ac:dyDescent="0.2">
      <c r="B24" s="1166"/>
      <c r="C24" s="1166"/>
      <c r="L24" s="1150"/>
    </row>
    <row r="25" spans="2:12" ht="13.5" customHeight="1" x14ac:dyDescent="0.2">
      <c r="B25" s="1161" t="s">
        <v>1279</v>
      </c>
      <c r="C25" s="1161"/>
      <c r="D25" s="1148"/>
      <c r="E25" s="1148"/>
      <c r="F25" s="1148"/>
      <c r="G25" s="1149"/>
      <c r="H25" s="1148"/>
      <c r="I25" s="1149"/>
      <c r="J25" s="1148"/>
      <c r="K25" s="1148"/>
      <c r="L25" s="1150"/>
    </row>
    <row r="26" spans="2:12" ht="45.75" customHeight="1" x14ac:dyDescent="0.2">
      <c r="B26" s="2613"/>
      <c r="C26" s="2613"/>
      <c r="D26" s="2613"/>
      <c r="E26" s="2613"/>
      <c r="F26" s="2613"/>
      <c r="G26" s="2613"/>
      <c r="H26" s="2613"/>
      <c r="I26" s="2613"/>
      <c r="J26" s="2613"/>
      <c r="K26" s="2613"/>
      <c r="L26" s="1150"/>
    </row>
    <row r="27" spans="2:12" ht="4.5" customHeight="1" x14ac:dyDescent="0.2">
      <c r="B27" s="1166"/>
      <c r="C27" s="1166"/>
      <c r="L27" s="1150"/>
    </row>
    <row r="28" spans="2:12" ht="13.5" customHeight="1" x14ac:dyDescent="0.2">
      <c r="B28" s="1169" t="s">
        <v>1278</v>
      </c>
      <c r="C28" s="1169"/>
      <c r="D28" s="1148"/>
      <c r="E28" s="1148"/>
      <c r="F28" s="1148"/>
      <c r="G28" s="1149"/>
      <c r="H28" s="1148"/>
      <c r="I28" s="1149"/>
      <c r="J28" s="1148"/>
      <c r="K28" s="1148"/>
      <c r="L28" s="1150"/>
    </row>
    <row r="29" spans="2:12" ht="45.75" customHeight="1" x14ac:dyDescent="0.2">
      <c r="B29" s="2612"/>
      <c r="C29" s="2612"/>
      <c r="D29" s="2613"/>
      <c r="E29" s="2613"/>
      <c r="F29" s="2613"/>
      <c r="G29" s="2613"/>
      <c r="H29" s="2613"/>
      <c r="I29" s="2613"/>
      <c r="J29" s="2613"/>
      <c r="K29" s="261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1724</v>
      </c>
      <c r="C31" s="1171"/>
      <c r="D31" s="1147"/>
      <c r="E31" s="1148"/>
      <c r="F31" s="1148"/>
      <c r="G31" s="1149"/>
      <c r="H31" s="1148"/>
      <c r="I31" s="1149"/>
      <c r="J31" s="1148"/>
      <c r="K31" s="1148"/>
      <c r="L31" s="1150"/>
    </row>
    <row r="32" spans="2:12" s="300" customFormat="1" ht="44.25" customHeight="1" x14ac:dyDescent="0.2">
      <c r="B32" s="2612"/>
      <c r="C32" s="2612"/>
      <c r="D32" s="2613"/>
      <c r="E32" s="2613"/>
      <c r="F32" s="2613"/>
      <c r="G32" s="2613"/>
      <c r="H32" s="2613"/>
      <c r="I32" s="2613"/>
      <c r="J32" s="2613"/>
      <c r="K32" s="261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1725</v>
      </c>
      <c r="C35" s="1174"/>
      <c r="D35" s="300"/>
      <c r="E35" s="300"/>
      <c r="F35" s="300"/>
      <c r="L35" s="1150"/>
    </row>
    <row r="36" spans="1:13" ht="9.6" customHeight="1" x14ac:dyDescent="0.2">
      <c r="B36" s="1075" t="s">
        <v>1816</v>
      </c>
      <c r="C36" s="1075"/>
      <c r="L36" s="1150"/>
    </row>
    <row r="37" spans="1:13" ht="9.6" customHeight="1" x14ac:dyDescent="0.2">
      <c r="B37" s="1075" t="s">
        <v>1817</v>
      </c>
      <c r="C37" s="1075"/>
    </row>
    <row r="38" spans="1:13" ht="11.85" customHeight="1" x14ac:dyDescent="0.2">
      <c r="B38" s="1175" t="s">
        <v>1726</v>
      </c>
      <c r="C38" s="1175"/>
    </row>
    <row r="39" spans="1:13" ht="9.6" customHeight="1" x14ac:dyDescent="0.2">
      <c r="B39" s="1075" t="s">
        <v>1277</v>
      </c>
      <c r="C39" s="1075"/>
      <c r="M39" s="1176"/>
    </row>
    <row r="40" spans="1:13" ht="12.6" customHeight="1" x14ac:dyDescent="0.2">
      <c r="B40" s="1175" t="s">
        <v>1727</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Meredosia- Chambersburg CUSD 11</v>
      </c>
      <c r="C1" s="2621"/>
      <c r="D1" s="2621"/>
      <c r="E1" s="2621"/>
      <c r="F1" s="2621"/>
      <c r="G1" s="2621"/>
      <c r="H1" s="2621"/>
      <c r="I1" s="2621"/>
      <c r="J1" s="2621"/>
      <c r="K1" s="2621"/>
      <c r="L1" s="1220"/>
    </row>
    <row r="2" spans="1:12" ht="12.75" customHeight="1" x14ac:dyDescent="0.2">
      <c r="B2" s="2622">
        <f>'Single Audit Cover'!E7</f>
        <v>1069011026</v>
      </c>
      <c r="C2" s="2622"/>
      <c r="D2" s="2622"/>
      <c r="E2" s="2622"/>
      <c r="F2" s="2622"/>
      <c r="G2" s="2622"/>
      <c r="H2" s="2622"/>
      <c r="I2" s="2622"/>
      <c r="J2" s="2622"/>
      <c r="K2" s="2622"/>
      <c r="L2" s="1221"/>
    </row>
    <row r="3" spans="1:12" ht="12.75" customHeight="1" x14ac:dyDescent="0.2">
      <c r="B3" s="2614" t="s">
        <v>1276</v>
      </c>
      <c r="C3" s="2614"/>
      <c r="D3" s="2614"/>
      <c r="E3" s="2614"/>
      <c r="F3" s="2614"/>
      <c r="G3" s="2614"/>
      <c r="H3" s="2614"/>
      <c r="I3" s="2614"/>
      <c r="J3" s="2614"/>
      <c r="K3" s="2614"/>
      <c r="L3" s="1146"/>
    </row>
    <row r="4" spans="1:12" ht="12.75" customHeight="1" x14ac:dyDescent="0.2">
      <c r="B4" s="2614" t="str">
        <f>'Single Audit Cover'!A4</f>
        <v>Year Ending June 30, 2020</v>
      </c>
      <c r="C4" s="2614"/>
      <c r="D4" s="2614"/>
      <c r="E4" s="2614"/>
      <c r="F4" s="2614"/>
      <c r="G4" s="2614"/>
      <c r="H4" s="2614"/>
      <c r="I4" s="2614"/>
      <c r="J4" s="2614"/>
      <c r="K4" s="2614"/>
      <c r="L4" s="1146"/>
    </row>
    <row r="5" spans="1:12" ht="5.25" customHeight="1" x14ac:dyDescent="0.2">
      <c r="B5" s="1035" t="s">
        <v>1161</v>
      </c>
      <c r="C5" s="1035"/>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8"/>
      <c r="C7" s="1148"/>
      <c r="D7" s="1148"/>
      <c r="E7" s="1148"/>
      <c r="F7" s="1148"/>
      <c r="G7" s="1149"/>
      <c r="H7" s="1148"/>
      <c r="I7" s="1149"/>
      <c r="J7" s="1148"/>
      <c r="K7" s="1148"/>
      <c r="L7" s="300"/>
    </row>
    <row r="8" spans="1:12" ht="13.5" customHeight="1" x14ac:dyDescent="0.2">
      <c r="B8" s="1155" t="s">
        <v>1736</v>
      </c>
      <c r="C8" s="1918" t="str">
        <f>'AFR20'!$E$2&amp;"-"</f>
        <v>2020-</v>
      </c>
      <c r="D8" s="1222"/>
      <c r="E8" s="300"/>
      <c r="F8" s="1153" t="s">
        <v>1286</v>
      </c>
      <c r="G8" s="1223"/>
      <c r="H8" s="1224" t="s">
        <v>1298</v>
      </c>
      <c r="I8" s="1223"/>
      <c r="J8" s="1225" t="s">
        <v>1297</v>
      </c>
      <c r="L8" s="300"/>
    </row>
    <row r="9" spans="1:12" ht="13.5" customHeight="1" x14ac:dyDescent="0.2">
      <c r="D9" s="300"/>
      <c r="E9" s="300"/>
      <c r="F9" s="300"/>
      <c r="G9" s="1152"/>
      <c r="H9" s="300"/>
      <c r="I9" s="1226" t="s">
        <v>1283</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1296</v>
      </c>
      <c r="C12" s="1153"/>
      <c r="D12" s="282"/>
      <c r="E12" s="300"/>
      <c r="F12" s="2605"/>
      <c r="G12" s="2605"/>
      <c r="H12" s="2605"/>
      <c r="I12" s="2605"/>
      <c r="J12" s="2605"/>
      <c r="K12" s="260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1295</v>
      </c>
      <c r="C14" s="1155"/>
      <c r="D14" s="2618"/>
      <c r="E14" s="2618"/>
      <c r="F14" s="2618"/>
      <c r="H14" s="1229" t="s">
        <v>1294</v>
      </c>
      <c r="I14" s="2619"/>
      <c r="J14" s="2619"/>
      <c r="K14" s="2619"/>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1293</v>
      </c>
      <c r="C16" s="1155"/>
      <c r="D16" s="2619"/>
      <c r="E16" s="2619"/>
      <c r="F16" s="2619"/>
      <c r="G16" s="2619"/>
      <c r="H16" s="2619"/>
      <c r="I16" s="2619"/>
      <c r="J16" s="2619"/>
      <c r="K16" s="2619"/>
      <c r="L16" s="300"/>
    </row>
    <row r="17" spans="2:12" ht="13.5" customHeight="1" x14ac:dyDescent="0.2">
      <c r="B17" s="1155" t="s">
        <v>1292</v>
      </c>
      <c r="C17" s="1155"/>
      <c r="D17" s="2620"/>
      <c r="E17" s="2620"/>
      <c r="F17" s="2620"/>
      <c r="G17" s="2620"/>
      <c r="H17" s="2620"/>
      <c r="I17" s="2620"/>
      <c r="J17" s="2620"/>
      <c r="K17" s="2620"/>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1291</v>
      </c>
      <c r="C19" s="1231"/>
      <c r="D19" s="306"/>
      <c r="E19" s="306"/>
      <c r="F19" s="306"/>
      <c r="G19" s="1232"/>
      <c r="H19" s="306"/>
      <c r="I19" s="1232"/>
      <c r="J19" s="300"/>
      <c r="K19" s="300"/>
      <c r="L19" s="300"/>
    </row>
    <row r="20" spans="2:12" ht="35.25" customHeight="1" x14ac:dyDescent="0.2">
      <c r="B20" s="2613"/>
      <c r="C20" s="2613"/>
      <c r="D20" s="2613"/>
      <c r="E20" s="2613"/>
      <c r="F20" s="2613"/>
      <c r="G20" s="2613"/>
      <c r="H20" s="2613"/>
      <c r="I20" s="2613"/>
      <c r="J20" s="2613"/>
      <c r="K20" s="261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1737</v>
      </c>
      <c r="C22" s="1231"/>
      <c r="D22" s="300"/>
      <c r="E22" s="300"/>
      <c r="F22" s="300"/>
      <c r="G22" s="1152"/>
      <c r="H22" s="300"/>
      <c r="I22" s="1152"/>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1738</v>
      </c>
      <c r="C25" s="1231"/>
      <c r="D25" s="300"/>
      <c r="E25" s="300"/>
      <c r="F25" s="300"/>
      <c r="G25" s="1152"/>
      <c r="H25" s="300"/>
      <c r="I25" s="1152"/>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1739</v>
      </c>
      <c r="C28" s="1231"/>
      <c r="D28" s="300"/>
      <c r="E28" s="300"/>
      <c r="F28" s="300"/>
      <c r="G28" s="1152"/>
      <c r="H28" s="300"/>
      <c r="I28" s="1152"/>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1290</v>
      </c>
      <c r="C31" s="1231"/>
      <c r="D31" s="300"/>
      <c r="E31" s="300"/>
      <c r="F31" s="300"/>
      <c r="G31" s="1152"/>
      <c r="H31" s="300"/>
      <c r="I31" s="1152"/>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1289</v>
      </c>
      <c r="C34" s="1153"/>
      <c r="D34" s="300"/>
      <c r="E34" s="300"/>
      <c r="F34" s="300"/>
      <c r="G34" s="1152"/>
      <c r="H34" s="300"/>
      <c r="I34" s="1152"/>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1288</v>
      </c>
      <c r="C37" s="1153"/>
      <c r="D37" s="300"/>
      <c r="E37" s="300"/>
      <c r="F37" s="300"/>
      <c r="G37" s="1152"/>
      <c r="H37" s="300"/>
      <c r="I37" s="1152"/>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1740</v>
      </c>
      <c r="C40" s="1171"/>
      <c r="D40" s="1147"/>
      <c r="E40" s="1148"/>
      <c r="F40" s="1148"/>
      <c r="G40" s="1149"/>
      <c r="H40" s="1148"/>
      <c r="I40" s="1149"/>
      <c r="J40" s="1148"/>
      <c r="K40" s="1148"/>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1741</v>
      </c>
      <c r="C44" s="1174"/>
      <c r="D44" s="300"/>
      <c r="E44" s="300"/>
      <c r="F44" s="300"/>
    </row>
    <row r="45" spans="2:12" ht="10.5" customHeight="1" x14ac:dyDescent="0.2">
      <c r="B45" s="1175" t="s">
        <v>1742</v>
      </c>
      <c r="C45" s="1175"/>
      <c r="G45" s="295"/>
      <c r="I45" s="295"/>
    </row>
    <row r="46" spans="2:12" ht="11.1" customHeight="1" x14ac:dyDescent="0.2">
      <c r="B46" s="1175" t="s">
        <v>1743</v>
      </c>
      <c r="C46" s="1175"/>
      <c r="G46" s="295"/>
      <c r="I46" s="295"/>
    </row>
    <row r="47" spans="2:12" ht="11.1" customHeight="1" x14ac:dyDescent="0.2">
      <c r="B47" s="1175" t="s">
        <v>1744</v>
      </c>
      <c r="C47" s="1175"/>
      <c r="G47" s="295"/>
      <c r="I47" s="295"/>
    </row>
    <row r="48" spans="2:12" ht="11.1" customHeight="1" x14ac:dyDescent="0.2">
      <c r="B48" s="1175" t="s">
        <v>1745</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8" t="str">
        <f>'Single Audit Cover'!A7</f>
        <v>Meredosia- Chambersburg CUSD 11</v>
      </c>
      <c r="C1" s="2598"/>
      <c r="D1" s="2598"/>
      <c r="E1" s="1239"/>
    </row>
    <row r="2" spans="2:5" s="1057" customFormat="1" ht="12.75" customHeight="1" x14ac:dyDescent="0.2">
      <c r="B2" s="2600">
        <f>'Single Audit Cover'!E7</f>
        <v>1069011026</v>
      </c>
      <c r="C2" s="2600"/>
      <c r="D2" s="2600"/>
      <c r="E2" s="1240"/>
    </row>
    <row r="3" spans="2:5" ht="12.75" customHeight="1" x14ac:dyDescent="0.2">
      <c r="B3" s="2614" t="s">
        <v>1746</v>
      </c>
      <c r="C3" s="2614"/>
      <c r="D3" s="2614"/>
      <c r="E3" s="1049"/>
    </row>
    <row r="4" spans="2:5" s="1057" customFormat="1" ht="12.75" customHeight="1" x14ac:dyDescent="0.2">
      <c r="B4" s="2624" t="str">
        <f>'Single Audit Cover'!A4</f>
        <v>Year Ending June 30, 2020</v>
      </c>
      <c r="C4" s="2624"/>
      <c r="D4" s="2624"/>
      <c r="E4" s="1241"/>
    </row>
    <row r="5" spans="2:5" s="1057" customFormat="1" ht="40.15" customHeight="1" x14ac:dyDescent="0.2">
      <c r="B5" s="1242" t="s">
        <v>1747</v>
      </c>
      <c r="C5" s="306"/>
      <c r="D5" s="306"/>
      <c r="E5" s="306"/>
    </row>
    <row r="6" spans="2:5" s="1057" customFormat="1" ht="13.5" customHeight="1" x14ac:dyDescent="0.2">
      <c r="B6" s="1243" t="s">
        <v>1306</v>
      </c>
      <c r="C6" s="1243" t="s">
        <v>1305</v>
      </c>
      <c r="D6" s="1243" t="s">
        <v>1748</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1304</v>
      </c>
      <c r="C44" s="300"/>
    </row>
    <row r="45" spans="2:5" ht="12.2" customHeight="1" x14ac:dyDescent="0.2">
      <c r="B45" s="1253" t="s">
        <v>1749</v>
      </c>
    </row>
    <row r="46" spans="2:5" ht="12.2" customHeight="1" x14ac:dyDescent="0.2">
      <c r="B46" s="1253" t="s">
        <v>1750</v>
      </c>
    </row>
    <row r="47" spans="2:5" ht="12.2" customHeight="1" x14ac:dyDescent="0.2">
      <c r="B47" s="1254" t="s">
        <v>1303</v>
      </c>
    </row>
    <row r="48" spans="2:5" ht="12.2" customHeight="1" x14ac:dyDescent="0.2">
      <c r="B48" s="1254" t="s">
        <v>1302</v>
      </c>
    </row>
    <row r="49" spans="2:5" ht="12.2" customHeight="1" x14ac:dyDescent="0.2">
      <c r="B49" s="1254" t="s">
        <v>1301</v>
      </c>
    </row>
    <row r="50" spans="2:5" ht="12.2" customHeight="1" x14ac:dyDescent="0.2">
      <c r="B50" s="1254" t="s">
        <v>1300</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FF00"/>
  </sheetPr>
  <dimension ref="A1:N72"/>
  <sheetViews>
    <sheetView showGridLines="0" defaultGridColor="0" colorId="8" zoomScale="110" zoomScaleNormal="110" workbookViewId="0">
      <selection activeCell="J33" sqref="J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26522108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2.75E-2</v>
      </c>
      <c r="E10" s="333" t="s">
        <v>998</v>
      </c>
      <c r="F10" s="332">
        <v>5.0000000000000001E-3</v>
      </c>
      <c r="G10" s="333" t="s">
        <v>998</v>
      </c>
      <c r="H10" s="332">
        <v>2E-3</v>
      </c>
      <c r="I10" s="333" t="s">
        <v>999</v>
      </c>
      <c r="J10" s="1423">
        <f>ROUND(D10+F10+H10,5)</f>
        <v>3.4500000000000003E-2</v>
      </c>
      <c r="K10" s="217"/>
      <c r="L10" s="332">
        <v>5.0000000000000001E-4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2881225</v>
      </c>
      <c r="E16" s="1546"/>
      <c r="F16" s="1545">
        <f>SUM('Acct Summary 7-8'!C17,'Acct Summary 7-8'!D17,'Acct Summary 7-8'!F17)</f>
        <v>2814689</v>
      </c>
      <c r="G16" s="1546"/>
      <c r="H16" s="1545">
        <f>SUM(D16-F16)</f>
        <v>66536</v>
      </c>
      <c r="I16" s="1547"/>
      <c r="J16" s="1545">
        <f>SUM('Acct Summary 7-8'!C81,'Acct Summary 7-8'!D81,'Acct Summary 7-8'!F81,'Acct Summary 7-8'!I81)</f>
        <v>1303188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3660050.9040000001</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215000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FF0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1399</v>
      </c>
      <c r="B3" s="2207"/>
      <c r="C3" s="2207"/>
      <c r="D3" s="2207"/>
      <c r="E3" s="2207"/>
      <c r="F3" s="2207"/>
      <c r="G3" s="2207"/>
      <c r="H3" s="2207"/>
      <c r="I3" s="2207"/>
      <c r="J3" s="2207"/>
      <c r="K3" s="2207"/>
      <c r="L3" s="2207"/>
      <c r="M3" s="2207"/>
      <c r="N3" s="2207"/>
      <c r="O3" s="2207"/>
      <c r="P3" s="2207"/>
      <c r="Q3" s="2207"/>
      <c r="R3" s="2207"/>
    </row>
    <row r="4" spans="1:18" x14ac:dyDescent="0.2">
      <c r="A4" s="2208" t="s">
        <v>1540</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Meredosia- Chambersburg CUSD 11</v>
      </c>
      <c r="E7" s="368"/>
      <c r="G7" s="247"/>
      <c r="H7" s="364"/>
      <c r="I7" s="364"/>
      <c r="J7" s="364"/>
      <c r="K7" s="364"/>
      <c r="L7" s="307"/>
      <c r="M7" s="307"/>
      <c r="N7" s="307"/>
      <c r="O7" s="307"/>
      <c r="P7" s="307"/>
    </row>
    <row r="8" spans="1:18" ht="12.75" x14ac:dyDescent="0.2">
      <c r="A8" s="307"/>
      <c r="B8" s="307"/>
      <c r="C8" s="366" t="s">
        <v>1117</v>
      </c>
      <c r="D8" s="369">
        <f>COVER!A13</f>
        <v>1069011026</v>
      </c>
      <c r="E8" s="370"/>
      <c r="G8" s="307"/>
      <c r="H8" s="307"/>
      <c r="I8" s="307"/>
      <c r="J8" s="307"/>
      <c r="K8" s="307"/>
      <c r="L8" s="307"/>
      <c r="M8" s="307"/>
      <c r="N8" s="307"/>
      <c r="O8" s="307"/>
      <c r="P8" s="307"/>
    </row>
    <row r="9" spans="1:18" ht="12.75" x14ac:dyDescent="0.2">
      <c r="A9" s="307"/>
      <c r="B9" s="307"/>
      <c r="C9" s="366" t="s">
        <v>708</v>
      </c>
      <c r="D9" s="371" t="str">
        <f>COVER!A15</f>
        <v>Morgan, Cass, Brown, Pike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1303188</v>
      </c>
      <c r="I12" s="380"/>
      <c r="J12" s="380"/>
      <c r="K12" s="1558">
        <f>TRUNC((H12/H13*100000),5)/100000</f>
        <v>0.45230344729999999</v>
      </c>
      <c r="L12" s="381"/>
      <c r="M12" s="337" t="s">
        <v>1136</v>
      </c>
      <c r="N12" s="337"/>
      <c r="O12" s="1561">
        <v>0.35</v>
      </c>
      <c r="P12" s="213"/>
      <c r="Q12" s="213"/>
    </row>
    <row r="13" spans="1:18" s="382" customFormat="1" ht="12.75" x14ac:dyDescent="0.2">
      <c r="A13" s="213"/>
      <c r="B13" s="377"/>
      <c r="C13" s="2204" t="s">
        <v>1315</v>
      </c>
      <c r="D13" s="2205"/>
      <c r="E13" s="213"/>
      <c r="F13" s="383" t="s">
        <v>788</v>
      </c>
      <c r="G13" s="378"/>
      <c r="H13" s="1550">
        <f>SUM('Acct Summary 7-8'!C8+'Acct Summary 7-8'!D8+'Acct Summary 7-8'!F8+'Acct Summary 7-8'!I8)+H14</f>
        <v>2881225</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2814689</v>
      </c>
      <c r="I17" s="380"/>
      <c r="J17" s="389"/>
      <c r="K17" s="1558">
        <f>TRUNC((H17/H18*100000),5)/100000</f>
        <v>0.9769070447</v>
      </c>
      <c r="L17" s="381"/>
      <c r="M17" s="390" t="s">
        <v>1163</v>
      </c>
      <c r="O17" s="1564" t="str">
        <f>IF(AND(O16="2", J20 &gt; 2),"1",IF(AND(O16 = "1", J20 &gt; 2),"2",IF(AND(O16="1", J20 &gt;1),"1","0")))</f>
        <v>0</v>
      </c>
      <c r="P17" s="213"/>
    </row>
    <row r="18" spans="1:18" s="382" customFormat="1" ht="11.25" x14ac:dyDescent="0.2">
      <c r="A18" s="213"/>
      <c r="B18" s="377"/>
      <c r="C18" s="2204" t="s">
        <v>1308</v>
      </c>
      <c r="D18" s="2205"/>
      <c r="E18" s="213"/>
      <c r="F18" s="391" t="s">
        <v>789</v>
      </c>
      <c r="G18" s="378"/>
      <c r="H18" s="1550">
        <f>SUM('Acct Summary 7-8'!C8+'Acct Summary 7-8'!D8+'Acct Summary 7-8'!F8+'Acct Summary 7-8'!I8)+H19</f>
        <v>2881225</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3</v>
      </c>
      <c r="P23" s="211"/>
      <c r="R23" s="361"/>
    </row>
    <row r="24" spans="1:18" s="382" customFormat="1" ht="11.25" x14ac:dyDescent="0.2">
      <c r="A24" s="213"/>
      <c r="B24" s="377"/>
      <c r="C24" s="2201" t="s">
        <v>1398</v>
      </c>
      <c r="D24" s="2201"/>
      <c r="E24" s="213"/>
      <c r="F24" s="213" t="s">
        <v>442</v>
      </c>
      <c r="G24" s="378"/>
      <c r="H24" s="1550">
        <f>SUM('Assets-Liab 5-6'!C4+'Assets-Liab 5-6'!D4+'Assets-Liab 5-6'!F4+'Assets-Liab 5-6'!I4+'Assets-Liab 5-6'!C5+'Assets-Liab 5-6'!D5+'Assets-Liab 5-6'!F5+'Assets-Liab 5-6'!I5)</f>
        <v>1309201</v>
      </c>
      <c r="I24" s="394"/>
      <c r="J24" s="394"/>
      <c r="K24" s="1554">
        <f>TRUNC(((H24/H25*100000)/100000),2)</f>
        <v>167.44</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7818.5805600000003</v>
      </c>
      <c r="I25" s="396"/>
      <c r="J25" s="396"/>
      <c r="K25" s="1557"/>
      <c r="L25" s="213"/>
      <c r="M25" s="337" t="s">
        <v>1137</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1896</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777760.81709999999</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215000</v>
      </c>
      <c r="I32" s="392"/>
      <c r="J32" s="392"/>
      <c r="K32" s="1554">
        <f>TRUNC(100-((((H32/H33*100))*100)/100),2)</f>
        <v>94.12</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3660050.9040000001</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FF00"/>
  </sheetPr>
  <dimension ref="A1:N44"/>
  <sheetViews>
    <sheetView showGridLines="0" defaultGridColor="0" colorId="8" zoomScale="110" zoomScaleNormal="110" workbookViewId="0">
      <pane ySplit="2" topLeftCell="A27" activePane="bottomLeft" state="frozen"/>
      <selection pane="bottomLeft" activeCell="C7" sqref="C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5"/>
      <c r="D3" s="1306"/>
      <c r="E3" s="1306"/>
      <c r="F3" s="1306"/>
      <c r="G3" s="1306"/>
      <c r="H3" s="1306"/>
      <c r="I3" s="1306"/>
      <c r="J3" s="1306"/>
      <c r="K3" s="1306"/>
      <c r="L3" s="1306"/>
      <c r="M3" s="1307"/>
      <c r="N3" s="1308"/>
    </row>
    <row r="4" spans="1:14" ht="13.5" customHeight="1" x14ac:dyDescent="0.2">
      <c r="A4" s="427" t="s">
        <v>1635</v>
      </c>
      <c r="B4" s="428"/>
      <c r="C4" s="1571">
        <v>702288</v>
      </c>
      <c r="D4" s="1572">
        <v>103357</v>
      </c>
      <c r="E4" s="1572">
        <v>113568</v>
      </c>
      <c r="F4" s="1572">
        <v>306947</v>
      </c>
      <c r="G4" s="1572">
        <v>111223</v>
      </c>
      <c r="H4" s="1572">
        <v>149169</v>
      </c>
      <c r="I4" s="1572">
        <v>21768</v>
      </c>
      <c r="J4" s="1573">
        <v>112640</v>
      </c>
      <c r="K4" s="1572">
        <v>23643</v>
      </c>
      <c r="L4" s="1572">
        <v>56530</v>
      </c>
      <c r="M4" s="1574"/>
      <c r="N4" s="1575"/>
    </row>
    <row r="5" spans="1:14" x14ac:dyDescent="0.2">
      <c r="A5" s="427" t="s">
        <v>985</v>
      </c>
      <c r="B5" s="429">
        <v>120</v>
      </c>
      <c r="C5" s="1571">
        <v>63531</v>
      </c>
      <c r="D5" s="1572"/>
      <c r="E5" s="1572"/>
      <c r="F5" s="1572"/>
      <c r="G5" s="1572">
        <v>272742</v>
      </c>
      <c r="H5" s="1572"/>
      <c r="I5" s="1572">
        <v>111310</v>
      </c>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v>6013</v>
      </c>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765819</v>
      </c>
      <c r="D13" s="1586">
        <f t="shared" ref="D13:L13" si="0">SUM(D4:D12)</f>
        <v>103357</v>
      </c>
      <c r="E13" s="1586">
        <f t="shared" si="0"/>
        <v>113568</v>
      </c>
      <c r="F13" s="1586">
        <f t="shared" si="0"/>
        <v>306947</v>
      </c>
      <c r="G13" s="1586">
        <f t="shared" si="0"/>
        <v>383965</v>
      </c>
      <c r="H13" s="1586">
        <f t="shared" si="0"/>
        <v>149169</v>
      </c>
      <c r="I13" s="1586">
        <f t="shared" si="0"/>
        <v>133078</v>
      </c>
      <c r="J13" s="1586">
        <f t="shared" si="0"/>
        <v>118653</v>
      </c>
      <c r="K13" s="1586">
        <f t="shared" si="0"/>
        <v>23643</v>
      </c>
      <c r="L13" s="1586">
        <f t="shared" si="0"/>
        <v>56530</v>
      </c>
      <c r="M13" s="1574"/>
      <c r="N13" s="1575"/>
    </row>
    <row r="14" spans="1:14" ht="18" customHeight="1" thickTop="1" x14ac:dyDescent="0.2">
      <c r="A14" s="2213" t="s">
        <v>146</v>
      </c>
      <c r="B14" s="2214"/>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4500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v>3708923</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1108736</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483685</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113568</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101432</v>
      </c>
    </row>
    <row r="23" spans="1:14" ht="13.5" customHeight="1" thickBot="1" x14ac:dyDescent="0.25">
      <c r="A23" s="1425" t="s">
        <v>638</v>
      </c>
      <c r="B23" s="1428"/>
      <c r="C23" s="1574"/>
      <c r="D23" s="1574"/>
      <c r="E23" s="1574"/>
      <c r="F23" s="1574"/>
      <c r="G23" s="1574"/>
      <c r="H23" s="1574"/>
      <c r="I23" s="1574"/>
      <c r="J23" s="1574"/>
      <c r="K23" s="1574"/>
      <c r="L23" s="1574"/>
      <c r="M23" s="1593">
        <f>SUM(M15:M22)</f>
        <v>5305844</v>
      </c>
      <c r="N23" s="1593">
        <f>SUM(N21:N22)</f>
        <v>215000</v>
      </c>
    </row>
    <row r="24" spans="1:14" ht="18" customHeight="1" thickTop="1" x14ac:dyDescent="0.2">
      <c r="A24" s="2215" t="s">
        <v>594</v>
      </c>
      <c r="B24" s="2216"/>
      <c r="C24" s="1594"/>
      <c r="D24" s="1589"/>
      <c r="E24" s="1589"/>
      <c r="F24" s="1589"/>
      <c r="G24" s="1589"/>
      <c r="H24" s="1589"/>
      <c r="I24" s="1589"/>
      <c r="J24" s="1589"/>
      <c r="K24" s="1589"/>
      <c r="L24" s="1589"/>
      <c r="M24" s="1588"/>
      <c r="N24" s="1595"/>
    </row>
    <row r="25" spans="1:14" x14ac:dyDescent="0.2">
      <c r="A25" s="430" t="s">
        <v>640</v>
      </c>
      <c r="B25" s="429">
        <v>410</v>
      </c>
      <c r="C25" s="1582">
        <v>6013</v>
      </c>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56530</v>
      </c>
      <c r="M33" s="1574"/>
      <c r="N33" s="1575"/>
    </row>
    <row r="34" spans="1:14" ht="13.5" customHeight="1" thickBot="1" x14ac:dyDescent="0.25">
      <c r="A34" s="1426" t="s">
        <v>649</v>
      </c>
      <c r="B34" s="1427"/>
      <c r="C34" s="1599">
        <f>SUM(C25:C33)</f>
        <v>6013</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56530</v>
      </c>
      <c r="M34" s="1574"/>
      <c r="N34" s="1584"/>
    </row>
    <row r="35" spans="1:14" ht="18" customHeight="1" thickTop="1" x14ac:dyDescent="0.2">
      <c r="A35" s="2217" t="s">
        <v>526</v>
      </c>
      <c r="B35" s="2218"/>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215000</v>
      </c>
    </row>
    <row r="37" spans="1:14" ht="13.5" thickBot="1" x14ac:dyDescent="0.25">
      <c r="A37" s="1425" t="s">
        <v>648</v>
      </c>
      <c r="B37" s="1428"/>
      <c r="C37" s="1581"/>
      <c r="D37" s="1581"/>
      <c r="E37" s="1581"/>
      <c r="F37" s="1581"/>
      <c r="G37" s="1581"/>
      <c r="H37" s="1581"/>
      <c r="I37" s="1581"/>
      <c r="J37" s="1581"/>
      <c r="K37" s="1581"/>
      <c r="L37" s="1584"/>
      <c r="M37" s="1574"/>
      <c r="N37" s="1593">
        <f>SUM(N36:N36)</f>
        <v>215000</v>
      </c>
    </row>
    <row r="38" spans="1:14" s="307" customFormat="1" ht="13.5" customHeight="1" thickTop="1" x14ac:dyDescent="0.2">
      <c r="A38" s="438" t="s">
        <v>417</v>
      </c>
      <c r="B38" s="432">
        <v>714</v>
      </c>
      <c r="C38" s="1572">
        <v>67626</v>
      </c>
      <c r="D38" s="1572"/>
      <c r="E38" s="1572"/>
      <c r="F38" s="1572"/>
      <c r="G38" s="1572">
        <v>98993</v>
      </c>
      <c r="H38" s="1572">
        <v>149169</v>
      </c>
      <c r="I38" s="1572"/>
      <c r="J38" s="1573"/>
      <c r="K38" s="1572"/>
      <c r="L38" s="1585"/>
      <c r="M38" s="1603"/>
      <c r="N38" s="1603"/>
    </row>
    <row r="39" spans="1:14" s="307" customFormat="1" ht="13.5" customHeight="1" x14ac:dyDescent="0.2">
      <c r="A39" s="438" t="s">
        <v>339</v>
      </c>
      <c r="B39" s="432">
        <v>730</v>
      </c>
      <c r="C39" s="1572">
        <f>759806-67626</f>
        <v>692180</v>
      </c>
      <c r="D39" s="1572">
        <v>103357</v>
      </c>
      <c r="E39" s="1572">
        <v>113568</v>
      </c>
      <c r="F39" s="1572">
        <v>306947</v>
      </c>
      <c r="G39" s="1572">
        <f>383965-98993</f>
        <v>284972</v>
      </c>
      <c r="H39" s="1572"/>
      <c r="I39" s="1572">
        <v>133078</v>
      </c>
      <c r="J39" s="1573">
        <v>118653</v>
      </c>
      <c r="K39" s="1572">
        <v>23643</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5305844</v>
      </c>
      <c r="N40" s="1603"/>
    </row>
    <row r="41" spans="1:14" ht="13.5" customHeight="1" thickBot="1" x14ac:dyDescent="0.25">
      <c r="A41" s="1425" t="s">
        <v>650</v>
      </c>
      <c r="B41" s="1404"/>
      <c r="C41" s="1593">
        <f>(SUM(C34,C37,C38,C39))</f>
        <v>765819</v>
      </c>
      <c r="D41" s="1593">
        <f t="shared" ref="D41:L41" si="2">SUM(D34,D37,D38:D39)</f>
        <v>103357</v>
      </c>
      <c r="E41" s="1593">
        <f t="shared" si="2"/>
        <v>113568</v>
      </c>
      <c r="F41" s="1593">
        <f t="shared" si="2"/>
        <v>306947</v>
      </c>
      <c r="G41" s="1593">
        <f t="shared" si="2"/>
        <v>383965</v>
      </c>
      <c r="H41" s="1593">
        <f t="shared" si="2"/>
        <v>149169</v>
      </c>
      <c r="I41" s="1593">
        <f t="shared" si="2"/>
        <v>133078</v>
      </c>
      <c r="J41" s="1593">
        <f t="shared" si="2"/>
        <v>118653</v>
      </c>
      <c r="K41" s="1593">
        <f t="shared" si="2"/>
        <v>23643</v>
      </c>
      <c r="L41" s="1593">
        <f t="shared" si="2"/>
        <v>56530</v>
      </c>
      <c r="M41" s="1593">
        <f>SUM(M40)</f>
        <v>5305844</v>
      </c>
      <c r="N41" s="1593">
        <f>SUM(N37)</f>
        <v>215000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FF00"/>
  </sheetPr>
  <dimension ref="A1:M87"/>
  <sheetViews>
    <sheetView showGridLines="0" defaultGridColor="0" colorId="8" zoomScale="110" zoomScaleNormal="110" zoomScaleSheetLayoutView="100" workbookViewId="0">
      <pane ySplit="2" topLeftCell="A3" activePane="bottomLeft" state="frozen"/>
      <selection pane="bottomLeft" activeCell="E12" sqref="E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1167</v>
      </c>
      <c r="B3" s="2240"/>
      <c r="C3" s="1310"/>
      <c r="D3" s="1311"/>
      <c r="E3" s="1311"/>
      <c r="F3" s="1311"/>
      <c r="G3" s="1311"/>
      <c r="H3" s="1311"/>
      <c r="I3" s="1311"/>
      <c r="J3" s="1311"/>
      <c r="K3" s="1312"/>
      <c r="L3" s="446"/>
    </row>
    <row r="4" spans="1:13" ht="15.75" customHeight="1" x14ac:dyDescent="0.2">
      <c r="A4" s="1536" t="s">
        <v>1485</v>
      </c>
      <c r="B4" s="1537">
        <v>1000</v>
      </c>
      <c r="C4" s="1605">
        <f>'Revenues 9-14'!C109</f>
        <v>1877565</v>
      </c>
      <c r="D4" s="1605">
        <f>'Revenues 9-14'!D109</f>
        <v>169326</v>
      </c>
      <c r="E4" s="1605">
        <f>'Revenues 9-14'!E109</f>
        <v>217389</v>
      </c>
      <c r="F4" s="1605">
        <f>'Revenues 9-14'!F109</f>
        <v>157070</v>
      </c>
      <c r="G4" s="1605">
        <f>'Revenues 9-14'!G109</f>
        <v>155955</v>
      </c>
      <c r="H4" s="1605">
        <f>'Revenues 9-14'!H109</f>
        <v>131744</v>
      </c>
      <c r="I4" s="1605">
        <f>'Revenues 9-14'!I109</f>
        <v>16768</v>
      </c>
      <c r="J4" s="1605">
        <f>'Revenues 9-14'!J109</f>
        <v>388652</v>
      </c>
      <c r="K4" s="1605">
        <f>'Revenues 9-14'!K109</f>
        <v>16768</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364067</v>
      </c>
      <c r="D6" s="1606">
        <f>'Revenues 9-14'!D170</f>
        <v>0</v>
      </c>
      <c r="E6" s="1606">
        <f>'Revenues 9-14'!E170</f>
        <v>0</v>
      </c>
      <c r="F6" s="1606">
        <f>'Revenues 9-14'!F170</f>
        <v>39535</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256894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2498526</v>
      </c>
      <c r="D8" s="1593">
        <f t="shared" ref="D8:K8" si="0">SUM(D4:D7)</f>
        <v>169326</v>
      </c>
      <c r="E8" s="1593">
        <f t="shared" si="0"/>
        <v>217389</v>
      </c>
      <c r="F8" s="1593">
        <f t="shared" si="0"/>
        <v>196605</v>
      </c>
      <c r="G8" s="1593">
        <f t="shared" si="0"/>
        <v>155955</v>
      </c>
      <c r="H8" s="1593">
        <f t="shared" si="0"/>
        <v>131744</v>
      </c>
      <c r="I8" s="1593">
        <f t="shared" si="0"/>
        <v>16768</v>
      </c>
      <c r="J8" s="1593">
        <f t="shared" si="0"/>
        <v>388652</v>
      </c>
      <c r="K8" s="1593">
        <f t="shared" si="0"/>
        <v>16768</v>
      </c>
      <c r="L8" s="325"/>
    </row>
    <row r="9" spans="1:13" ht="15.75" thickTop="1" x14ac:dyDescent="0.2">
      <c r="A9" s="449" t="s">
        <v>1637</v>
      </c>
      <c r="B9" s="450">
        <v>3998</v>
      </c>
      <c r="C9" s="1585">
        <f>1160406+17467</f>
        <v>1177873</v>
      </c>
      <c r="D9" s="1612"/>
      <c r="E9" s="1585"/>
      <c r="F9" s="1585"/>
      <c r="G9" s="1613"/>
      <c r="H9" s="1585"/>
      <c r="I9" s="1608" t="s">
        <v>1161</v>
      </c>
      <c r="J9" s="1582"/>
      <c r="K9" s="1585"/>
      <c r="L9" s="325"/>
    </row>
    <row r="10" spans="1:13" s="452" customFormat="1" ht="13.5" thickBot="1" x14ac:dyDescent="0.25">
      <c r="A10" s="1425" t="s">
        <v>1165</v>
      </c>
      <c r="B10" s="1406"/>
      <c r="C10" s="1593">
        <f>SUM(C8:C9)</f>
        <v>3676399</v>
      </c>
      <c r="D10" s="1593">
        <f t="shared" ref="D10:K10" si="1">SUM(D8:D9)</f>
        <v>169326</v>
      </c>
      <c r="E10" s="1593">
        <f t="shared" si="1"/>
        <v>217389</v>
      </c>
      <c r="F10" s="1593">
        <f t="shared" si="1"/>
        <v>196605</v>
      </c>
      <c r="G10" s="1593">
        <f t="shared" si="1"/>
        <v>155955</v>
      </c>
      <c r="H10" s="1593">
        <f t="shared" si="1"/>
        <v>131744</v>
      </c>
      <c r="I10" s="1593">
        <f t="shared" si="1"/>
        <v>16768</v>
      </c>
      <c r="J10" s="1593">
        <f t="shared" si="1"/>
        <v>388652</v>
      </c>
      <c r="K10" s="1593">
        <f t="shared" si="1"/>
        <v>16768</v>
      </c>
      <c r="L10" s="451"/>
    </row>
    <row r="11" spans="1:13" s="452" customFormat="1" ht="16.7" customHeight="1" thickTop="1" x14ac:dyDescent="0.2">
      <c r="A11" s="2213" t="s">
        <v>1168</v>
      </c>
      <c r="B11" s="2214"/>
      <c r="C11" s="1601"/>
      <c r="D11" s="1602"/>
      <c r="E11" s="1602"/>
      <c r="F11" s="1602"/>
      <c r="G11" s="1602"/>
      <c r="H11" s="1602"/>
      <c r="I11" s="1602"/>
      <c r="J11" s="1602"/>
      <c r="K11" s="1614"/>
      <c r="L11" s="451"/>
    </row>
    <row r="12" spans="1:13" ht="15.75" customHeight="1" x14ac:dyDescent="0.2">
      <c r="A12" s="1313" t="s">
        <v>453</v>
      </c>
      <c r="B12" s="1315">
        <v>1000</v>
      </c>
      <c r="C12" s="1605">
        <f>'Expenditures 15-22'!K33</f>
        <v>1568132</v>
      </c>
      <c r="D12" s="1615" t="s">
        <v>1161</v>
      </c>
      <c r="E12" s="1574" t="s">
        <v>1161</v>
      </c>
      <c r="F12" s="1574" t="s">
        <v>1161</v>
      </c>
      <c r="G12" s="1605">
        <f>'Expenditures 15-22'!K229</f>
        <v>27122</v>
      </c>
      <c r="H12" s="1616"/>
      <c r="I12" s="1574" t="s">
        <v>1161</v>
      </c>
      <c r="J12" s="1574" t="s">
        <v>1161</v>
      </c>
      <c r="K12" s="1616" t="s">
        <v>1161</v>
      </c>
      <c r="L12" s="325"/>
    </row>
    <row r="13" spans="1:13" ht="15.75" customHeight="1" x14ac:dyDescent="0.2">
      <c r="A13" s="1313" t="s">
        <v>454</v>
      </c>
      <c r="B13" s="1315">
        <v>2000</v>
      </c>
      <c r="C13" s="1606">
        <f>'Expenditures 15-22'!K74</f>
        <v>722122</v>
      </c>
      <c r="D13" s="1606">
        <f>'Expenditures 15-22'!K129</f>
        <v>312807</v>
      </c>
      <c r="E13" s="1575" t="s">
        <v>1161</v>
      </c>
      <c r="F13" s="1606">
        <f>'Expenditures 15-22'!K184</f>
        <v>141668</v>
      </c>
      <c r="G13" s="1606">
        <f>'Expenditures 15-22'!K279</f>
        <v>72890</v>
      </c>
      <c r="H13" s="1606">
        <f>'Expenditures 15-22'!K303</f>
        <v>206298</v>
      </c>
      <c r="I13" s="1574" t="s">
        <v>1161</v>
      </c>
      <c r="J13" s="1606">
        <f>'Expenditures 15-22'!K330</f>
        <v>456474</v>
      </c>
      <c r="K13" s="1617">
        <f>'Expenditures 15-22'!K352</f>
        <v>10792</v>
      </c>
      <c r="L13" s="325"/>
    </row>
    <row r="14" spans="1:13" ht="15.75" customHeight="1" x14ac:dyDescent="0.2">
      <c r="A14" s="1313" t="s">
        <v>446</v>
      </c>
      <c r="B14" s="1315">
        <v>3000</v>
      </c>
      <c r="C14" s="1606">
        <f>'Expenditures 15-22'!K75</f>
        <v>0</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69960</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170736</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2360214</v>
      </c>
      <c r="D17" s="1593">
        <f t="shared" si="2"/>
        <v>312807</v>
      </c>
      <c r="E17" s="1593">
        <f t="shared" si="2"/>
        <v>170736</v>
      </c>
      <c r="F17" s="1593">
        <f t="shared" si="2"/>
        <v>141668</v>
      </c>
      <c r="G17" s="1593">
        <f t="shared" si="2"/>
        <v>100012</v>
      </c>
      <c r="H17" s="1593">
        <f t="shared" si="2"/>
        <v>206298</v>
      </c>
      <c r="I17" s="1574"/>
      <c r="J17" s="1593">
        <f>SUM(J12:J16)</f>
        <v>456474</v>
      </c>
      <c r="K17" s="1593">
        <f>SUM(K12:K16)</f>
        <v>10792</v>
      </c>
      <c r="L17" s="325"/>
    </row>
    <row r="18" spans="1:12" ht="15" customHeight="1" thickTop="1" x14ac:dyDescent="0.2">
      <c r="A18" s="1429" t="s">
        <v>1638</v>
      </c>
      <c r="B18" s="1430">
        <v>4180</v>
      </c>
      <c r="C18" s="1605">
        <f t="shared" ref="C18:H18" si="3">C9</f>
        <v>1177873</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3538087</v>
      </c>
      <c r="D19" s="1593">
        <f t="shared" si="4"/>
        <v>312807</v>
      </c>
      <c r="E19" s="1593">
        <f t="shared" si="4"/>
        <v>170736</v>
      </c>
      <c r="F19" s="1593">
        <f t="shared" si="4"/>
        <v>141668</v>
      </c>
      <c r="G19" s="1593">
        <f t="shared" si="4"/>
        <v>100012</v>
      </c>
      <c r="H19" s="1593">
        <f t="shared" si="4"/>
        <v>206298</v>
      </c>
      <c r="I19" s="1574"/>
      <c r="J19" s="1593">
        <f>SUM(J17:J18)</f>
        <v>456474</v>
      </c>
      <c r="K19" s="1593">
        <f>SUM(K17:K18)</f>
        <v>10792</v>
      </c>
      <c r="L19" s="325"/>
    </row>
    <row r="20" spans="1:12" ht="16.5" thickTop="1" thickBot="1" x14ac:dyDescent="0.25">
      <c r="A20" s="2229" t="s">
        <v>1639</v>
      </c>
      <c r="B20" s="2230"/>
      <c r="C20" s="1621">
        <f>C8-C17</f>
        <v>138312</v>
      </c>
      <c r="D20" s="1621">
        <f t="shared" ref="D20:K20" si="5">D8-D17</f>
        <v>-143481</v>
      </c>
      <c r="E20" s="1621">
        <f t="shared" si="5"/>
        <v>46653</v>
      </c>
      <c r="F20" s="1621">
        <f t="shared" si="5"/>
        <v>54937</v>
      </c>
      <c r="G20" s="1621">
        <f t="shared" si="5"/>
        <v>55943</v>
      </c>
      <c r="H20" s="1621">
        <f t="shared" si="5"/>
        <v>-74554</v>
      </c>
      <c r="I20" s="1621">
        <f t="shared" si="5"/>
        <v>16768</v>
      </c>
      <c r="J20" s="1621">
        <f t="shared" si="5"/>
        <v>-67822</v>
      </c>
      <c r="K20" s="1621">
        <f t="shared" si="5"/>
        <v>5976</v>
      </c>
      <c r="L20" s="325"/>
    </row>
    <row r="21" spans="1:12" ht="16.7" customHeight="1" thickTop="1" x14ac:dyDescent="0.2">
      <c r="A21" s="2241" t="s">
        <v>591</v>
      </c>
      <c r="B21" s="2242"/>
      <c r="C21" s="1601"/>
      <c r="D21" s="1602"/>
      <c r="E21" s="1602"/>
      <c r="F21" s="1602"/>
      <c r="G21" s="1602"/>
      <c r="H21" s="1602"/>
      <c r="I21" s="1602"/>
      <c r="J21" s="1602"/>
      <c r="K21" s="1614"/>
      <c r="L21" s="453"/>
    </row>
    <row r="22" spans="1:12" ht="15.75" customHeight="1" collapsed="1" x14ac:dyDescent="0.2">
      <c r="A22" s="2237" t="s">
        <v>592</v>
      </c>
      <c r="B22" s="2238"/>
      <c r="C22" s="1581"/>
      <c r="D22" s="1581"/>
      <c r="E22" s="1581"/>
      <c r="F22" s="1581"/>
      <c r="G22" s="1581"/>
      <c r="H22" s="1581"/>
      <c r="I22" s="1581"/>
      <c r="J22" s="1581"/>
      <c r="K22" s="1581"/>
      <c r="L22" s="325"/>
    </row>
    <row r="23" spans="1:12" s="433" customFormat="1" ht="15.75" customHeight="1" x14ac:dyDescent="0.2">
      <c r="A23" s="2233" t="s">
        <v>290</v>
      </c>
      <c r="B23" s="2234"/>
      <c r="C23" s="1584"/>
      <c r="D23" s="1581"/>
      <c r="E23" s="1581"/>
      <c r="F23" s="1581"/>
      <c r="G23" s="1581"/>
      <c r="H23" s="1581"/>
      <c r="I23" s="1581"/>
      <c r="J23" s="1581"/>
      <c r="K23" s="1581"/>
      <c r="L23" s="453"/>
    </row>
    <row r="24" spans="1:12" s="433" customFormat="1" ht="13.5" customHeight="1" x14ac:dyDescent="0.2">
      <c r="A24" s="1259" t="s">
        <v>1640</v>
      </c>
      <c r="B24" s="454">
        <v>7110</v>
      </c>
      <c r="C24" s="1573"/>
      <c r="D24" s="1581"/>
      <c r="E24" s="1581"/>
      <c r="F24" s="1581"/>
      <c r="G24" s="1581"/>
      <c r="H24" s="1581"/>
      <c r="I24" s="1581"/>
      <c r="J24" s="1581"/>
      <c r="K24" s="1581"/>
      <c r="L24" s="453"/>
    </row>
    <row r="25" spans="1:12" s="433" customFormat="1" ht="13.5" customHeight="1" x14ac:dyDescent="0.2">
      <c r="A25" s="1259" t="s">
        <v>1641</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1384</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1774</v>
      </c>
      <c r="B30" s="455">
        <v>7160</v>
      </c>
      <c r="C30" s="1581"/>
      <c r="D30" s="1573"/>
      <c r="E30" s="1581"/>
      <c r="F30" s="1581"/>
      <c r="G30" s="1581"/>
      <c r="H30" s="1581"/>
      <c r="I30" s="1581"/>
      <c r="J30" s="1581"/>
      <c r="K30" s="1581"/>
      <c r="L30" s="453"/>
    </row>
    <row r="31" spans="1:12" s="433" customFormat="1" ht="26.25" x14ac:dyDescent="0.2">
      <c r="A31" s="1259" t="s">
        <v>1778</v>
      </c>
      <c r="B31" s="455">
        <v>7170</v>
      </c>
      <c r="C31" s="1581"/>
      <c r="D31" s="1581"/>
      <c r="E31" s="1578"/>
      <c r="F31" s="1581"/>
      <c r="G31" s="1581"/>
      <c r="H31" s="1581"/>
      <c r="I31" s="1581"/>
      <c r="J31" s="1581"/>
      <c r="K31" s="1581"/>
      <c r="L31" s="453"/>
    </row>
    <row r="32" spans="1:12" s="433" customFormat="1" ht="15.75" customHeight="1" x14ac:dyDescent="0.2">
      <c r="A32" s="2235" t="s">
        <v>974</v>
      </c>
      <c r="B32" s="2236"/>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1642</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6223</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3" t="s">
        <v>371</v>
      </c>
      <c r="B44" s="2244"/>
      <c r="C44" s="1623">
        <f>SUM(C24:C43)</f>
        <v>0</v>
      </c>
      <c r="D44" s="1623">
        <f t="shared" ref="D44:K44" si="6">SUM(D24:D43)</f>
        <v>0</v>
      </c>
      <c r="E44" s="1623">
        <f t="shared" si="6"/>
        <v>6223</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7" t="s">
        <v>108</v>
      </c>
      <c r="B45" s="2238"/>
      <c r="C45" s="1624"/>
      <c r="D45" s="1624"/>
      <c r="E45" s="1624"/>
      <c r="F45" s="1624"/>
      <c r="G45" s="1624"/>
      <c r="H45" s="1624"/>
      <c r="I45" s="1624"/>
      <c r="J45" s="1624"/>
      <c r="K45" s="1624"/>
      <c r="L45" s="325"/>
    </row>
    <row r="46" spans="1:12" s="433" customFormat="1" ht="15.75" customHeight="1" x14ac:dyDescent="0.2">
      <c r="A46" s="2245" t="s">
        <v>109</v>
      </c>
      <c r="B46" s="2246"/>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1384</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1777</v>
      </c>
      <c r="B52" s="432">
        <v>8160</v>
      </c>
      <c r="C52" s="1581"/>
      <c r="D52" s="1581"/>
      <c r="E52" s="1581"/>
      <c r="F52" s="1581"/>
      <c r="G52" s="1581"/>
      <c r="H52" s="1581"/>
      <c r="I52" s="1581"/>
      <c r="J52" s="1581"/>
      <c r="K52" s="1606">
        <f>D30</f>
        <v>0</v>
      </c>
      <c r="L52" s="453"/>
    </row>
    <row r="53" spans="1:12" s="433" customFormat="1" ht="26.25" x14ac:dyDescent="0.2">
      <c r="A53" s="1260" t="s">
        <v>1776</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v>6223</v>
      </c>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19" t="s">
        <v>437</v>
      </c>
      <c r="B76" s="2220"/>
      <c r="C76" s="1623">
        <f t="shared" ref="C76:K76" si="7">SUM(C47:C75)</f>
        <v>6223</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1" t="s">
        <v>1169</v>
      </c>
      <c r="B77" s="2222"/>
      <c r="C77" s="1623">
        <f t="shared" ref="C77:K77" si="8">C44-C76</f>
        <v>-6223</v>
      </c>
      <c r="D77" s="1623">
        <f t="shared" si="8"/>
        <v>0</v>
      </c>
      <c r="E77" s="1623">
        <f t="shared" si="8"/>
        <v>6223</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5" t="s">
        <v>593</v>
      </c>
      <c r="B78" s="2226"/>
      <c r="C78" s="1628">
        <f t="shared" ref="C78:K78" si="9">C20+C77</f>
        <v>132089</v>
      </c>
      <c r="D78" s="1628">
        <f t="shared" si="9"/>
        <v>-143481</v>
      </c>
      <c r="E78" s="1628">
        <f t="shared" si="9"/>
        <v>52876</v>
      </c>
      <c r="F78" s="1628">
        <f t="shared" si="9"/>
        <v>54937</v>
      </c>
      <c r="G78" s="1628">
        <f t="shared" si="9"/>
        <v>55943</v>
      </c>
      <c r="H78" s="1628">
        <f t="shared" si="9"/>
        <v>-74554</v>
      </c>
      <c r="I78" s="1628">
        <f t="shared" si="9"/>
        <v>16768</v>
      </c>
      <c r="J78" s="1628">
        <f t="shared" si="9"/>
        <v>-67822</v>
      </c>
      <c r="K78" s="1628">
        <f t="shared" si="9"/>
        <v>5976</v>
      </c>
      <c r="L78" s="457"/>
    </row>
    <row r="79" spans="1:12" ht="13.5" thickTop="1" x14ac:dyDescent="0.2">
      <c r="A79" s="1843" t="str">
        <f>"Fund Balances - July 1, "&amp;'AFR20'!E2-1</f>
        <v>Fund Balances - July 1, 2019</v>
      </c>
      <c r="B79" s="458"/>
      <c r="C79" s="1582">
        <v>627717</v>
      </c>
      <c r="D79" s="1629">
        <v>246838</v>
      </c>
      <c r="E79" s="1629">
        <v>60692</v>
      </c>
      <c r="F79" s="1629">
        <v>252010</v>
      </c>
      <c r="G79" s="1629">
        <v>328022</v>
      </c>
      <c r="H79" s="1629">
        <v>223723</v>
      </c>
      <c r="I79" s="1629">
        <v>116310</v>
      </c>
      <c r="J79" s="1629">
        <v>186475</v>
      </c>
      <c r="K79" s="1629">
        <v>17667</v>
      </c>
      <c r="L79" s="325"/>
    </row>
    <row r="80" spans="1:12" x14ac:dyDescent="0.2">
      <c r="A80" s="2231" t="s">
        <v>1775</v>
      </c>
      <c r="B80" s="2232"/>
      <c r="C80" s="1573"/>
      <c r="D80" s="1573"/>
      <c r="E80" s="1573"/>
      <c r="F80" s="1573"/>
      <c r="G80" s="1573"/>
      <c r="H80" s="1573"/>
      <c r="I80" s="1573"/>
      <c r="J80" s="1573"/>
      <c r="K80" s="1573"/>
      <c r="L80" s="325"/>
    </row>
    <row r="81" spans="1:12" ht="13.5" thickBot="1" x14ac:dyDescent="0.25">
      <c r="A81" s="2223" t="str">
        <f>"Fund Balances - June 30, "&amp;'AFR20'!E2</f>
        <v>Fund Balances - June 30, 2020</v>
      </c>
      <c r="B81" s="2224"/>
      <c r="C81" s="1593">
        <f>(SUM(C78:C80))</f>
        <v>759806</v>
      </c>
      <c r="D81" s="1593">
        <f>SUM(D78:D80)</f>
        <v>103357</v>
      </c>
      <c r="E81" s="1593">
        <f t="shared" ref="E81:K81" si="10">SUM(E78:E80)</f>
        <v>113568</v>
      </c>
      <c r="F81" s="1593">
        <f t="shared" si="10"/>
        <v>306947</v>
      </c>
      <c r="G81" s="1593">
        <f t="shared" si="10"/>
        <v>383965</v>
      </c>
      <c r="H81" s="1593">
        <f t="shared" si="10"/>
        <v>149169</v>
      </c>
      <c r="I81" s="1593">
        <f t="shared" si="10"/>
        <v>133078</v>
      </c>
      <c r="J81" s="1593">
        <f t="shared" si="10"/>
        <v>118653</v>
      </c>
      <c r="K81" s="1593">
        <f t="shared" si="10"/>
        <v>23643</v>
      </c>
      <c r="L81" s="325"/>
    </row>
    <row r="82" spans="1:12" ht="0.75" customHeight="1" thickTop="1" thickBot="1" x14ac:dyDescent="0.25">
      <c r="A82" s="459" t="s">
        <v>340</v>
      </c>
      <c r="B82" s="460"/>
      <c r="C82" s="461">
        <f>(C81-C79)</f>
        <v>132089</v>
      </c>
      <c r="D82" s="461">
        <f t="shared" ref="D82:K82" si="11">(D81-D79)</f>
        <v>-143481</v>
      </c>
      <c r="E82" s="461">
        <f t="shared" si="11"/>
        <v>52876</v>
      </c>
      <c r="F82" s="461">
        <f t="shared" si="11"/>
        <v>54937</v>
      </c>
      <c r="G82" s="461">
        <f t="shared" si="11"/>
        <v>55943</v>
      </c>
      <c r="H82" s="461">
        <f t="shared" si="11"/>
        <v>-74554</v>
      </c>
      <c r="I82" s="461">
        <f t="shared" si="11"/>
        <v>16768</v>
      </c>
      <c r="J82" s="461">
        <f t="shared" si="11"/>
        <v>-67822</v>
      </c>
      <c r="K82" s="461">
        <f t="shared" si="11"/>
        <v>5976</v>
      </c>
    </row>
    <row r="83" spans="1:12" ht="14.25" hidden="1" thickTop="1" thickBot="1" x14ac:dyDescent="0.25">
      <c r="A83" s="462" t="s">
        <v>341</v>
      </c>
      <c r="B83" s="428"/>
      <c r="C83" s="463">
        <f>C82/C81</f>
        <v>0.17384569218984847</v>
      </c>
      <c r="D83" s="463">
        <f t="shared" ref="D83:K83" si="12">D82/D81</f>
        <v>-1.3882078620703</v>
      </c>
      <c r="E83" s="463">
        <f t="shared" si="12"/>
        <v>0.46558889828120598</v>
      </c>
      <c r="F83" s="463">
        <f t="shared" si="12"/>
        <v>0.17897878135313264</v>
      </c>
      <c r="G83" s="463">
        <f t="shared" si="12"/>
        <v>0.1456981756149649</v>
      </c>
      <c r="H83" s="463">
        <f t="shared" si="12"/>
        <v>-0.49979553392460901</v>
      </c>
      <c r="I83" s="463">
        <f t="shared" si="12"/>
        <v>0.12600129247508979</v>
      </c>
      <c r="J83" s="463">
        <f t="shared" si="12"/>
        <v>-0.57159953814905651</v>
      </c>
      <c r="K83" s="463">
        <f t="shared" si="12"/>
        <v>0.25275980205557669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00"/>
  </sheetPr>
  <dimension ref="A1:L279"/>
  <sheetViews>
    <sheetView showGridLines="0" defaultGridColor="0" colorId="8" zoomScale="110" zoomScaleNormal="110"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1782</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922486</v>
      </c>
      <c r="D5" s="1585">
        <v>167736</v>
      </c>
      <c r="E5" s="1572">
        <v>217389</v>
      </c>
      <c r="F5" s="1630">
        <v>67070</v>
      </c>
      <c r="G5" s="1572">
        <v>59522</v>
      </c>
      <c r="H5" s="1572"/>
      <c r="I5" s="1572">
        <v>16768</v>
      </c>
      <c r="J5" s="1573">
        <v>359057</v>
      </c>
      <c r="K5" s="1572">
        <v>16768</v>
      </c>
    </row>
    <row r="6" spans="1:12" ht="15" x14ac:dyDescent="0.2">
      <c r="A6" s="427" t="s">
        <v>1646</v>
      </c>
      <c r="B6" s="429">
        <v>1130</v>
      </c>
      <c r="C6" s="1572">
        <v>16768</v>
      </c>
      <c r="D6" s="1572"/>
      <c r="E6" s="1579"/>
      <c r="F6" s="1579"/>
      <c r="G6" s="1574"/>
      <c r="H6" s="1574"/>
      <c r="I6" s="1574"/>
      <c r="J6" s="1574"/>
      <c r="K6" s="1574"/>
    </row>
    <row r="7" spans="1:12" x14ac:dyDescent="0.2">
      <c r="A7" s="427" t="s">
        <v>110</v>
      </c>
      <c r="B7" s="471">
        <v>1140</v>
      </c>
      <c r="C7" s="1572">
        <v>13421</v>
      </c>
      <c r="D7" s="1572"/>
      <c r="E7" s="1574"/>
      <c r="F7" s="1573"/>
      <c r="G7" s="1573"/>
      <c r="H7" s="1573"/>
      <c r="I7" s="1574"/>
      <c r="J7" s="1574"/>
      <c r="K7" s="1574"/>
    </row>
    <row r="8" spans="1:12" x14ac:dyDescent="0.2">
      <c r="A8" s="427" t="s">
        <v>410</v>
      </c>
      <c r="B8" s="429">
        <v>1150</v>
      </c>
      <c r="C8" s="1579"/>
      <c r="D8" s="1579"/>
      <c r="E8" s="1581"/>
      <c r="F8" s="1581"/>
      <c r="G8" s="1585">
        <v>80683</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952675</v>
      </c>
      <c r="D12" s="1632">
        <f t="shared" si="0"/>
        <v>167736</v>
      </c>
      <c r="E12" s="1632">
        <f t="shared" si="0"/>
        <v>217389</v>
      </c>
      <c r="F12" s="1632">
        <f t="shared" si="0"/>
        <v>67070</v>
      </c>
      <c r="G12" s="1632">
        <f t="shared" si="0"/>
        <v>140205</v>
      </c>
      <c r="H12" s="1632">
        <f t="shared" si="0"/>
        <v>0</v>
      </c>
      <c r="I12" s="1632">
        <f t="shared" si="0"/>
        <v>16768</v>
      </c>
      <c r="J12" s="1632">
        <f t="shared" si="0"/>
        <v>359057</v>
      </c>
      <c r="K12" s="1593">
        <f t="shared" si="0"/>
        <v>16768</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840456</v>
      </c>
      <c r="D16" s="1572"/>
      <c r="E16" s="1572"/>
      <c r="F16" s="1572">
        <v>90000</v>
      </c>
      <c r="G16" s="1572">
        <v>15750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840456</v>
      </c>
      <c r="D18" s="1634">
        <f t="shared" ref="D18:K18" si="1">SUM(D14:D17)</f>
        <v>0</v>
      </c>
      <c r="E18" s="1634">
        <f t="shared" si="1"/>
        <v>0</v>
      </c>
      <c r="F18" s="1634">
        <f t="shared" si="1"/>
        <v>90000</v>
      </c>
      <c r="G18" s="1634">
        <f t="shared" si="1"/>
        <v>15750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1099</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1100</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2537</v>
      </c>
      <c r="D65" s="1572"/>
      <c r="E65" s="1572"/>
      <c r="F65" s="1573"/>
      <c r="G65" s="1572"/>
      <c r="H65" s="1572"/>
      <c r="I65" s="1572"/>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2537</v>
      </c>
      <c r="D67" s="1593">
        <f t="shared" ref="D67:K67" si="2">SUM(D65:D66)</f>
        <v>0</v>
      </c>
      <c r="E67" s="1593">
        <f t="shared" si="2"/>
        <v>0</v>
      </c>
      <c r="F67" s="1593">
        <f t="shared" si="2"/>
        <v>0</v>
      </c>
      <c r="G67" s="1593">
        <f t="shared" si="2"/>
        <v>0</v>
      </c>
      <c r="H67" s="1593">
        <f t="shared" si="2"/>
        <v>0</v>
      </c>
      <c r="I67" s="1593">
        <f t="shared" si="2"/>
        <v>0</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5816</v>
      </c>
      <c r="D73" s="1574"/>
      <c r="E73" s="1574"/>
      <c r="F73" s="1574"/>
      <c r="G73" s="1574"/>
      <c r="H73" s="1574"/>
      <c r="I73" s="1574"/>
      <c r="J73" s="1574"/>
      <c r="K73" s="1574"/>
    </row>
    <row r="74" spans="1:11" ht="12.75" customHeight="1" x14ac:dyDescent="0.2">
      <c r="A74" s="427" t="s">
        <v>25</v>
      </c>
      <c r="B74" s="429">
        <v>1690</v>
      </c>
      <c r="C74" s="1631">
        <v>211</v>
      </c>
      <c r="D74" s="1574"/>
      <c r="E74" s="1574"/>
      <c r="F74" s="1574"/>
      <c r="G74" s="1574"/>
      <c r="H74" s="1574"/>
      <c r="I74" s="1574"/>
      <c r="J74" s="1574"/>
      <c r="K74" s="1574"/>
    </row>
    <row r="75" spans="1:11" ht="12.75" customHeight="1" thickBot="1" x14ac:dyDescent="0.25">
      <c r="A75" s="1405" t="s">
        <v>544</v>
      </c>
      <c r="B75" s="1406"/>
      <c r="C75" s="1593">
        <f>SUM(C69:C74)</f>
        <v>6027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7155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1707</v>
      </c>
      <c r="D79" s="1572"/>
      <c r="E79" s="1574"/>
      <c r="F79" s="1574"/>
      <c r="G79" s="1574"/>
      <c r="H79" s="1574"/>
      <c r="I79" s="1574"/>
      <c r="J79" s="1574"/>
      <c r="K79" s="1574"/>
    </row>
    <row r="80" spans="1:11" ht="12.75" customHeight="1" x14ac:dyDescent="0.2">
      <c r="A80" s="427" t="s">
        <v>547</v>
      </c>
      <c r="B80" s="429">
        <v>1730</v>
      </c>
      <c r="C80" s="1631">
        <v>1300</v>
      </c>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10162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4160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v>1075</v>
      </c>
      <c r="D92" s="1574"/>
      <c r="E92" s="1574"/>
      <c r="F92" s="1574"/>
      <c r="G92" s="1574"/>
      <c r="H92" s="1574"/>
      <c r="I92" s="1574"/>
      <c r="J92" s="1574"/>
      <c r="K92" s="1574"/>
    </row>
    <row r="93" spans="1:11" ht="12.75" customHeight="1" thickBot="1" x14ac:dyDescent="0.25">
      <c r="A93" s="1405" t="s">
        <v>241</v>
      </c>
      <c r="B93" s="1406"/>
      <c r="C93" s="1593">
        <f>SUM(C84:C92)</f>
        <v>5235</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1500</v>
      </c>
      <c r="D95" s="1631"/>
      <c r="E95" s="1616"/>
      <c r="F95" s="1616"/>
      <c r="G95" s="1616"/>
      <c r="H95" s="1616"/>
      <c r="I95" s="1616"/>
      <c r="J95" s="1616"/>
      <c r="K95" s="1616"/>
    </row>
    <row r="96" spans="1:11" ht="12.75" customHeight="1" x14ac:dyDescent="0.2">
      <c r="A96" s="427" t="s">
        <v>388</v>
      </c>
      <c r="B96" s="429">
        <v>1920</v>
      </c>
      <c r="C96" s="1631">
        <v>6795</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2163</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1510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126344</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f>51511-3006</f>
        <v>48505</v>
      </c>
      <c r="D107" s="1572">
        <v>1590</v>
      </c>
      <c r="E107" s="1572"/>
      <c r="F107" s="1572"/>
      <c r="G107" s="1572"/>
      <c r="H107" s="1572">
        <v>5400</v>
      </c>
      <c r="I107" s="1572"/>
      <c r="J107" s="1573">
        <v>29595</v>
      </c>
      <c r="K107" s="1572"/>
    </row>
    <row r="108" spans="1:12" ht="12.75" customHeight="1" thickBot="1" x14ac:dyDescent="0.25">
      <c r="A108" s="1405" t="s">
        <v>484</v>
      </c>
      <c r="B108" s="1407"/>
      <c r="C108" s="1632">
        <f>SUM(C95:C107)</f>
        <v>60473</v>
      </c>
      <c r="D108" s="1632">
        <f t="shared" ref="D108:K108" si="3">SUM(D95:D107)</f>
        <v>1590</v>
      </c>
      <c r="E108" s="1632">
        <f t="shared" si="3"/>
        <v>0</v>
      </c>
      <c r="F108" s="1632">
        <f t="shared" si="3"/>
        <v>0</v>
      </c>
      <c r="G108" s="1632">
        <f t="shared" si="3"/>
        <v>0</v>
      </c>
      <c r="H108" s="1632">
        <f t="shared" si="3"/>
        <v>131744</v>
      </c>
      <c r="I108" s="1632">
        <f t="shared" si="3"/>
        <v>0</v>
      </c>
      <c r="J108" s="1632">
        <f t="shared" si="3"/>
        <v>29595</v>
      </c>
      <c r="K108" s="1593">
        <f t="shared" si="3"/>
        <v>0</v>
      </c>
    </row>
    <row r="109" spans="1:12" ht="14.25" thickTop="1" thickBot="1" x14ac:dyDescent="0.25">
      <c r="A109" s="1408" t="s">
        <v>246</v>
      </c>
      <c r="B109" s="1409" t="s">
        <v>566</v>
      </c>
      <c r="C109" s="1640">
        <f t="shared" ref="C109:K109" si="4">SUM(C12,C18,C40,C63,C67,C75,C82,C93,C108,)</f>
        <v>1877565</v>
      </c>
      <c r="D109" s="1640">
        <f t="shared" si="4"/>
        <v>169326</v>
      </c>
      <c r="E109" s="1640">
        <f t="shared" si="4"/>
        <v>217389</v>
      </c>
      <c r="F109" s="1640">
        <f t="shared" si="4"/>
        <v>157070</v>
      </c>
      <c r="G109" s="1640">
        <f t="shared" si="4"/>
        <v>155955</v>
      </c>
      <c r="H109" s="1640">
        <f t="shared" si="4"/>
        <v>131744</v>
      </c>
      <c r="I109" s="1640">
        <f t="shared" si="4"/>
        <v>16768</v>
      </c>
      <c r="J109" s="1640">
        <f t="shared" si="4"/>
        <v>388652</v>
      </c>
      <c r="K109" s="1628">
        <f t="shared" si="4"/>
        <v>16768</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342939</v>
      </c>
      <c r="D117" s="1585"/>
      <c r="E117" s="1572"/>
      <c r="F117" s="1585"/>
      <c r="G117" s="1585"/>
      <c r="H117" s="1572"/>
      <c r="I117" s="1574"/>
      <c r="J117" s="1573"/>
      <c r="K117" s="1572"/>
    </row>
    <row r="118" spans="1:11" ht="12.75" customHeight="1" x14ac:dyDescent="0.2">
      <c r="A118" s="427" t="s">
        <v>1779</v>
      </c>
      <c r="B118" s="478">
        <v>3002</v>
      </c>
      <c r="C118" s="1631"/>
      <c r="D118" s="1572"/>
      <c r="E118" s="1572"/>
      <c r="F118" s="1572"/>
      <c r="G118" s="1572"/>
      <c r="H118" s="1572"/>
      <c r="I118" s="1574"/>
      <c r="J118" s="1573"/>
      <c r="K118" s="1572"/>
    </row>
    <row r="119" spans="1:11" ht="12.75" customHeight="1" x14ac:dyDescent="0.2">
      <c r="A119" s="427" t="s">
        <v>1780</v>
      </c>
      <c r="B119" s="478">
        <v>3005</v>
      </c>
      <c r="C119" s="1631"/>
      <c r="D119" s="1572"/>
      <c r="E119" s="1572"/>
      <c r="F119" s="1572"/>
      <c r="G119" s="1572"/>
      <c r="H119" s="1572"/>
      <c r="I119" s="1574"/>
      <c r="J119" s="1573"/>
      <c r="K119" s="1572"/>
    </row>
    <row r="120" spans="1:11" ht="12.75" customHeight="1" x14ac:dyDescent="0.2">
      <c r="A120" s="1538" t="s">
        <v>1898</v>
      </c>
      <c r="B120" s="478">
        <v>3030</v>
      </c>
      <c r="C120" s="1631"/>
      <c r="D120" s="1572"/>
      <c r="E120" s="1572"/>
      <c r="F120" s="1572"/>
      <c r="G120" s="1572"/>
      <c r="H120" s="1572"/>
      <c r="I120" s="1574"/>
      <c r="J120" s="1573"/>
      <c r="K120" s="1572"/>
    </row>
    <row r="121" spans="1:11" x14ac:dyDescent="0.2">
      <c r="A121" s="1265" t="s">
        <v>1781</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342939</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8246</v>
      </c>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8246</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1309</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2114</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20712</v>
      </c>
      <c r="G152" s="1573"/>
      <c r="H152" s="1574"/>
      <c r="I152" s="1574"/>
      <c r="J152" s="1574"/>
      <c r="K152" s="1574"/>
    </row>
    <row r="153" spans="1:11" ht="12.75" customHeight="1" x14ac:dyDescent="0.2">
      <c r="A153" s="427" t="s">
        <v>1050</v>
      </c>
      <c r="B153" s="478">
        <v>3510</v>
      </c>
      <c r="C153" s="1631"/>
      <c r="D153" s="1572"/>
      <c r="E153" s="1639"/>
      <c r="F153" s="1572">
        <v>18823</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39535</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1044</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1435</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9459</v>
      </c>
      <c r="D168" s="1654"/>
      <c r="E168" s="1654"/>
      <c r="F168" s="1654"/>
      <c r="G168" s="1655"/>
      <c r="H168" s="1656"/>
      <c r="I168" s="1655"/>
      <c r="J168" s="1655"/>
      <c r="K168" s="1656"/>
    </row>
    <row r="169" spans="1:11" ht="12.75" customHeight="1" thickTop="1" thickBot="1" x14ac:dyDescent="0.25">
      <c r="A169" s="2247" t="s">
        <v>395</v>
      </c>
      <c r="B169" s="2248"/>
      <c r="C169" s="1657">
        <f t="shared" ref="C169:K169" si="6">SUM(C132,C141,C145,C146:C150,C155,C156:C167,C168)</f>
        <v>21128</v>
      </c>
      <c r="D169" s="1657">
        <f t="shared" si="6"/>
        <v>0</v>
      </c>
      <c r="E169" s="1657">
        <f t="shared" si="6"/>
        <v>0</v>
      </c>
      <c r="F169" s="1657">
        <f t="shared" si="6"/>
        <v>39535</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364067</v>
      </c>
      <c r="D170" s="1640">
        <f t="shared" si="7"/>
        <v>0</v>
      </c>
      <c r="E170" s="1640">
        <f t="shared" si="7"/>
        <v>0</v>
      </c>
      <c r="F170" s="1640">
        <f t="shared" si="7"/>
        <v>39535</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49" t="s">
        <v>1478</v>
      </c>
      <c r="B172" s="2250"/>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3" t="s">
        <v>1649</v>
      </c>
      <c r="B175" s="2254"/>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7" t="s">
        <v>1648</v>
      </c>
      <c r="B176" s="2258"/>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5" t="s">
        <v>780</v>
      </c>
      <c r="B181" s="2256"/>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1" t="s">
        <v>1783</v>
      </c>
      <c r="B182" s="2252"/>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v>56484</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v>17265</v>
      </c>
      <c r="D193" s="1574"/>
      <c r="E193" s="1639"/>
      <c r="F193" s="1574"/>
      <c r="G193" s="1663"/>
      <c r="H193" s="1574"/>
      <c r="I193" s="1574"/>
      <c r="J193" s="1574"/>
      <c r="K193" s="1574"/>
    </row>
    <row r="194" spans="1:11" ht="12.75" customHeight="1" x14ac:dyDescent="0.2">
      <c r="A194" s="427" t="s">
        <v>1437</v>
      </c>
      <c r="B194" s="429">
        <v>4225</v>
      </c>
      <c r="C194" s="1631"/>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73749</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90191</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47958</v>
      </c>
      <c r="D203" s="1572"/>
      <c r="E203" s="1574"/>
      <c r="F203" s="1572"/>
      <c r="G203" s="1572"/>
      <c r="H203" s="1574"/>
      <c r="I203" s="1574"/>
      <c r="J203" s="1574"/>
      <c r="K203" s="1574"/>
    </row>
    <row r="204" spans="1:11" ht="12.75" customHeight="1" thickBot="1" x14ac:dyDescent="0.25">
      <c r="A204" s="1405" t="s">
        <v>397</v>
      </c>
      <c r="B204" s="1406"/>
      <c r="C204" s="1632">
        <f>SUM(C200:C203)</f>
        <v>138149</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15580</v>
      </c>
      <c r="D206" s="1572"/>
      <c r="E206" s="1574"/>
      <c r="F206" s="1572"/>
      <c r="G206" s="1572"/>
      <c r="H206" s="1574"/>
      <c r="I206" s="1574"/>
      <c r="J206" s="1574"/>
      <c r="K206" s="1574"/>
    </row>
    <row r="207" spans="1:11" ht="12.75" customHeight="1" x14ac:dyDescent="0.2">
      <c r="A207" s="427" t="s">
        <v>1439</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15580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c r="D253" s="1575"/>
      <c r="E253" s="1574"/>
      <c r="F253" s="1574"/>
      <c r="G253" s="1574"/>
      <c r="H253" s="1574"/>
      <c r="I253" s="1574"/>
      <c r="J253" s="1574"/>
      <c r="K253" s="1574"/>
    </row>
    <row r="254" spans="1:11" ht="12.75" customHeight="1" thickTop="1" thickBot="1" x14ac:dyDescent="0.25">
      <c r="A254" s="1272"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8470</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1899</v>
      </c>
      <c r="B261" s="429">
        <v>4981</v>
      </c>
      <c r="C261" s="1649"/>
      <c r="D261" s="1650"/>
      <c r="E261" s="1574"/>
      <c r="F261" s="1650"/>
      <c r="G261" s="1650"/>
      <c r="H261" s="1574"/>
      <c r="I261" s="1574"/>
      <c r="J261" s="1574"/>
      <c r="K261" s="1574"/>
    </row>
    <row r="262" spans="1:11" ht="12.75" customHeight="1" thickTop="1" thickBot="1" x14ac:dyDescent="0.25">
      <c r="A262" s="1539" t="s">
        <v>1900</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8474</v>
      </c>
      <c r="D263" s="1650"/>
      <c r="E263" s="1574"/>
      <c r="F263" s="1650"/>
      <c r="G263" s="1650"/>
      <c r="H263" s="1574"/>
      <c r="I263" s="1574"/>
      <c r="J263" s="1574"/>
      <c r="K263" s="1574"/>
    </row>
    <row r="264" spans="1:11" ht="12.75" customHeight="1" thickTop="1" thickBot="1" x14ac:dyDescent="0.25">
      <c r="A264" s="427" t="s">
        <v>374</v>
      </c>
      <c r="B264" s="429">
        <v>4992</v>
      </c>
      <c r="C264" s="1649">
        <v>12472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1650</v>
      </c>
      <c r="B266" s="1418"/>
      <c r="C266" s="1640">
        <f t="shared" ref="C266:H266" si="10">SUM(C188,C198,C204,C209,C217,C221,C222,C252:C265)</f>
        <v>256894</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256894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2498526</v>
      </c>
      <c r="D268" s="1640">
        <f t="shared" si="12"/>
        <v>169326</v>
      </c>
      <c r="E268" s="1640">
        <f t="shared" si="12"/>
        <v>217389</v>
      </c>
      <c r="F268" s="1640">
        <f t="shared" si="12"/>
        <v>196605</v>
      </c>
      <c r="G268" s="1640">
        <f t="shared" si="12"/>
        <v>155955</v>
      </c>
      <c r="H268" s="1640">
        <f t="shared" si="12"/>
        <v>131744</v>
      </c>
      <c r="I268" s="1640">
        <f t="shared" si="12"/>
        <v>16768</v>
      </c>
      <c r="J268" s="1640">
        <f t="shared" si="12"/>
        <v>388652</v>
      </c>
      <c r="K268" s="1628">
        <f t="shared" si="12"/>
        <v>16768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00"/>
  </sheetPr>
  <dimension ref="A1:N368"/>
  <sheetViews>
    <sheetView showGridLines="0" defaultGridColor="0" colorId="8" zoomScale="110" zoomScaleNormal="110" workbookViewId="0">
      <pane ySplit="2" topLeftCell="A300" activePane="bottomLeft" state="frozen"/>
      <selection pane="bottomLeft" activeCell="F364" sqref="F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5" t="s">
        <v>294</v>
      </c>
      <c r="B3" s="2266"/>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f>696860-3176</f>
        <v>693684</v>
      </c>
      <c r="D5" s="1572">
        <v>153716</v>
      </c>
      <c r="E5" s="1572">
        <v>60093</v>
      </c>
      <c r="F5" s="1572">
        <v>42980</v>
      </c>
      <c r="G5" s="1572"/>
      <c r="H5" s="1572"/>
      <c r="I5" s="1573"/>
      <c r="J5" s="1573"/>
      <c r="K5" s="1671">
        <f>SUM(C5:J5)</f>
        <v>950473</v>
      </c>
      <c r="L5" s="1572">
        <v>934089</v>
      </c>
    </row>
    <row r="6" spans="1:14" x14ac:dyDescent="0.2">
      <c r="A6" s="1273" t="s">
        <v>1419</v>
      </c>
      <c r="B6" s="503" t="s">
        <v>1417</v>
      </c>
      <c r="C6" s="1581"/>
      <c r="D6" s="1581"/>
      <c r="E6" s="1572"/>
      <c r="F6" s="1581"/>
      <c r="G6" s="1581"/>
      <c r="H6" s="1581"/>
      <c r="I6" s="1581"/>
      <c r="J6" s="1581"/>
      <c r="K6" s="1671">
        <f>SUM(C6,E6)</f>
        <v>0</v>
      </c>
      <c r="L6" s="1572"/>
    </row>
    <row r="7" spans="1:14" x14ac:dyDescent="0.2">
      <c r="A7" s="1273" t="s">
        <v>162</v>
      </c>
      <c r="B7" s="503" t="s">
        <v>961</v>
      </c>
      <c r="C7" s="1573">
        <v>50214</v>
      </c>
      <c r="D7" s="1573">
        <v>11977</v>
      </c>
      <c r="E7" s="1573"/>
      <c r="F7" s="1573">
        <v>1218</v>
      </c>
      <c r="G7" s="1573"/>
      <c r="H7" s="1573"/>
      <c r="I7" s="1573"/>
      <c r="J7" s="1573"/>
      <c r="K7" s="1671">
        <f t="shared" ref="K7:K32" si="0">SUM(C7:J7)</f>
        <v>63409</v>
      </c>
      <c r="L7" s="1572">
        <v>73804</v>
      </c>
    </row>
    <row r="8" spans="1:14" x14ac:dyDescent="0.2">
      <c r="A8" s="1273" t="s">
        <v>163</v>
      </c>
      <c r="B8" s="503">
        <v>1200</v>
      </c>
      <c r="C8" s="1572">
        <v>247878</v>
      </c>
      <c r="D8" s="1572">
        <v>36002</v>
      </c>
      <c r="E8" s="1572">
        <v>893</v>
      </c>
      <c r="F8" s="1572">
        <v>1706</v>
      </c>
      <c r="G8" s="1572"/>
      <c r="H8" s="1572"/>
      <c r="I8" s="1573"/>
      <c r="J8" s="1573"/>
      <c r="K8" s="1671">
        <f t="shared" si="0"/>
        <v>286479</v>
      </c>
      <c r="L8" s="1572">
        <v>304743</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52605</v>
      </c>
      <c r="D10" s="1572">
        <v>12130</v>
      </c>
      <c r="E10" s="1572">
        <v>10520</v>
      </c>
      <c r="F10" s="1572">
        <v>1288</v>
      </c>
      <c r="G10" s="1572">
        <v>12763</v>
      </c>
      <c r="H10" s="1572"/>
      <c r="I10" s="1573"/>
      <c r="J10" s="1573"/>
      <c r="K10" s="1671">
        <f t="shared" si="0"/>
        <v>89306</v>
      </c>
      <c r="L10" s="1572">
        <v>64632</v>
      </c>
    </row>
    <row r="11" spans="1:14" x14ac:dyDescent="0.2">
      <c r="A11" s="1273" t="s">
        <v>1122</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86615</v>
      </c>
      <c r="D13" s="1572">
        <v>17697</v>
      </c>
      <c r="E13" s="1572"/>
      <c r="F13" s="1572">
        <v>1010</v>
      </c>
      <c r="G13" s="1572"/>
      <c r="H13" s="1572"/>
      <c r="I13" s="1573"/>
      <c r="J13" s="1573"/>
      <c r="K13" s="1671">
        <f t="shared" si="0"/>
        <v>105322</v>
      </c>
      <c r="L13" s="1572">
        <v>105730</v>
      </c>
    </row>
    <row r="14" spans="1:14" x14ac:dyDescent="0.2">
      <c r="A14" s="1273" t="s">
        <v>957</v>
      </c>
      <c r="B14" s="503">
        <v>1500</v>
      </c>
      <c r="C14" s="1572">
        <v>27403</v>
      </c>
      <c r="D14" s="1572">
        <v>4974</v>
      </c>
      <c r="E14" s="1572">
        <v>23514</v>
      </c>
      <c r="F14" s="1572">
        <v>1380</v>
      </c>
      <c r="G14" s="1572"/>
      <c r="H14" s="1572"/>
      <c r="I14" s="1573"/>
      <c r="J14" s="1573"/>
      <c r="K14" s="1671">
        <f t="shared" si="0"/>
        <v>57271</v>
      </c>
      <c r="L14" s="1572">
        <v>50881</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f>448+3176</f>
        <v>3624</v>
      </c>
      <c r="D17" s="1573">
        <v>75</v>
      </c>
      <c r="E17" s="1573">
        <v>931</v>
      </c>
      <c r="F17" s="1573">
        <v>67</v>
      </c>
      <c r="G17" s="1573">
        <v>10975</v>
      </c>
      <c r="H17" s="1573"/>
      <c r="I17" s="1573"/>
      <c r="J17" s="1573"/>
      <c r="K17" s="1671">
        <f t="shared" si="0"/>
        <v>15672</v>
      </c>
      <c r="L17" s="1572">
        <v>19519</v>
      </c>
    </row>
    <row r="18" spans="1:12" x14ac:dyDescent="0.2">
      <c r="A18" s="1273" t="s">
        <v>1080</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v>200</v>
      </c>
      <c r="F19" s="1572"/>
      <c r="G19" s="1572"/>
      <c r="H19" s="1572"/>
      <c r="I19" s="1573"/>
      <c r="J19" s="1573"/>
      <c r="K19" s="1671">
        <f t="shared" si="0"/>
        <v>200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1121</v>
      </c>
      <c r="B32" s="503" t="s">
        <v>732</v>
      </c>
      <c r="C32" s="1581"/>
      <c r="D32" s="1581"/>
      <c r="E32" s="1581"/>
      <c r="F32" s="1581"/>
      <c r="G32" s="1581"/>
      <c r="H32" s="1578"/>
      <c r="I32" s="1672"/>
      <c r="J32" s="1584"/>
      <c r="K32" s="1671">
        <f t="shared" si="0"/>
        <v>0</v>
      </c>
      <c r="L32" s="1576"/>
    </row>
    <row r="33" spans="1:14" ht="12.75" customHeight="1" thickBot="1" x14ac:dyDescent="0.25">
      <c r="A33" s="1379" t="s">
        <v>1652</v>
      </c>
      <c r="B33" s="1380" t="s">
        <v>566</v>
      </c>
      <c r="C33" s="1673">
        <f>SUM(C5:C32)</f>
        <v>1162023</v>
      </c>
      <c r="D33" s="1673">
        <f t="shared" ref="D33:L33" si="1">SUM(D5:D32)</f>
        <v>236571</v>
      </c>
      <c r="E33" s="1673">
        <f t="shared" si="1"/>
        <v>96151</v>
      </c>
      <c r="F33" s="1673">
        <f t="shared" si="1"/>
        <v>49649</v>
      </c>
      <c r="G33" s="1673">
        <f t="shared" si="1"/>
        <v>23738</v>
      </c>
      <c r="H33" s="1673">
        <f t="shared" si="1"/>
        <v>0</v>
      </c>
      <c r="I33" s="1673">
        <f t="shared" si="1"/>
        <v>0</v>
      </c>
      <c r="J33" s="1673">
        <f t="shared" si="1"/>
        <v>0</v>
      </c>
      <c r="K33" s="1673">
        <f t="shared" si="1"/>
        <v>1568132</v>
      </c>
      <c r="L33" s="1673">
        <f t="shared" si="1"/>
        <v>1553398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c r="D36" s="1585"/>
      <c r="E36" s="1585">
        <v>30252</v>
      </c>
      <c r="F36" s="1585"/>
      <c r="G36" s="1585"/>
      <c r="H36" s="1585"/>
      <c r="I36" s="1573"/>
      <c r="J36" s="1573"/>
      <c r="K36" s="1671">
        <f t="shared" ref="K36:K41" si="2">SUM(C36:J36)</f>
        <v>30252</v>
      </c>
      <c r="L36" s="1572">
        <v>29515</v>
      </c>
    </row>
    <row r="37" spans="1:14" x14ac:dyDescent="0.2">
      <c r="A37" s="1273" t="s">
        <v>1083</v>
      </c>
      <c r="B37" s="503">
        <v>2120</v>
      </c>
      <c r="C37" s="1572">
        <v>40856</v>
      </c>
      <c r="D37" s="1572">
        <v>9235</v>
      </c>
      <c r="E37" s="1572"/>
      <c r="F37" s="1572">
        <v>230</v>
      </c>
      <c r="G37" s="1572"/>
      <c r="H37" s="1572"/>
      <c r="I37" s="1573"/>
      <c r="J37" s="1573"/>
      <c r="K37" s="1671">
        <f t="shared" si="2"/>
        <v>50321</v>
      </c>
      <c r="L37" s="1572">
        <v>46421</v>
      </c>
    </row>
    <row r="38" spans="1:14" x14ac:dyDescent="0.2">
      <c r="A38" s="1273" t="s">
        <v>196</v>
      </c>
      <c r="B38" s="503">
        <v>2130</v>
      </c>
      <c r="C38" s="1572"/>
      <c r="D38" s="1572"/>
      <c r="E38" s="1572"/>
      <c r="F38" s="1572">
        <v>829</v>
      </c>
      <c r="G38" s="1572"/>
      <c r="H38" s="1572"/>
      <c r="I38" s="1573"/>
      <c r="J38" s="1573"/>
      <c r="K38" s="1671">
        <f t="shared" si="2"/>
        <v>829</v>
      </c>
      <c r="L38" s="1572">
        <v>37674</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v>29910</v>
      </c>
      <c r="D40" s="1572">
        <v>3859</v>
      </c>
      <c r="E40" s="1572"/>
      <c r="F40" s="1572">
        <v>55</v>
      </c>
      <c r="G40" s="1572"/>
      <c r="H40" s="1572"/>
      <c r="I40" s="1573"/>
      <c r="J40" s="1573"/>
      <c r="K40" s="1671">
        <f t="shared" si="2"/>
        <v>33824</v>
      </c>
      <c r="L40" s="1572"/>
    </row>
    <row r="41" spans="1:14" x14ac:dyDescent="0.2">
      <c r="A41" s="1273" t="s">
        <v>1653</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70766</v>
      </c>
      <c r="D42" s="1673">
        <f t="shared" ref="D42:L42" si="3">SUM(D36:D41)</f>
        <v>13094</v>
      </c>
      <c r="E42" s="1673">
        <f t="shared" si="3"/>
        <v>30252</v>
      </c>
      <c r="F42" s="1673">
        <f t="shared" si="3"/>
        <v>1114</v>
      </c>
      <c r="G42" s="1673">
        <f t="shared" si="3"/>
        <v>0</v>
      </c>
      <c r="H42" s="1673">
        <f t="shared" si="3"/>
        <v>0</v>
      </c>
      <c r="I42" s="1673">
        <f t="shared" si="3"/>
        <v>0</v>
      </c>
      <c r="J42" s="1673">
        <f t="shared" si="3"/>
        <v>0</v>
      </c>
      <c r="K42" s="1673">
        <f t="shared" si="3"/>
        <v>115226</v>
      </c>
      <c r="L42" s="1673">
        <f t="shared" si="3"/>
        <v>113610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v>8658</v>
      </c>
      <c r="F44" s="1585"/>
      <c r="G44" s="1585"/>
      <c r="H44" s="1585"/>
      <c r="I44" s="1573"/>
      <c r="J44" s="1573"/>
      <c r="K44" s="1677">
        <f>SUM(C44:J44)</f>
        <v>8658</v>
      </c>
      <c r="L44" s="1585">
        <v>8677</v>
      </c>
    </row>
    <row r="45" spans="1:14" x14ac:dyDescent="0.2">
      <c r="A45" s="1273" t="s">
        <v>810</v>
      </c>
      <c r="B45" s="503">
        <v>2220</v>
      </c>
      <c r="C45" s="1572">
        <v>22431</v>
      </c>
      <c r="D45" s="1572">
        <v>20</v>
      </c>
      <c r="E45" s="1572"/>
      <c r="F45" s="1572">
        <v>4057</v>
      </c>
      <c r="G45" s="1572">
        <v>3307</v>
      </c>
      <c r="H45" s="1572"/>
      <c r="I45" s="1573"/>
      <c r="J45" s="1573"/>
      <c r="K45" s="1677">
        <f>SUM(C45:J45)</f>
        <v>29815</v>
      </c>
      <c r="L45" s="1572">
        <v>26120</v>
      </c>
    </row>
    <row r="46" spans="1:14" x14ac:dyDescent="0.2">
      <c r="A46" s="1273" t="s">
        <v>811</v>
      </c>
      <c r="B46" s="503">
        <v>2230</v>
      </c>
      <c r="C46" s="1572"/>
      <c r="D46" s="1572"/>
      <c r="E46" s="1572">
        <v>6264</v>
      </c>
      <c r="F46" s="1572">
        <v>3010</v>
      </c>
      <c r="G46" s="1572"/>
      <c r="H46" s="1572"/>
      <c r="I46" s="1573"/>
      <c r="J46" s="1573"/>
      <c r="K46" s="1677">
        <f>SUM(C46:J46)</f>
        <v>9274</v>
      </c>
      <c r="L46" s="1572">
        <v>11031</v>
      </c>
    </row>
    <row r="47" spans="1:14" ht="12.75" customHeight="1" thickBot="1" x14ac:dyDescent="0.25">
      <c r="A47" s="1379" t="s">
        <v>557</v>
      </c>
      <c r="B47" s="1380" t="s">
        <v>32</v>
      </c>
      <c r="C47" s="1673">
        <f>SUM(C44:C46)</f>
        <v>22431</v>
      </c>
      <c r="D47" s="1673">
        <f t="shared" ref="D47:K47" si="4">SUM(D44:D46)</f>
        <v>20</v>
      </c>
      <c r="E47" s="1673">
        <f t="shared" si="4"/>
        <v>14922</v>
      </c>
      <c r="F47" s="1673">
        <f t="shared" si="4"/>
        <v>7067</v>
      </c>
      <c r="G47" s="1673">
        <f t="shared" si="4"/>
        <v>3307</v>
      </c>
      <c r="H47" s="1673">
        <f t="shared" si="4"/>
        <v>0</v>
      </c>
      <c r="I47" s="1673">
        <f t="shared" si="4"/>
        <v>0</v>
      </c>
      <c r="J47" s="1673">
        <f t="shared" si="4"/>
        <v>0</v>
      </c>
      <c r="K47" s="1673">
        <f t="shared" si="4"/>
        <v>47747</v>
      </c>
      <c r="L47" s="1673">
        <f>SUM(L44:L46)</f>
        <v>45828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16097</v>
      </c>
      <c r="F49" s="1585">
        <v>13139</v>
      </c>
      <c r="G49" s="1585"/>
      <c r="H49" s="1585"/>
      <c r="I49" s="1573"/>
      <c r="J49" s="1573"/>
      <c r="K49" s="1677">
        <f>SUM(C49:J49)</f>
        <v>29236</v>
      </c>
      <c r="L49" s="1585">
        <v>24680</v>
      </c>
    </row>
    <row r="50" spans="1:14" x14ac:dyDescent="0.2">
      <c r="A50" s="1273" t="s">
        <v>813</v>
      </c>
      <c r="B50" s="503">
        <v>2320</v>
      </c>
      <c r="C50" s="1572">
        <v>111874</v>
      </c>
      <c r="D50" s="1572">
        <v>20153</v>
      </c>
      <c r="E50" s="1572">
        <v>9781</v>
      </c>
      <c r="F50" s="1572">
        <v>13075</v>
      </c>
      <c r="G50" s="1572"/>
      <c r="H50" s="1572"/>
      <c r="I50" s="1573"/>
      <c r="J50" s="1573"/>
      <c r="K50" s="1677">
        <f>SUM(C50:J50)</f>
        <v>154883</v>
      </c>
      <c r="L50" s="1572">
        <v>106366</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111874</v>
      </c>
      <c r="D53" s="1673">
        <f t="shared" ref="D53:L53" si="5">SUM(D49:D52)</f>
        <v>20153</v>
      </c>
      <c r="E53" s="1673">
        <f t="shared" si="5"/>
        <v>25878</v>
      </c>
      <c r="F53" s="1673">
        <f t="shared" si="5"/>
        <v>26214</v>
      </c>
      <c r="G53" s="1673">
        <f t="shared" si="5"/>
        <v>0</v>
      </c>
      <c r="H53" s="1673">
        <f t="shared" si="5"/>
        <v>0</v>
      </c>
      <c r="I53" s="1673">
        <f t="shared" si="5"/>
        <v>0</v>
      </c>
      <c r="J53" s="1673">
        <f t="shared" si="5"/>
        <v>0</v>
      </c>
      <c r="K53" s="1673">
        <f t="shared" si="5"/>
        <v>184119</v>
      </c>
      <c r="L53" s="1673">
        <f t="shared" si="5"/>
        <v>131046</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129418</v>
      </c>
      <c r="D55" s="1585">
        <v>21287</v>
      </c>
      <c r="E55" s="1585">
        <v>2079</v>
      </c>
      <c r="F55" s="1585">
        <v>1725</v>
      </c>
      <c r="G55" s="1585">
        <v>1923</v>
      </c>
      <c r="H55" s="1585"/>
      <c r="I55" s="1573"/>
      <c r="J55" s="1573"/>
      <c r="K55" s="1677">
        <f>SUM(C55:J55)</f>
        <v>156432</v>
      </c>
      <c r="L55" s="1585">
        <v>150638</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129418</v>
      </c>
      <c r="D57" s="1678">
        <f t="shared" ref="D57:K57" si="6">SUM(D55:D56)</f>
        <v>21287</v>
      </c>
      <c r="E57" s="1678">
        <f t="shared" si="6"/>
        <v>2079</v>
      </c>
      <c r="F57" s="1678">
        <f t="shared" si="6"/>
        <v>1725</v>
      </c>
      <c r="G57" s="1678">
        <f t="shared" si="6"/>
        <v>1923</v>
      </c>
      <c r="H57" s="1678">
        <f t="shared" si="6"/>
        <v>0</v>
      </c>
      <c r="I57" s="1678">
        <f t="shared" si="6"/>
        <v>0</v>
      </c>
      <c r="J57" s="1678">
        <f t="shared" si="6"/>
        <v>0</v>
      </c>
      <c r="K57" s="1678">
        <f t="shared" si="6"/>
        <v>156432</v>
      </c>
      <c r="L57" s="1673">
        <f>SUM(L55:L56)</f>
        <v>150638</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52699</v>
      </c>
      <c r="D60" s="1572">
        <v>21</v>
      </c>
      <c r="E60" s="1572">
        <v>5125</v>
      </c>
      <c r="F60" s="1572">
        <v>1073</v>
      </c>
      <c r="G60" s="1572"/>
      <c r="H60" s="1572"/>
      <c r="I60" s="1573"/>
      <c r="J60" s="1573"/>
      <c r="K60" s="1677">
        <f t="shared" si="7"/>
        <v>58918</v>
      </c>
      <c r="L60" s="1572">
        <v>53458</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v>763</v>
      </c>
      <c r="F62" s="1572"/>
      <c r="G62" s="1572"/>
      <c r="H62" s="1572"/>
      <c r="I62" s="1573"/>
      <c r="J62" s="1573"/>
      <c r="K62" s="1677">
        <f t="shared" si="7"/>
        <v>763</v>
      </c>
      <c r="L62" s="1572"/>
      <c r="M62" s="501"/>
      <c r="N62" s="501"/>
    </row>
    <row r="63" spans="1:14" s="501" customFormat="1" x14ac:dyDescent="0.2">
      <c r="A63" s="1273" t="s">
        <v>100</v>
      </c>
      <c r="B63" s="503">
        <v>2560</v>
      </c>
      <c r="C63" s="1572">
        <v>70884</v>
      </c>
      <c r="D63" s="1572">
        <v>6897</v>
      </c>
      <c r="E63" s="1572">
        <v>559</v>
      </c>
      <c r="F63" s="1572">
        <v>68164</v>
      </c>
      <c r="G63" s="1572">
        <v>4913</v>
      </c>
      <c r="H63" s="1572"/>
      <c r="I63" s="1573"/>
      <c r="J63" s="1573"/>
      <c r="K63" s="1677">
        <f t="shared" si="7"/>
        <v>151417</v>
      </c>
      <c r="L63" s="1572">
        <v>155558</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123583</v>
      </c>
      <c r="D65" s="1673">
        <f t="shared" ref="D65:L65" si="8">SUM(D59:D64)</f>
        <v>6918</v>
      </c>
      <c r="E65" s="1673">
        <f t="shared" si="8"/>
        <v>6447</v>
      </c>
      <c r="F65" s="1673">
        <f t="shared" si="8"/>
        <v>69237</v>
      </c>
      <c r="G65" s="1673">
        <f t="shared" si="8"/>
        <v>4913</v>
      </c>
      <c r="H65" s="1673">
        <f t="shared" si="8"/>
        <v>0</v>
      </c>
      <c r="I65" s="1673">
        <f t="shared" si="8"/>
        <v>0</v>
      </c>
      <c r="J65" s="1673">
        <f t="shared" si="8"/>
        <v>0</v>
      </c>
      <c r="K65" s="1673">
        <f t="shared" si="8"/>
        <v>211098</v>
      </c>
      <c r="L65" s="1673">
        <f t="shared" si="8"/>
        <v>209016</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v>7500</v>
      </c>
      <c r="D68" s="1572"/>
      <c r="E68" s="1572"/>
      <c r="F68" s="1572"/>
      <c r="G68" s="1572"/>
      <c r="H68" s="1572"/>
      <c r="I68" s="1573"/>
      <c r="J68" s="1573"/>
      <c r="K68" s="1677">
        <f>SUM(C68:J68)</f>
        <v>7500</v>
      </c>
      <c r="L68" s="1572">
        <v>16000</v>
      </c>
      <c r="M68" s="501"/>
      <c r="N68" s="501"/>
    </row>
    <row r="69" spans="1:14" s="321" customFormat="1" x14ac:dyDescent="0.2">
      <c r="A69" s="1273" t="s">
        <v>1054</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7500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7500</v>
      </c>
      <c r="L72" s="1673">
        <f>SUM(L67:L71)</f>
        <v>16000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465572</v>
      </c>
      <c r="D74" s="1680">
        <f t="shared" ref="D74:K74" si="10">SUM(D42,D47,D53,D57,D65,D72,D73)</f>
        <v>61472</v>
      </c>
      <c r="E74" s="1680">
        <f t="shared" si="10"/>
        <v>79578</v>
      </c>
      <c r="F74" s="1680">
        <f t="shared" si="10"/>
        <v>105357</v>
      </c>
      <c r="G74" s="1680">
        <f t="shared" si="10"/>
        <v>10143</v>
      </c>
      <c r="H74" s="1680">
        <f t="shared" si="10"/>
        <v>0</v>
      </c>
      <c r="I74" s="1680">
        <f t="shared" si="10"/>
        <v>0</v>
      </c>
      <c r="J74" s="1680">
        <f t="shared" si="10"/>
        <v>0</v>
      </c>
      <c r="K74" s="1680">
        <f t="shared" si="10"/>
        <v>722122</v>
      </c>
      <c r="L74" s="1680">
        <f>SUM(L42,L47,L53,L57,L65,L72,L73)</f>
        <v>666138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38818</v>
      </c>
      <c r="F79" s="1672"/>
      <c r="G79" s="1672"/>
      <c r="H79" s="1572"/>
      <c r="I79" s="1581"/>
      <c r="J79" s="1581"/>
      <c r="K79" s="1671">
        <f t="shared" si="11"/>
        <v>38818</v>
      </c>
      <c r="L79" s="1572">
        <v>37863</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1471</v>
      </c>
      <c r="B84" s="1384">
        <v>4100</v>
      </c>
      <c r="C84" s="1672"/>
      <c r="D84" s="1672"/>
      <c r="E84" s="1673">
        <f>SUM(E78:E83)</f>
        <v>38818</v>
      </c>
      <c r="F84" s="1672"/>
      <c r="G84" s="1672"/>
      <c r="H84" s="1673">
        <f>SUM(H78:H83)</f>
        <v>0</v>
      </c>
      <c r="I84" s="1581"/>
      <c r="J84" s="1581"/>
      <c r="K84" s="1673">
        <f>SUM(K78:K83)</f>
        <v>38818</v>
      </c>
      <c r="L84" s="1673">
        <f>SUM(L78:L83)</f>
        <v>37863</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31142</v>
      </c>
      <c r="I86" s="1581"/>
      <c r="J86" s="1581"/>
      <c r="K86" s="1680">
        <f t="shared" ref="K86:K98" si="12">H86</f>
        <v>31142</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1546</v>
      </c>
      <c r="B92" s="1384">
        <v>4200</v>
      </c>
      <c r="C92" s="1672"/>
      <c r="D92" s="1672"/>
      <c r="E92" s="1683"/>
      <c r="F92" s="1672"/>
      <c r="G92" s="1672"/>
      <c r="H92" s="1673">
        <f>SUM(H85:H91)</f>
        <v>31142</v>
      </c>
      <c r="I92" s="1581"/>
      <c r="J92" s="1581"/>
      <c r="K92" s="1680">
        <f t="shared" si="12"/>
        <v>31142</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1474</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1473</v>
      </c>
      <c r="B102" s="1384">
        <v>4000</v>
      </c>
      <c r="C102" s="1672"/>
      <c r="D102" s="1672"/>
      <c r="E102" s="1680">
        <f>SUM(E84,E92,E100,E101)</f>
        <v>38818</v>
      </c>
      <c r="F102" s="1672"/>
      <c r="G102" s="1672"/>
      <c r="H102" s="1680">
        <f>SUM(H84,H92,H100,H101)</f>
        <v>31142</v>
      </c>
      <c r="I102" s="1581"/>
      <c r="J102" s="1581"/>
      <c r="K102" s="1680">
        <f>SUM(K84,K92,K100,K101)</f>
        <v>69960</v>
      </c>
      <c r="L102" s="1680">
        <f>SUM(L84,L92,L100,L101)</f>
        <v>37863</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1627595</v>
      </c>
      <c r="D114" s="1673">
        <f t="shared" ref="D114:K114" si="13">SUM(D33,D74,D75,D102,D112,D113)</f>
        <v>298043</v>
      </c>
      <c r="E114" s="1673">
        <f t="shared" si="13"/>
        <v>214547</v>
      </c>
      <c r="F114" s="1673">
        <f t="shared" si="13"/>
        <v>155006</v>
      </c>
      <c r="G114" s="1673">
        <f t="shared" si="13"/>
        <v>33881</v>
      </c>
      <c r="H114" s="1673">
        <f>SUM(H33,H74,H75,H102,H112,H113)</f>
        <v>31142</v>
      </c>
      <c r="I114" s="1673">
        <f t="shared" si="13"/>
        <v>0</v>
      </c>
      <c r="J114" s="1673">
        <f t="shared" si="13"/>
        <v>0</v>
      </c>
      <c r="K114" s="1673">
        <f t="shared" si="13"/>
        <v>2360214</v>
      </c>
      <c r="L114" s="1673">
        <f>SUM(L33,L74,L75,L102,L112,L113)</f>
        <v>2257399</v>
      </c>
    </row>
    <row r="115" spans="1:14" ht="13.5" thickTop="1" x14ac:dyDescent="0.2">
      <c r="A115" s="2284" t="s">
        <v>989</v>
      </c>
      <c r="B115" s="2285"/>
      <c r="C115" s="1674"/>
      <c r="D115" s="1674"/>
      <c r="E115" s="1674"/>
      <c r="F115" s="1674"/>
      <c r="G115" s="1674"/>
      <c r="H115" s="1674"/>
      <c r="I115" s="1674"/>
      <c r="J115" s="1674"/>
      <c r="K115" s="1688">
        <f>'Revenues 9-14'!C268-'Expenditures 15-22'!K114</f>
        <v>138312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2" t="s">
        <v>293</v>
      </c>
      <c r="B117" s="2263"/>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1966</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110855</v>
      </c>
      <c r="D124" s="1572">
        <v>17895</v>
      </c>
      <c r="E124" s="1572">
        <v>98812</v>
      </c>
      <c r="F124" s="1572">
        <v>32560</v>
      </c>
      <c r="G124" s="1572">
        <v>52685</v>
      </c>
      <c r="H124" s="1572"/>
      <c r="I124" s="1573"/>
      <c r="J124" s="1573"/>
      <c r="K124" s="1673">
        <f>SUM(C124:J124)</f>
        <v>312807</v>
      </c>
      <c r="L124" s="1572">
        <v>308494</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110855</v>
      </c>
      <c r="D127" s="1673">
        <f t="shared" ref="D127:L127" si="14">SUM(D122:D126)</f>
        <v>17895</v>
      </c>
      <c r="E127" s="1673">
        <f t="shared" si="14"/>
        <v>98812</v>
      </c>
      <c r="F127" s="1673">
        <f t="shared" si="14"/>
        <v>32560</v>
      </c>
      <c r="G127" s="1673">
        <f t="shared" si="14"/>
        <v>52685</v>
      </c>
      <c r="H127" s="1673">
        <f t="shared" si="14"/>
        <v>0</v>
      </c>
      <c r="I127" s="1673">
        <f t="shared" si="14"/>
        <v>0</v>
      </c>
      <c r="J127" s="1673">
        <f t="shared" si="14"/>
        <v>0</v>
      </c>
      <c r="K127" s="1673">
        <f t="shared" si="14"/>
        <v>312807</v>
      </c>
      <c r="L127" s="1673">
        <f t="shared" si="14"/>
        <v>308494</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110855</v>
      </c>
      <c r="D129" s="1680">
        <f t="shared" ref="D129:L129" si="15">SUM(D120,D127,D128)</f>
        <v>17895</v>
      </c>
      <c r="E129" s="1680">
        <f t="shared" si="15"/>
        <v>98812</v>
      </c>
      <c r="F129" s="1680">
        <f t="shared" si="15"/>
        <v>32560</v>
      </c>
      <c r="G129" s="1680">
        <f t="shared" si="15"/>
        <v>52685</v>
      </c>
      <c r="H129" s="1680">
        <f t="shared" si="15"/>
        <v>0</v>
      </c>
      <c r="I129" s="1680">
        <f t="shared" si="15"/>
        <v>0</v>
      </c>
      <c r="J129" s="1680">
        <f t="shared" si="15"/>
        <v>0</v>
      </c>
      <c r="K129" s="1680">
        <f t="shared" si="15"/>
        <v>312807</v>
      </c>
      <c r="L129" s="1680">
        <f t="shared" si="15"/>
        <v>308494</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1819</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1162</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4" t="s">
        <v>616</v>
      </c>
      <c r="B151" s="2256"/>
      <c r="C151" s="1673">
        <f>SUM(C129,C130,C139,C149,C150)</f>
        <v>110855</v>
      </c>
      <c r="D151" s="1673">
        <f t="shared" ref="D151:K151" si="16">SUM(D129,D130,D139,D149,D150)</f>
        <v>17895</v>
      </c>
      <c r="E151" s="1673">
        <f t="shared" si="16"/>
        <v>98812</v>
      </c>
      <c r="F151" s="1673">
        <f t="shared" si="16"/>
        <v>32560</v>
      </c>
      <c r="G151" s="1673">
        <f t="shared" si="16"/>
        <v>52685</v>
      </c>
      <c r="H151" s="1673">
        <f t="shared" si="16"/>
        <v>0</v>
      </c>
      <c r="I151" s="1673">
        <f t="shared" si="16"/>
        <v>0</v>
      </c>
      <c r="J151" s="1673">
        <f t="shared" si="16"/>
        <v>0</v>
      </c>
      <c r="K151" s="1673">
        <f t="shared" si="16"/>
        <v>312807</v>
      </c>
      <c r="L151" s="1673">
        <f>SUM(L129,L130,L139,L149,L150)</f>
        <v>308494</v>
      </c>
    </row>
    <row r="152" spans="1:14" ht="12.75" customHeight="1" thickTop="1" x14ac:dyDescent="0.2">
      <c r="A152" s="2277" t="s">
        <v>1170</v>
      </c>
      <c r="B152" s="2278"/>
      <c r="C152" s="1674"/>
      <c r="D152" s="1674"/>
      <c r="E152" s="1674"/>
      <c r="F152" s="1674"/>
      <c r="G152" s="1674"/>
      <c r="H152" s="1674"/>
      <c r="I152" s="1674"/>
      <c r="J152" s="1672"/>
      <c r="K152" s="1688">
        <f>'Revenues 9-14'!D268-'Expenditures 15-22'!K151</f>
        <v>-143481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2" t="s">
        <v>617</v>
      </c>
      <c r="B154" s="2264"/>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1820</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1819</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1821</v>
      </c>
      <c r="C158" s="1672"/>
      <c r="D158" s="1672"/>
      <c r="E158" s="1672"/>
      <c r="F158" s="1672"/>
      <c r="G158" s="1672"/>
      <c r="H158" s="1573"/>
      <c r="I158" s="1672"/>
      <c r="J158" s="1672"/>
      <c r="K158" s="1671">
        <f>H158</f>
        <v>0</v>
      </c>
      <c r="L158" s="1573"/>
      <c r="M158" s="505"/>
      <c r="N158" s="505"/>
    </row>
    <row r="159" spans="1:14" s="506" customFormat="1" ht="12" x14ac:dyDescent="0.2">
      <c r="A159" s="1461" t="s">
        <v>1822</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1823</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1162</v>
      </c>
      <c r="B165" s="503" t="s">
        <v>613</v>
      </c>
      <c r="C165" s="1672"/>
      <c r="D165" s="1672"/>
      <c r="E165" s="1672"/>
      <c r="F165" s="1672"/>
      <c r="G165" s="1672"/>
      <c r="H165" s="1572"/>
      <c r="I165" s="1672"/>
      <c r="J165" s="1672"/>
      <c r="K165" s="1671">
        <f>SUM(C165:J165)</f>
        <v>0</v>
      </c>
      <c r="L165" s="1572">
        <v>163000</v>
      </c>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163000</v>
      </c>
    </row>
    <row r="169" spans="1:14" ht="15.75" customHeight="1" thickTop="1" x14ac:dyDescent="0.2">
      <c r="A169" s="543" t="s">
        <v>83</v>
      </c>
      <c r="B169" s="544" t="s">
        <v>38</v>
      </c>
      <c r="C169" s="1672"/>
      <c r="D169" s="1672"/>
      <c r="E169" s="1672"/>
      <c r="F169" s="1672"/>
      <c r="G169" s="1672"/>
      <c r="H169" s="1694">
        <v>18513</v>
      </c>
      <c r="I169" s="1672"/>
      <c r="J169" s="1672"/>
      <c r="K169" s="1671">
        <f>SUM(C169:H169)</f>
        <v>18513</v>
      </c>
      <c r="L169" s="1694"/>
    </row>
    <row r="170" spans="1:14" ht="33.75" customHeight="1" x14ac:dyDescent="0.2">
      <c r="A170" s="543" t="s">
        <v>1654</v>
      </c>
      <c r="B170" s="545" t="s">
        <v>31</v>
      </c>
      <c r="C170" s="1672"/>
      <c r="D170" s="1672"/>
      <c r="E170" s="1672"/>
      <c r="F170" s="1672"/>
      <c r="G170" s="1672"/>
      <c r="H170" s="1645">
        <v>151223</v>
      </c>
      <c r="I170" s="1672"/>
      <c r="J170" s="1672"/>
      <c r="K170" s="1671">
        <f>SUM(C170:J170)</f>
        <v>151223</v>
      </c>
      <c r="L170" s="1645"/>
    </row>
    <row r="171" spans="1:14" ht="15.75" customHeight="1" x14ac:dyDescent="0.2">
      <c r="A171" s="507" t="s">
        <v>761</v>
      </c>
      <c r="B171" s="546" t="s">
        <v>84</v>
      </c>
      <c r="C171" s="1672"/>
      <c r="D171" s="1672"/>
      <c r="E171" s="1572"/>
      <c r="F171" s="1672"/>
      <c r="G171" s="1672"/>
      <c r="H171" s="1645">
        <v>1000</v>
      </c>
      <c r="I171" s="1581"/>
      <c r="J171" s="1672"/>
      <c r="K171" s="1671">
        <f>SUM(C171:J171)</f>
        <v>1000</v>
      </c>
      <c r="L171" s="1645"/>
    </row>
    <row r="172" spans="1:14" ht="12.75" customHeight="1" thickBot="1" x14ac:dyDescent="0.25">
      <c r="A172" s="1379" t="s">
        <v>633</v>
      </c>
      <c r="B172" s="1380" t="s">
        <v>489</v>
      </c>
      <c r="C172" s="1672"/>
      <c r="D172" s="1672"/>
      <c r="E172" s="1680">
        <f>SUM(E168,E169,E170,E171)</f>
        <v>0</v>
      </c>
      <c r="F172" s="1672"/>
      <c r="G172" s="1672"/>
      <c r="H172" s="1680">
        <f>SUM(H168,H169,H170,H171)</f>
        <v>170736</v>
      </c>
      <c r="I172" s="1683"/>
      <c r="J172" s="1672"/>
      <c r="K172" s="1680">
        <f>SUM(K168,K169,K170,K171)</f>
        <v>170736</v>
      </c>
      <c r="L172" s="1680">
        <f>SUM(L168,L169,L170,L171)</f>
        <v>163000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170736</v>
      </c>
      <c r="I174" s="1683"/>
      <c r="J174" s="1672"/>
      <c r="K174" s="1680">
        <f>SUM(K160,K172,K173)</f>
        <v>170736</v>
      </c>
      <c r="L174" s="1680">
        <f>SUM(L160,L172,L173)</f>
        <v>163000</v>
      </c>
    </row>
    <row r="175" spans="1:14" ht="13.5" thickTop="1" x14ac:dyDescent="0.2">
      <c r="A175" s="2284" t="s">
        <v>989</v>
      </c>
      <c r="B175" s="2285"/>
      <c r="C175" s="1672"/>
      <c r="D175" s="1672"/>
      <c r="E175" s="1672"/>
      <c r="F175" s="1672"/>
      <c r="G175" s="1672"/>
      <c r="H175" s="1674"/>
      <c r="I175" s="1672"/>
      <c r="J175" s="1672"/>
      <c r="K175" s="1688">
        <f>'Revenues 9-14'!E268-'Expenditures 15-22'!K174</f>
        <v>46653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1966</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74994</v>
      </c>
      <c r="D182" s="1572">
        <v>6518</v>
      </c>
      <c r="E182" s="1572">
        <v>44675</v>
      </c>
      <c r="F182" s="1572">
        <v>15481</v>
      </c>
      <c r="G182" s="1572"/>
      <c r="H182" s="1572"/>
      <c r="I182" s="1573"/>
      <c r="J182" s="1573"/>
      <c r="K182" s="1671">
        <f>SUM(C182:J182)</f>
        <v>141668</v>
      </c>
      <c r="L182" s="1572">
        <v>162481</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74994</v>
      </c>
      <c r="D184" s="1680">
        <f t="shared" ref="D184:J184" si="17">SUM(D180,D182,D183)</f>
        <v>6518</v>
      </c>
      <c r="E184" s="1680">
        <f t="shared" si="17"/>
        <v>44675</v>
      </c>
      <c r="F184" s="1680">
        <f t="shared" si="17"/>
        <v>15481</v>
      </c>
      <c r="G184" s="1680">
        <f t="shared" si="17"/>
        <v>0</v>
      </c>
      <c r="H184" s="1680">
        <f t="shared" si="17"/>
        <v>0</v>
      </c>
      <c r="I184" s="1680">
        <f t="shared" si="17"/>
        <v>0</v>
      </c>
      <c r="J184" s="1680">
        <f t="shared" si="17"/>
        <v>0</v>
      </c>
      <c r="K184" s="1680">
        <f>SUM(K180,K182,K183)</f>
        <v>141668</v>
      </c>
      <c r="L184" s="1680">
        <f>SUM(L180, L182:L183)</f>
        <v>162481</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1162</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74994</v>
      </c>
      <c r="D210" s="1673">
        <f>SUM(D184,D185)</f>
        <v>6518</v>
      </c>
      <c r="E210" s="1673">
        <f>SUM(E184,E185,E196)</f>
        <v>44675</v>
      </c>
      <c r="F210" s="1673">
        <f>SUM(F184,F185)</f>
        <v>15481</v>
      </c>
      <c r="G210" s="1673">
        <f>SUM(G184,G185)</f>
        <v>0</v>
      </c>
      <c r="H210" s="1673">
        <f>SUM(H184,H185,H196,H208,H209)</f>
        <v>0</v>
      </c>
      <c r="I210" s="1673">
        <f>SUM(I184,I185)</f>
        <v>0</v>
      </c>
      <c r="J210" s="1673">
        <f>SUM(J184,J185)</f>
        <v>0</v>
      </c>
      <c r="K210" s="1671">
        <f>SUM(K184,K185,K196,K208,K209)</f>
        <v>141668</v>
      </c>
      <c r="L210" s="1673">
        <f>SUM(L184,L185,L196,L208,L209)</f>
        <v>162481</v>
      </c>
    </row>
    <row r="211" spans="1:14" ht="13.5" thickTop="1" x14ac:dyDescent="0.2">
      <c r="A211" s="2284" t="s">
        <v>989</v>
      </c>
      <c r="B211" s="2285"/>
      <c r="C211" s="1674"/>
      <c r="D211" s="1674"/>
      <c r="E211" s="1674"/>
      <c r="F211" s="1674"/>
      <c r="G211" s="1674"/>
      <c r="H211" s="1674"/>
      <c r="I211" s="1672"/>
      <c r="J211" s="1672"/>
      <c r="K211" s="1688">
        <f>'Revenues 9-14'!F268-'Expenditures 15-22'!K210</f>
        <v>54937</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79" t="s">
        <v>959</v>
      </c>
      <c r="B213" s="2280"/>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10143</v>
      </c>
      <c r="E215" s="1672"/>
      <c r="F215" s="1672"/>
      <c r="G215" s="1672"/>
      <c r="H215" s="1672"/>
      <c r="I215" s="1672"/>
      <c r="J215" s="1672"/>
      <c r="K215" s="1671">
        <f>D215</f>
        <v>10143</v>
      </c>
      <c r="L215" s="1572">
        <v>19250</v>
      </c>
    </row>
    <row r="216" spans="1:14" x14ac:dyDescent="0.2">
      <c r="A216" s="1273" t="s">
        <v>162</v>
      </c>
      <c r="B216" s="503" t="s">
        <v>961</v>
      </c>
      <c r="C216" s="1672"/>
      <c r="D216" s="1573">
        <v>2938</v>
      </c>
      <c r="E216" s="1672"/>
      <c r="F216" s="1672"/>
      <c r="G216" s="1672"/>
      <c r="H216" s="1672"/>
      <c r="I216" s="1672"/>
      <c r="J216" s="1672"/>
      <c r="K216" s="1671">
        <f t="shared" ref="K216:K228" si="19">D216</f>
        <v>2938</v>
      </c>
      <c r="L216" s="1572"/>
    </row>
    <row r="217" spans="1:14" x14ac:dyDescent="0.2">
      <c r="A217" s="1273" t="s">
        <v>163</v>
      </c>
      <c r="B217" s="503">
        <v>1200</v>
      </c>
      <c r="C217" s="1672"/>
      <c r="D217" s="1572">
        <v>11271</v>
      </c>
      <c r="E217" s="1672"/>
      <c r="F217" s="1672"/>
      <c r="G217" s="1672"/>
      <c r="H217" s="1672"/>
      <c r="I217" s="1672"/>
      <c r="J217" s="1672"/>
      <c r="K217" s="1671">
        <f t="shared" si="19"/>
        <v>11271</v>
      </c>
      <c r="L217" s="1572">
        <v>10500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754</v>
      </c>
      <c r="E219" s="1672"/>
      <c r="F219" s="1672"/>
      <c r="G219" s="1672"/>
      <c r="H219" s="1672"/>
      <c r="I219" s="1672"/>
      <c r="J219" s="1672"/>
      <c r="K219" s="1671">
        <f t="shared" si="19"/>
        <v>754</v>
      </c>
      <c r="L219" s="1572"/>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1240</v>
      </c>
      <c r="E222" s="1672"/>
      <c r="F222" s="1672"/>
      <c r="G222" s="1672"/>
      <c r="H222" s="1672"/>
      <c r="I222" s="1672"/>
      <c r="J222" s="1672"/>
      <c r="K222" s="1671">
        <f t="shared" si="19"/>
        <v>1240</v>
      </c>
      <c r="L222" s="1572">
        <v>750</v>
      </c>
    </row>
    <row r="223" spans="1:14" x14ac:dyDescent="0.2">
      <c r="A223" s="1273" t="s">
        <v>957</v>
      </c>
      <c r="B223" s="503">
        <v>1500</v>
      </c>
      <c r="C223" s="1672"/>
      <c r="D223" s="1572">
        <v>770</v>
      </c>
      <c r="E223" s="1672"/>
      <c r="F223" s="1672"/>
      <c r="G223" s="1672"/>
      <c r="H223" s="1672"/>
      <c r="I223" s="1672"/>
      <c r="J223" s="1672"/>
      <c r="K223" s="1671">
        <f t="shared" si="19"/>
        <v>770</v>
      </c>
      <c r="L223" s="1572">
        <v>800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6</v>
      </c>
      <c r="E226" s="1672"/>
      <c r="F226" s="1672"/>
      <c r="G226" s="1672"/>
      <c r="H226" s="1672"/>
      <c r="I226" s="1672"/>
      <c r="J226" s="1672"/>
      <c r="K226" s="1671">
        <f t="shared" si="19"/>
        <v>6</v>
      </c>
      <c r="L226" s="1572"/>
    </row>
    <row r="227" spans="1:12" x14ac:dyDescent="0.2">
      <c r="A227" s="1273" t="s">
        <v>1080</v>
      </c>
      <c r="B227" s="503">
        <v>1800</v>
      </c>
      <c r="C227" s="1672"/>
      <c r="D227" s="1572"/>
      <c r="E227" s="1672"/>
      <c r="F227" s="1672"/>
      <c r="G227" s="1672"/>
      <c r="H227" s="1672"/>
      <c r="I227" s="1672"/>
      <c r="J227" s="1672"/>
      <c r="K227" s="1671">
        <f t="shared" si="19"/>
        <v>0</v>
      </c>
      <c r="L227" s="1572"/>
    </row>
    <row r="228" spans="1:12" x14ac:dyDescent="0.2">
      <c r="A228" s="1273" t="s">
        <v>1081</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27122</v>
      </c>
      <c r="E229" s="1672"/>
      <c r="F229" s="1672"/>
      <c r="G229" s="1672"/>
      <c r="H229" s="1672"/>
      <c r="I229" s="1672"/>
      <c r="J229" s="1672"/>
      <c r="K229" s="1673">
        <f>SUM(K215:K228)</f>
        <v>27122</v>
      </c>
      <c r="L229" s="1673">
        <f>SUM(L215:L228)</f>
        <v>31300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c r="E232" s="1672"/>
      <c r="F232" s="1672"/>
      <c r="G232" s="1672"/>
      <c r="H232" s="1672"/>
      <c r="I232" s="1672"/>
      <c r="J232" s="1672"/>
      <c r="K232" s="1671">
        <f t="shared" ref="K232:K237" si="20">D232</f>
        <v>0</v>
      </c>
      <c r="L232" s="1572"/>
    </row>
    <row r="233" spans="1:12" x14ac:dyDescent="0.2">
      <c r="A233" s="1273" t="s">
        <v>1083</v>
      </c>
      <c r="B233" s="503">
        <v>2120</v>
      </c>
      <c r="C233" s="1672"/>
      <c r="D233" s="1572">
        <v>548</v>
      </c>
      <c r="E233" s="1672"/>
      <c r="F233" s="1672"/>
      <c r="G233" s="1672"/>
      <c r="H233" s="1672"/>
      <c r="I233" s="1672"/>
      <c r="J233" s="1672"/>
      <c r="K233" s="1671">
        <f t="shared" si="20"/>
        <v>548</v>
      </c>
      <c r="L233" s="1572"/>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v>434</v>
      </c>
      <c r="E236" s="1672"/>
      <c r="F236" s="1672"/>
      <c r="G236" s="1672"/>
      <c r="H236" s="1672"/>
      <c r="I236" s="1672"/>
      <c r="J236" s="1672"/>
      <c r="K236" s="1671">
        <f t="shared" si="20"/>
        <v>434</v>
      </c>
      <c r="L236" s="1572">
        <v>500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982</v>
      </c>
      <c r="E238" s="1672"/>
      <c r="F238" s="1672"/>
      <c r="G238" s="1672"/>
      <c r="H238" s="1672"/>
      <c r="I238" s="1672"/>
      <c r="J238" s="1672"/>
      <c r="K238" s="1673">
        <f>SUM(K232:K237)</f>
        <v>982</v>
      </c>
      <c r="L238" s="1673">
        <f>SUM(L232:L237)</f>
        <v>500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v>3465</v>
      </c>
      <c r="E241" s="1672"/>
      <c r="F241" s="1672"/>
      <c r="G241" s="1672"/>
      <c r="H241" s="1672"/>
      <c r="I241" s="1672"/>
      <c r="J241" s="1672"/>
      <c r="K241" s="1677">
        <f>D241</f>
        <v>3465</v>
      </c>
      <c r="L241" s="1572">
        <v>3491</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3465</v>
      </c>
      <c r="E243" s="1672"/>
      <c r="F243" s="1672"/>
      <c r="G243" s="1672"/>
      <c r="H243" s="1672"/>
      <c r="I243" s="1672"/>
      <c r="J243" s="1672"/>
      <c r="K243" s="1673">
        <f>SUM(K240:K242)</f>
        <v>3465</v>
      </c>
      <c r="L243" s="1673">
        <f>SUM(L240:L242)</f>
        <v>3491</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1482</v>
      </c>
      <c r="E246" s="1672"/>
      <c r="F246" s="1672"/>
      <c r="G246" s="1672"/>
      <c r="H246" s="1672"/>
      <c r="I246" s="1672"/>
      <c r="J246" s="1672"/>
      <c r="K246" s="1677">
        <f t="shared" ref="K246:K256" si="21">D246</f>
        <v>1482</v>
      </c>
      <c r="L246" s="1572">
        <v>1200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1785</v>
      </c>
      <c r="B249" s="557" t="s">
        <v>280</v>
      </c>
      <c r="C249" s="1672"/>
      <c r="D249" s="1578"/>
      <c r="E249" s="1672"/>
      <c r="F249" s="1672"/>
      <c r="G249" s="1672"/>
      <c r="H249" s="1672"/>
      <c r="I249" s="1672"/>
      <c r="J249" s="1672"/>
      <c r="K249" s="1677">
        <f t="shared" si="21"/>
        <v>0</v>
      </c>
      <c r="L249" s="1572"/>
    </row>
    <row r="250" spans="1:12" x14ac:dyDescent="0.2">
      <c r="A250" s="1274" t="s">
        <v>1786</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v>12983</v>
      </c>
      <c r="E254" s="1672"/>
      <c r="F254" s="1672"/>
      <c r="G254" s="1672"/>
      <c r="H254" s="1672"/>
      <c r="I254" s="1672"/>
      <c r="J254" s="1672"/>
      <c r="K254" s="1677">
        <f t="shared" si="21"/>
        <v>12983</v>
      </c>
      <c r="L254" s="1572">
        <v>5200</v>
      </c>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14465</v>
      </c>
      <c r="E257" s="1672"/>
      <c r="F257" s="1672"/>
      <c r="G257" s="1672"/>
      <c r="H257" s="1672"/>
      <c r="I257" s="1672"/>
      <c r="J257" s="1672"/>
      <c r="K257" s="1673">
        <f>SUM(K245:K256)</f>
        <v>14465</v>
      </c>
      <c r="L257" s="1673">
        <f>SUM(L245:L256)</f>
        <v>6400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9000</v>
      </c>
      <c r="E259" s="1672"/>
      <c r="F259" s="1672"/>
      <c r="G259" s="1672"/>
      <c r="H259" s="1672"/>
      <c r="I259" s="1672"/>
      <c r="J259" s="1672"/>
      <c r="K259" s="1677">
        <f>D259</f>
        <v>9000</v>
      </c>
      <c r="L259" s="1585">
        <v>7500</v>
      </c>
    </row>
    <row r="260" spans="1:14" s="493" customFormat="1" x14ac:dyDescent="0.2">
      <c r="A260" s="1291" t="s">
        <v>1784</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9000</v>
      </c>
      <c r="E261" s="1672"/>
      <c r="F261" s="1672"/>
      <c r="G261" s="1672"/>
      <c r="H261" s="1672"/>
      <c r="I261" s="1672"/>
      <c r="J261" s="1672"/>
      <c r="K261" s="1673">
        <f>SUM(K259:K260)</f>
        <v>9000</v>
      </c>
      <c r="L261" s="1673">
        <f>SUM(L259:L260)</f>
        <v>7500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7525</v>
      </c>
      <c r="E264" s="1672"/>
      <c r="F264" s="1672"/>
      <c r="G264" s="1672"/>
      <c r="H264" s="1672"/>
      <c r="I264" s="1672"/>
      <c r="J264" s="1672"/>
      <c r="K264" s="1677">
        <f t="shared" ref="K264:K269" si="22">D264</f>
        <v>7525</v>
      </c>
      <c r="L264" s="1572">
        <v>5727</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16896</v>
      </c>
      <c r="E266" s="1672"/>
      <c r="F266" s="1672"/>
      <c r="G266" s="1672"/>
      <c r="H266" s="1672"/>
      <c r="I266" s="1672"/>
      <c r="J266" s="1672"/>
      <c r="K266" s="1677">
        <f t="shared" si="22"/>
        <v>16896</v>
      </c>
      <c r="L266" s="1572">
        <v>17500</v>
      </c>
    </row>
    <row r="267" spans="1:14" x14ac:dyDescent="0.2">
      <c r="A267" s="1273" t="s">
        <v>947</v>
      </c>
      <c r="B267" s="503">
        <v>2550</v>
      </c>
      <c r="C267" s="1672"/>
      <c r="D267" s="1572">
        <v>10176</v>
      </c>
      <c r="E267" s="1672"/>
      <c r="F267" s="1672"/>
      <c r="G267" s="1672"/>
      <c r="H267" s="1672"/>
      <c r="I267" s="1672"/>
      <c r="J267" s="1672"/>
      <c r="K267" s="1677">
        <f t="shared" si="22"/>
        <v>10176</v>
      </c>
      <c r="L267" s="1572">
        <v>10000</v>
      </c>
    </row>
    <row r="268" spans="1:14" x14ac:dyDescent="0.2">
      <c r="A268" s="1273" t="s">
        <v>100</v>
      </c>
      <c r="B268" s="503">
        <v>2560</v>
      </c>
      <c r="C268" s="1672"/>
      <c r="D268" s="1572">
        <v>10272</v>
      </c>
      <c r="E268" s="1672"/>
      <c r="F268" s="1672"/>
      <c r="G268" s="1672"/>
      <c r="H268" s="1672"/>
      <c r="I268" s="1672"/>
      <c r="J268" s="1672"/>
      <c r="K268" s="1677">
        <f t="shared" si="22"/>
        <v>10272</v>
      </c>
      <c r="L268" s="1572">
        <v>10207</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44869</v>
      </c>
      <c r="E270" s="1672"/>
      <c r="F270" s="1672"/>
      <c r="G270" s="1672"/>
      <c r="H270" s="1672"/>
      <c r="I270" s="1672"/>
      <c r="J270" s="1672"/>
      <c r="K270" s="1673">
        <f>SUM(K263:K269)</f>
        <v>44869</v>
      </c>
      <c r="L270" s="1673">
        <f>SUM(L263:L269)</f>
        <v>43434</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v>109</v>
      </c>
      <c r="E273" s="1672"/>
      <c r="F273" s="1672"/>
      <c r="G273" s="1672"/>
      <c r="H273" s="1672"/>
      <c r="I273" s="1672"/>
      <c r="J273" s="1672"/>
      <c r="K273" s="1677">
        <f>D273</f>
        <v>109</v>
      </c>
      <c r="L273" s="1572"/>
    </row>
    <row r="274" spans="1:12" ht="12" customHeight="1" x14ac:dyDescent="0.2">
      <c r="A274" s="1273" t="s">
        <v>1054</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109</v>
      </c>
      <c r="E277" s="1672"/>
      <c r="F277" s="1672"/>
      <c r="G277" s="1672"/>
      <c r="H277" s="1672"/>
      <c r="I277" s="1672"/>
      <c r="J277" s="1672"/>
      <c r="K277" s="1673">
        <f>SUM(K272:K276)</f>
        <v>109</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72890</v>
      </c>
      <c r="E279" s="1672"/>
      <c r="F279" s="1672"/>
      <c r="G279" s="1672"/>
      <c r="H279" s="1672"/>
      <c r="I279" s="1672"/>
      <c r="J279" s="1672"/>
      <c r="K279" s="1680">
        <f>SUM(K238,K243,K257,K261,K270,K277,K278)</f>
        <v>72890</v>
      </c>
      <c r="L279" s="1680">
        <f>SUM(L238,L243,L257,L261,L270,L277,L278)</f>
        <v>61325</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1819</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1162</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5" t="s">
        <v>502</v>
      </c>
      <c r="B295" s="2276"/>
      <c r="C295" s="1672"/>
      <c r="D295" s="1673">
        <f>SUM(D229,D279,D280,D285)</f>
        <v>100012</v>
      </c>
      <c r="E295" s="1672"/>
      <c r="F295" s="1672"/>
      <c r="G295" s="1672"/>
      <c r="H295" s="1673">
        <f>H293</f>
        <v>0</v>
      </c>
      <c r="I295" s="1672"/>
      <c r="J295" s="1672"/>
      <c r="K295" s="1673">
        <f>SUM(K229,K279,K280,K285,K293,K294)</f>
        <v>100012</v>
      </c>
      <c r="L295" s="1673">
        <f>SUM(L229,L279,L280,L285,L293,L294)</f>
        <v>92625</v>
      </c>
    </row>
    <row r="296" spans="1:14" ht="13.5" thickTop="1" x14ac:dyDescent="0.2">
      <c r="A296" s="2284" t="s">
        <v>989</v>
      </c>
      <c r="B296" s="2285"/>
      <c r="C296" s="1672"/>
      <c r="D296" s="1674"/>
      <c r="E296" s="1672"/>
      <c r="F296" s="1672"/>
      <c r="G296" s="1672"/>
      <c r="H296" s="1706"/>
      <c r="I296" s="1672"/>
      <c r="J296" s="1672"/>
      <c r="K296" s="1688">
        <f>'Revenues 9-14'!G268-'Expenditures 15-22'!K295</f>
        <v>55943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7" t="s">
        <v>142</v>
      </c>
      <c r="B298" s="2261"/>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13958</v>
      </c>
      <c r="F301" s="1572"/>
      <c r="G301" s="1572">
        <v>192340</v>
      </c>
      <c r="H301" s="1572"/>
      <c r="I301" s="1573"/>
      <c r="J301" s="1573"/>
      <c r="K301" s="1671">
        <f>SUM(C301:J301)</f>
        <v>206298</v>
      </c>
      <c r="L301" s="1573">
        <v>170000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13958</v>
      </c>
      <c r="F303" s="1680">
        <f t="shared" si="23"/>
        <v>0</v>
      </c>
      <c r="G303" s="1680">
        <f t="shared" si="23"/>
        <v>192340</v>
      </c>
      <c r="H303" s="1680">
        <f t="shared" si="23"/>
        <v>0</v>
      </c>
      <c r="I303" s="1680">
        <f t="shared" si="23"/>
        <v>0</v>
      </c>
      <c r="J303" s="1680">
        <f t="shared" si="23"/>
        <v>0</v>
      </c>
      <c r="K303" s="1680">
        <f t="shared" si="23"/>
        <v>206298</v>
      </c>
      <c r="L303" s="1680">
        <f t="shared" si="23"/>
        <v>170000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1824</v>
      </c>
      <c r="B306" s="562" t="s">
        <v>1819</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2" t="s">
        <v>275</v>
      </c>
      <c r="B312" s="2273"/>
      <c r="C312" s="1673">
        <f>SUM(C303)</f>
        <v>0</v>
      </c>
      <c r="D312" s="1673">
        <f>SUM(D303)</f>
        <v>0</v>
      </c>
      <c r="E312" s="1673">
        <f>SUM(E303,E310)</f>
        <v>13958</v>
      </c>
      <c r="F312" s="1673">
        <f>SUM(F303)</f>
        <v>0</v>
      </c>
      <c r="G312" s="1673">
        <f>SUM(G303)</f>
        <v>192340</v>
      </c>
      <c r="H312" s="1673">
        <f>SUM(H303,H310)</f>
        <v>0</v>
      </c>
      <c r="I312" s="1673">
        <f>SUM(I303)</f>
        <v>0</v>
      </c>
      <c r="J312" s="1673">
        <f>SUM(J303)</f>
        <v>0</v>
      </c>
      <c r="K312" s="1673">
        <f>SUM(K303,K310,K311)</f>
        <v>206298</v>
      </c>
      <c r="L312" s="1673">
        <f>SUM(L303,L310,L311)</f>
        <v>170000</v>
      </c>
      <c r="M312" s="539"/>
      <c r="N312" s="539"/>
    </row>
    <row r="313" spans="1:14" ht="13.5" thickTop="1" x14ac:dyDescent="0.2">
      <c r="A313" s="2268" t="s">
        <v>989</v>
      </c>
      <c r="B313" s="2269"/>
      <c r="C313" s="1676"/>
      <c r="D313" s="1676"/>
      <c r="E313" s="1676"/>
      <c r="F313" s="1676"/>
      <c r="G313" s="1676"/>
      <c r="H313" s="1676"/>
      <c r="I313" s="1676"/>
      <c r="J313" s="1676"/>
      <c r="K313" s="1695">
        <f>'Revenues 9-14'!H268-'Expenditures 15-22'!K312</f>
        <v>-74554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1" t="s">
        <v>148</v>
      </c>
      <c r="B315" s="2282"/>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3" t="s">
        <v>892</v>
      </c>
      <c r="B317" s="2282"/>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1785</v>
      </c>
      <c r="B320" s="568" t="s">
        <v>280</v>
      </c>
      <c r="C320" s="1573"/>
      <c r="D320" s="1573"/>
      <c r="E320" s="1573">
        <v>16173</v>
      </c>
      <c r="F320" s="1573"/>
      <c r="G320" s="1573"/>
      <c r="H320" s="1573"/>
      <c r="I320" s="1573"/>
      <c r="J320" s="1573"/>
      <c r="K320" s="1671">
        <f t="shared" ref="K320:K327" si="24">SUM(C320:J320)</f>
        <v>16173</v>
      </c>
      <c r="L320" s="1573">
        <v>16173</v>
      </c>
      <c r="M320" s="539"/>
      <c r="N320" s="539"/>
    </row>
    <row r="321" spans="1:14" s="548" customFormat="1" x14ac:dyDescent="0.2">
      <c r="A321" s="1288" t="s">
        <v>297</v>
      </c>
      <c r="B321" s="567" t="s">
        <v>281</v>
      </c>
      <c r="C321" s="1573"/>
      <c r="D321" s="1573"/>
      <c r="E321" s="1573">
        <v>4319</v>
      </c>
      <c r="F321" s="1573"/>
      <c r="G321" s="1573"/>
      <c r="H321" s="1573"/>
      <c r="I321" s="1573"/>
      <c r="J321" s="1573"/>
      <c r="K321" s="1671">
        <f t="shared" si="24"/>
        <v>4319</v>
      </c>
      <c r="L321" s="1573">
        <v>5000</v>
      </c>
      <c r="M321" s="539"/>
      <c r="N321" s="539"/>
    </row>
    <row r="322" spans="1:14" s="548" customFormat="1" x14ac:dyDescent="0.2">
      <c r="A322" s="1288" t="s">
        <v>236</v>
      </c>
      <c r="B322" s="567" t="s">
        <v>282</v>
      </c>
      <c r="C322" s="1573"/>
      <c r="D322" s="1573"/>
      <c r="E322" s="1573">
        <v>27718</v>
      </c>
      <c r="F322" s="1573"/>
      <c r="G322" s="1573"/>
      <c r="H322" s="1573"/>
      <c r="I322" s="1573"/>
      <c r="J322" s="1573"/>
      <c r="K322" s="1671">
        <f t="shared" si="24"/>
        <v>27718</v>
      </c>
      <c r="L322" s="1573"/>
      <c r="M322" s="539"/>
      <c r="N322" s="539"/>
    </row>
    <row r="323" spans="1:14" s="548" customFormat="1" x14ac:dyDescent="0.2">
      <c r="A323" s="1288" t="s">
        <v>697</v>
      </c>
      <c r="B323" s="567" t="s">
        <v>283</v>
      </c>
      <c r="C323" s="1573"/>
      <c r="D323" s="1573"/>
      <c r="E323" s="1573"/>
      <c r="F323" s="1573">
        <v>34960</v>
      </c>
      <c r="G323" s="1573">
        <v>235438</v>
      </c>
      <c r="H323" s="1573"/>
      <c r="I323" s="1573"/>
      <c r="J323" s="1573"/>
      <c r="K323" s="1671">
        <f t="shared" si="24"/>
        <v>270398</v>
      </c>
      <c r="L323" s="1573">
        <v>155580</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111886</v>
      </c>
      <c r="D325" s="1573">
        <v>23045</v>
      </c>
      <c r="E325" s="1573"/>
      <c r="F325" s="1573"/>
      <c r="G325" s="1573"/>
      <c r="H325" s="1573"/>
      <c r="I325" s="1573"/>
      <c r="J325" s="1573"/>
      <c r="K325" s="1671">
        <f t="shared" si="24"/>
        <v>134931</v>
      </c>
      <c r="L325" s="1573">
        <v>89385</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2935</v>
      </c>
      <c r="F327" s="1573"/>
      <c r="G327" s="1573"/>
      <c r="H327" s="1573"/>
      <c r="I327" s="1573"/>
      <c r="J327" s="1573"/>
      <c r="K327" s="1671">
        <f t="shared" si="24"/>
        <v>2935</v>
      </c>
      <c r="L327" s="1573">
        <v>4500</v>
      </c>
      <c r="M327" s="539"/>
      <c r="N327" s="539"/>
    </row>
    <row r="328" spans="1:14" s="548" customFormat="1" x14ac:dyDescent="0.2">
      <c r="A328" s="1289" t="s">
        <v>469</v>
      </c>
      <c r="B328" s="562" t="s">
        <v>1124</v>
      </c>
      <c r="C328" s="1578"/>
      <c r="D328" s="1578"/>
      <c r="E328" s="1578"/>
      <c r="F328" s="1578"/>
      <c r="G328" s="1578"/>
      <c r="H328" s="1578"/>
      <c r="I328" s="1578"/>
      <c r="J328" s="1578"/>
      <c r="K328" s="1712">
        <f>SUM(C328:J328)</f>
        <v>0</v>
      </c>
      <c r="L328" s="1578"/>
      <c r="M328" s="539"/>
      <c r="N328" s="539"/>
    </row>
    <row r="329" spans="1:14" s="548" customFormat="1" x14ac:dyDescent="0.2">
      <c r="A329" s="1289"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111886</v>
      </c>
      <c r="D330" s="1673">
        <f t="shared" ref="D330:J330" si="25">SUM(D319:D329)</f>
        <v>23045</v>
      </c>
      <c r="E330" s="1673">
        <f t="shared" si="25"/>
        <v>51145</v>
      </c>
      <c r="F330" s="1673">
        <f t="shared" si="25"/>
        <v>34960</v>
      </c>
      <c r="G330" s="1673">
        <f t="shared" si="25"/>
        <v>235438</v>
      </c>
      <c r="H330" s="1673">
        <f t="shared" si="25"/>
        <v>0</v>
      </c>
      <c r="I330" s="1673">
        <f t="shared" si="25"/>
        <v>0</v>
      </c>
      <c r="J330" s="1673">
        <f t="shared" si="25"/>
        <v>0</v>
      </c>
      <c r="K330" s="1673">
        <f>SUM(K319:K329)</f>
        <v>456474</v>
      </c>
      <c r="L330" s="1673">
        <f>SUM(L319:L329)</f>
        <v>270638</v>
      </c>
      <c r="M330" s="539"/>
      <c r="N330" s="539"/>
    </row>
    <row r="331" spans="1:14" s="548" customFormat="1" ht="12.75" customHeight="1" thickTop="1" x14ac:dyDescent="0.2">
      <c r="A331" s="1466"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1819</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1821</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1826</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1162</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111886</v>
      </c>
      <c r="D342" s="1673">
        <f>SUM(D330)</f>
        <v>23045</v>
      </c>
      <c r="E342" s="1673">
        <f>SUM(E330)</f>
        <v>51145</v>
      </c>
      <c r="F342" s="1673">
        <f>SUM(F330)</f>
        <v>34960</v>
      </c>
      <c r="G342" s="1673">
        <f>SUM(G330)</f>
        <v>235438</v>
      </c>
      <c r="H342" s="1673">
        <f>SUM(H330,H334,H340)</f>
        <v>0</v>
      </c>
      <c r="I342" s="1673">
        <f>SUM(I330)</f>
        <v>0</v>
      </c>
      <c r="J342" s="1673">
        <f>SUM(J330)</f>
        <v>0</v>
      </c>
      <c r="K342" s="1673">
        <f>SUM(K330,K334,K340)</f>
        <v>456474</v>
      </c>
      <c r="L342" s="1680">
        <f>SUM(L330,L334,L340,L341)</f>
        <v>270638</v>
      </c>
    </row>
    <row r="343" spans="1:14" ht="12.75" customHeight="1" thickTop="1" x14ac:dyDescent="0.2">
      <c r="A343" s="2270" t="s">
        <v>989</v>
      </c>
      <c r="B343" s="2271"/>
      <c r="C343" s="1672"/>
      <c r="D343" s="1672"/>
      <c r="E343" s="1672"/>
      <c r="F343" s="1672"/>
      <c r="G343" s="1672"/>
      <c r="H343" s="1672"/>
      <c r="I343" s="1672"/>
      <c r="J343" s="1672"/>
      <c r="K343" s="1688">
        <f>'Revenues 9-14'!J268-'Expenditures 15-22'!K342</f>
        <v>-67822</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0" t="s">
        <v>960</v>
      </c>
      <c r="B345" s="2261"/>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10792</v>
      </c>
      <c r="F348" s="1572"/>
      <c r="G348" s="1572"/>
      <c r="H348" s="1572"/>
      <c r="I348" s="1573"/>
      <c r="J348" s="1573"/>
      <c r="K348" s="1671">
        <f>SUM(C348:J348)</f>
        <v>10792</v>
      </c>
      <c r="L348" s="1572">
        <v>4000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10792</v>
      </c>
      <c r="F350" s="1673">
        <f t="shared" si="26"/>
        <v>0</v>
      </c>
      <c r="G350" s="1673">
        <f t="shared" si="26"/>
        <v>0</v>
      </c>
      <c r="H350" s="1673">
        <f t="shared" si="26"/>
        <v>0</v>
      </c>
      <c r="I350" s="1673">
        <f t="shared" si="26"/>
        <v>0</v>
      </c>
      <c r="J350" s="1673">
        <f t="shared" si="26"/>
        <v>0</v>
      </c>
      <c r="K350" s="1673">
        <f t="shared" si="26"/>
        <v>10792</v>
      </c>
      <c r="L350" s="1673">
        <f t="shared" si="26"/>
        <v>4000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10792</v>
      </c>
      <c r="F352" s="1673">
        <f t="shared" si="27"/>
        <v>0</v>
      </c>
      <c r="G352" s="1673">
        <f t="shared" si="27"/>
        <v>0</v>
      </c>
      <c r="H352" s="1673">
        <f t="shared" si="27"/>
        <v>0</v>
      </c>
      <c r="I352" s="1673">
        <f t="shared" si="27"/>
        <v>0</v>
      </c>
      <c r="J352" s="1673">
        <f t="shared" si="27"/>
        <v>0</v>
      </c>
      <c r="K352" s="1673">
        <f t="shared" si="27"/>
        <v>10792</v>
      </c>
      <c r="L352" s="1673">
        <f t="shared" si="27"/>
        <v>4000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1827</v>
      </c>
      <c r="B354" s="557" t="s">
        <v>1819</v>
      </c>
      <c r="C354" s="1672"/>
      <c r="D354" s="1672"/>
      <c r="E354" s="1672"/>
      <c r="F354" s="1672"/>
      <c r="G354" s="1672"/>
      <c r="H354" s="1578"/>
      <c r="I354" s="1715"/>
      <c r="J354" s="1672"/>
      <c r="K354" s="1712">
        <f>H354</f>
        <v>0</v>
      </c>
      <c r="L354" s="1576"/>
    </row>
    <row r="355" spans="1:14" ht="12.75" customHeight="1" x14ac:dyDescent="0.2">
      <c r="A355" s="1282" t="s">
        <v>1828</v>
      </c>
      <c r="B355" s="562" t="s">
        <v>1821</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10792</v>
      </c>
      <c r="F367" s="1673">
        <f t="shared" si="28"/>
        <v>0</v>
      </c>
      <c r="G367" s="1673">
        <f t="shared" si="28"/>
        <v>0</v>
      </c>
      <c r="H367" s="1673">
        <f t="shared" si="28"/>
        <v>0</v>
      </c>
      <c r="I367" s="1673">
        <f t="shared" si="28"/>
        <v>0</v>
      </c>
      <c r="J367" s="1673">
        <f t="shared" si="28"/>
        <v>0</v>
      </c>
      <c r="K367" s="1673">
        <f t="shared" si="28"/>
        <v>10792</v>
      </c>
      <c r="L367" s="1673">
        <f t="shared" si="28"/>
        <v>4000</v>
      </c>
    </row>
    <row r="368" spans="1:14" ht="13.5" thickTop="1" x14ac:dyDescent="0.2">
      <c r="A368" s="2284" t="s">
        <v>989</v>
      </c>
      <c r="B368" s="2285"/>
      <c r="C368" s="1693"/>
      <c r="D368" s="1693"/>
      <c r="E368" s="1676"/>
      <c r="F368" s="1676"/>
      <c r="G368" s="1676"/>
      <c r="H368" s="1676"/>
      <c r="I368" s="1676"/>
      <c r="J368" s="1675"/>
      <c r="K368" s="1671">
        <f>'Revenues 9-14'!K268-'Expenditures 15-22'!K367</f>
        <v>5976</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www.w3.org/XML/1998/namespace"/>
    <ds:schemaRef ds:uri="http://schemas.microsoft.com/office/2006/documentManagement/types"/>
    <ds:schemaRef ds:uri="http://schemas.microsoft.com/sharepoint/v3"/>
    <ds:schemaRef ds:uri="http://purl.org/dc/term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2020-09-08T18:22:30Z</cp:lastPrinted>
  <dcterms:created xsi:type="dcterms:W3CDTF">2003-10-29T19:06:34Z</dcterms:created>
  <dcterms:modified xsi:type="dcterms:W3CDTF">2020-09-15T13:43:49Z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