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C8071AD-7718-4082-9FE5-F5F8148FE025}" xr6:coauthVersionLast="36" xr6:coauthVersionMax="36" xr10:uidLastSave="{00000000-0000-0000-0000-000000000000}"/>
  <bookViews>
    <workbookView xWindow="-28920" yWindow="-351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8" i="183"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H342" i="29" l="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H12" i="184"/>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B6216" i="106"/>
  <c r="D6216" i="106" s="1"/>
  <c r="F41" i="108"/>
  <c r="G43" i="108" s="1"/>
  <c r="E367" i="29"/>
  <c r="B3635" i="106"/>
  <c r="B7220" i="106"/>
  <c r="D7220" i="106" s="1"/>
  <c r="F75" i="34"/>
  <c r="B7886" i="106" s="1"/>
  <c r="D7886" i="106" s="1"/>
  <c r="B7222" i="106"/>
  <c r="D7222" i="106" s="1"/>
  <c r="F76" i="34"/>
  <c r="B7887" i="106" s="1"/>
  <c r="D7887" i="106" s="1"/>
  <c r="N57" i="184"/>
  <c r="N68" i="184" s="1"/>
  <c r="E68" i="184"/>
  <c r="E19" i="184"/>
  <c r="L114" i="29"/>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7834" i="106" l="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<sst xmlns="http://schemas.openxmlformats.org/spreadsheetml/2006/main" count="5158" uniqueCount="2086">
  <si>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</si>
  <si>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</si>
  <si>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</si>
  <si>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</si>
  <si>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</si>
  <si>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</si>
  <si>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</si>
  <si>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</si>
  <si>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</si>
  <si>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</si>
  <si>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</si>
  <si>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</si>
  <si>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</si>
  <si>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</si>
  <si>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</si>
  <si>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</si>
  <si>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</si>
  <si>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</si>
  <si>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</si>
  <si>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</si>
  <si>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</si>
  <si>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</si>
  <si>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</si>
  <si>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</si>
  <si>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</si>
  <si>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</si>
  <si>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</si>
  <si>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</si>
  <si>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</si>
  <si>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</si>
  <si>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</si>
  <si>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</si>
  <si>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</si>
  <si>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</si>
  <si>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</si>
  <si>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</si>
  <si>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</si>
  <si>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</si>
  <si>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</si>
  <si>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</si>
  <si>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</si>
  <si>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</si>
  <si>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</si>
  <si>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</si>
  <si>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</si>
  <si>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</si>
  <si>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</si>
  <si>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</si>
  <si>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</si>
  <si>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</si>
  <si>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</si>
  <si>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</si>
  <si>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</si>
  <si>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</si>
  <si>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</si>
  <si>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</si>
  <si>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</si>
  <si>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</si>
  <si>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</si>
  <si>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</si>
  <si>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</si>
  <si>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</si>
  <si>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</si>
  <si>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</si>
  <si>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</si>
  <si>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</si>
  <si>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</si>
  <si>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</si>
  <si>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</si>
  <si>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</si>
  <si>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</si>
  <si>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</si>
  <si>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</si>
  <si>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</si>
  <si>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</si>
  <si>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</si>
  <si>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</si>
  <si>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</si>
  <si>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</si>
  <si>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</si>
  <si>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</si>
  <si>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</si>
  <si>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</si>
  <si>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</si>
  <si>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</si>
  <si>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</si>
  <si>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</si>
  <si>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</si>
  <si>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</si>
  <si>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</si>
  <si>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</si>
  <si>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</si>
  <si>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</si>
  <si>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</si>
  <si>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</si>
  <si>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</si>
  <si>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</si>
  <si>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</si>
  <si>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</si>
  <si>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</si>
  <si>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</si>
  <si>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</si>
  <si>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</si>
  <si>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</si>
  <si>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</si>
  <si>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</si>
  <si>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</si>
  <si>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</si>
  <si>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</si>
  <si>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</si>
  <si>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</si>
  <si>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</si>
  <si>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</si>
  <si>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</si>
  <si>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</si>
  <si>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</si>
  <si>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</si>
  <si>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</si>
  <si>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</si>
  <si>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</si>
  <si>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</si>
  <si>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</si>
  <si>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</si>
  <si>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</si>
  <si>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</si>
  <si>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</si>
  <si>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</si>
  <si>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</si>
  <si>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</si>
  <si>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</si>
  <si>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</si>
  <si>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</si>
  <si>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</si>
  <si>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</si>
  <si>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</si>
  <si>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</si>
  <si>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</si>
  <si>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</si>
  <si>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</si>
  <si>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</si>
  <si>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</si>
  <si>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</si>
  <si>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</si>
  <si>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</si>
  <si>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</si>
  <si>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</si>
  <si>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</si>
  <si>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</si>
  <si>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</si>
  <si>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</si>
  <si>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</si>
  <si>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</si>
  <si>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</si>
  <si>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</si>
  <si>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</si>
  <si>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</si>
  <si>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</si>
  <si>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</si>
  <si>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</si>
  <si>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</si>
  <si>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</si>
  <si>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</si>
  <si>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</si>
  <si>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</si>
  <si>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</si>
  <si>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</si>
  <si>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</si>
  <si>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</si>
  <si>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</si>
  <si>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</si>
  <si>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</si>
  <si>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</si>
  <si>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</si>
  <si>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</si>
  <si>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</si>
  <si>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</si>
  <si>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</si>
  <si>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</si>
  <si>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</si>
  <si>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</si>
  <si>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</si>
  <si>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</si>
  <si>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</si>
  <si>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</si>
  <si>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</si>
  <si>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</si>
  <si>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</si>
  <si>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</si>
  <si>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</si>
  <si>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</si>
  <si>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</si>
  <si>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</si>
  <si>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</si>
  <si>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</si>
  <si>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</si>
  <si>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</si>
  <si>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</si>
  <si>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</si>
  <si>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</si>
  <si>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</si>
  <si>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</si>
  <si>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</si>
  <si>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</si>
  <si>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</si>
  <si>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</si>
  <si>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</si>
  <si>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</si>
  <si>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</si>
  <si>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</si>
  <si>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</si>
  <si>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</si>
  <si>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</si>
  <si>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</si>
  <si>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</si>
  <si>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</si>
  <si>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</si>
  <si>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</si>
  <si>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</si>
  <si>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</si>
  <si>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</si>
  <si>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</si>
  <si>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</si>
  <si>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</si>
  <si>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</si>
  <si>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</si>
  <si>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</si>
  <si>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</si>
  <si>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</si>
  <si>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</si>
  <si>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</si>
  <si>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</si>
  <si>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</si>
  <si>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</si>
  <si>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</si>
  <si>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</si>
  <si>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</si>
  <si>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</si>
  <si>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</si>
  <si>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</si>
  <si>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</si>
  <si>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</si>
  <si>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</si>
  <si>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</si>
  <si>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</si>
  <si>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</si>
  <si>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</si>
  <si>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</si>
  <si>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</si>
  <si>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</si>
  <si>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</si>
  <si>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</si>
  <si>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</si>
  <si>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</si>
  <si>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</si>
  <si>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</si>
  <si>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</si>
  <si>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</si>
  <si>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</si>
  <si>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</si>
  <si>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</si>
  <si>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</si>
  <si>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</si>
  <si>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</si>
  <si>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</si>
  <si>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</si>
  <si>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</si>
  <si>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</si>
  <si>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</si>
  <si>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</si>
  <si>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</si>
  <si>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</si>
  <si>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</si>
  <si>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</si>
  <si>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</si>
  <si>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</si>
  <si>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</si>
  <si>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</si>
  <si>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</si>
  <si>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</si>
  <si>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</si>
  <si>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</si>
  <si>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</si>
  <si>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</si>
  <si>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</si>
  <si>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</si>
  <si>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</si>
  <si>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</si>
  <si>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</si>
  <si>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</si>
  <si>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</si>
  <si>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</si>
  <si>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</si>
  <si>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</si>
  <si>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</si>
  <si>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</si>
  <si>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</si>
  <si>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</si>
  <si>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</si>
  <si>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</si>
  <si>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</si>
  <si>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</si>
  <si>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</si>
  <si>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</si>
  <si>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</si>
  <si>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</si>
  <si>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</si>
  <si>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</si>
  <si>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</si>
  <si>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</si>
  <si>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</si>
  <si>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</si>
  <si>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</si>
  <si>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</si>
  <si>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</si>
  <si>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</si>
  <si>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</si>
  <si>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</si>
  <si>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</si>
  <si>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</si>
  <si>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</si>
  <si>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</si>
  <si>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</si>
  <si>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</si>
  <si>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</si>
  <si>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</si>
  <si>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</si>
  <si>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</si>
  <si>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</si>
  <si>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</si>
  <si>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</si>
  <si>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</si>
  <si>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</si>
  <si>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</si>
  <si>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</si>
  <si>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</si>
  <si>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</si>
  <si>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</si>
  <si>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</si>
  <si>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</si>
  <si>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</si>
  <si>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</si>
  <si>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</si>
  <si>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</si>
  <si>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</si>
  <si>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</si>
  <si>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</si>
  <si>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</si>
  <si>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</si>
  <si>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</si>
  <si>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</si>
  <si>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</si>
  <si>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</si>
  <si>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</si>
  <si>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</si>
  <si>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</si>
  <si>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</si>
  <si>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</si>
  <si>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</si>
  <si>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</si>
  <si>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</si>
  <si>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</si>
  <si>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</si>
  <si>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</si>
  <si>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</si>
  <si>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</si>
  <si>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</si>
  <si>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</si>
  <si>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</si>
  <si>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</si>
  <si>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</si>
  <si>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</si>
  <si>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</si>
  <si>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</si>
  <si>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</si>
  <si>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</si>
  <si>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</si>
  <si>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</si>
  <si>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</si>
  <si>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</si>
  <si>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</si>
  <si>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</si>
  <si>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</si>
  <si>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</si>
  <si>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</si>
  <si>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</si>
  <si>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</si>
  <si>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</si>
  <si>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</si>
  <si>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</si>
  <si>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</si>
  <si>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</si>
  <si>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</si>
  <si>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</si>
  <si>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</si>
  <si>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</si>
  <si>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</si>
  <si>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</si>
  <si>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</si>
  <si>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</si>
  <si>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</si>
  <si>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</si>
  <si>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</si>
  <si>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</si>
  <si>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</si>
  <si>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</si>
  <si>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</si>
  <si>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</si>
  <si>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</si>
  <si>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</si>
  <si>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</si>
  <si>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</si>
  <si>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</si>
  <si>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</si>
  <si>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</si>
  <si>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</si>
  <si>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</si>
  <si>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</si>
  <si>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</si>
  <si>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</si>
  <si>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</si>
  <si>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</si>
  <si>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</si>
  <si>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</si>
  <si>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</si>
  <si>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</si>
  <si>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</si>
  <si>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</si>
  <si>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</si>
  <si>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</si>
  <si>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</si>
  <si>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</si>
  <si>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</si>
  <si>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</si>
  <si>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</si>
  <si>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</si>
  <si>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</si>
  <si>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</si>
  <si>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</si>
  <si>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</si>
  <si>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</si>
  <si>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</si>
  <si>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</si>
  <si>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</si>
  <si>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</si>
  <si>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</si>
  <si>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</si>
  <si>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</si>
  <si>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</si>
  <si>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</si>
  <si>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</si>
  <si>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</si>
  <si>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</si>
  <si>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</si>
  <si>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</si>
  <si>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</si>
  <si>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</si>
  <si>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</si>
  <si>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</si>
  <si>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</si>
  <si>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</si>
  <si>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</si>
  <si>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</si>
  <si>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</si>
  <si>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</si>
  <si>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</si>
  <si>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</si>
  <si>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</si>
  <si>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</si>
  <si>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</si>
  <si>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</si>
  <si>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</si>
  <si>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</si>
  <si>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</si>
  <si>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</si>
  <si>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</si>
  <si>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</si>
  <si>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</si>
  <si>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</si>
  <si>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</si>
  <si>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</si>
  <si>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</si>
  <si>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</si>
  <si>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</si>
  <si>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</si>
  <si>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</si>
  <si>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</si>
  <si>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</si>
  <si>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</si>
  <si>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</si>
  <si>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</si>
  <si>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</si>
  <si>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</si>
  <si>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</si>
  <si>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</si>
  <si>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</si>
  <si>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</si>
  <si>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</si>
  <si>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</si>
  <si>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</si>
  <si>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</si>
  <si>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</si>
  <si>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</si>
  <si>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</si>
  <si>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</si>
  <si>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</si>
  <si>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</si>
  <si>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</si>
  <si>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</si>
  <si>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</si>
  <si>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</si>
  <si>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</si>
  <si>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</si>
  <si>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</si>
  <si>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</si>
  <si>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</si>
  <si>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</si>
  <si>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</si>
  <si>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</si>
  <si>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</si>
  <si>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</si>
  <si>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</si>
  <si>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</si>
  <si>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</si>
  <si>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</si>
  <si>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</si>
  <si>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</si>
  <si>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</si>
  <si>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</si>
  <si>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</si>
  <si>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</si>
  <si>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</si>
  <si>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</si>
  <si>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</si>
  <si>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</si>
  <si>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</si>
  <si>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</si>
  <si>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</si>
  <si>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</si>
  <si>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</si>
  <si>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</si>
  <si>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</si>
  <si>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</si>
  <si>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</si>
  <si>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</si>
  <si>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</si>
  <si>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</si>
  <si>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</si>
  <si>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</si>
  <si>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</si>
  <si>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</si>
  <si>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</si>
  <si>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</si>
  <si>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</si>
  <si>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</si>
  <si>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</si>
  <si>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</si>
  <si>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</si>
  <si>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</si>
  <si>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</si>
  <si>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</si>
  <si>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</si>
  <si>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</si>
  <si>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</si>
  <si>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</si>
  <si>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</si>
  <si>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</si>
  <si>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</si>
  <si>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</si>
  <si>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</si>
  <si>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</si>
  <si>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</si>
  <si>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</si>
  <si>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</si>
  <si>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</si>
  <si>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</si>
  <si>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</si>
  <si>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</si>
  <si>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</si>
  <si>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</si>
  <si>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</si>
  <si>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</si>
  <si>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</si>
  <si>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</si>
  <si>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</si>
  <si>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</si>
  <si>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</si>
  <si>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</si>
  <si>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</si>
  <si>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</si>
  <si>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</si>
  <si>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</si>
  <si>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</si>
  <si>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</si>
  <si>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</si>
  <si>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</si>
  <si>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</si>
  <si>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</si>
  <si>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</si>
  <si>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</si>
  <si>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</si>
  <si>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</si>
  <si>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</si>
  <si>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</si>
  <si>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</si>
  <si>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</si>
  <si>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</si>
  <si>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</si>
  <si>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</si>
  <si>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</si>
  <si>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</si>
  <si>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</si>
  <si>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</si>
  <si>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</si>
  <si>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</si>
  <si>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</si>
  <si>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</si>
  <si>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</si>
  <si>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</si>
  <si>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</si>
  <si>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</si>
  <si>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</si>
  <si>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</si>
  <si>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</si>
  <si>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</si>
  <si>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</si>
  <si>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</si>
  <si>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</si>
  <si>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</si>
  <si>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</si>
  <si>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</si>
  <si>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</si>
  <si>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</si>
  <si>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</si>
  <si>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</si>
  <si>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</si>
  <si>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</si>
  <si>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</si>
  <si>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</si>
  <si>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</si>
  <si>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</si>
  <si>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</si>
  <si>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</si>
  <si>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</si>
  <si>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</si>
  <si>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</si>
  <si>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</si>
  <si>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</si>
  <si>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</si>
  <si>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</si>
  <si>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</si>
  <si>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</si>
  <si>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</si>
  <si>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</si>
  <si>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</si>
  <si>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</si>
  <si>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</si>
  <si>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</si>
  <si>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</si>
  <si>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</si>
  <si>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</si>
  <si>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</si>
  <si>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</si>
  <si>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</si>
  <si>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</si>
  <si>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</si>
  <si>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</si>
  <si>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</si>
  <si>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</si>
  <si>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</si>
  <si>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</si>
  <si>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</si>
  <si>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</si>
  <si>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</si>
  <si>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</si>
  <si>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</si>
  <si>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</si>
  <si>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</si>
  <si>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</si>
  <si>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</si>
  <si>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</si>
  <si>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</si>
  <si>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</si>
  <si>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</si>
  <si>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</si>
  <si>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</si>
  <si>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</si>
  <si>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</si>
  <si>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</si>
  <si>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</si>
  <si>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</si>
  <si>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</si>
  <si>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</si>
  <si>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</si>
  <si>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</si>
  <si>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</si>
  <si>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</si>
  <si>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</si>
  <si>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</si>
  <si>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</si>
  <si>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</si>
  <si>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</si>
  <si>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</si>
  <si>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</si>
  <si>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</si>
  <si>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</si>
  <si>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</si>
  <si>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</si>
  <si>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</si>
  <si>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</si>
  <si>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</si>
  <si>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</si>
  <si>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</si>
  <si>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</si>
  <si>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</si>
  <si>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</si>
  <si>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</si>
  <si>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</si>
  <si>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</si>
  <si>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</si>
  <si>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</si>
  <si>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</si>
  <si>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</si>
  <si>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</si>
  <si>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</si>
  <si>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</si>
  <si>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</si>
  <si>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</si>
  <si>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</si>
  <si>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</si>
  <si>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</si>
  <si>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</si>
  <si>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</si>
  <si>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</si>
  <si>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</si>
  <si>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</si>
  <si>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</si>
  <si>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</si>
  <si>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</si>
  <si>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</si>
  <si>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</si>
  <si>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</si>
  <si>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</si>
  <si>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</si>
  <si>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</si>
  <si>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</si>
  <si>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</si>
  <si>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</si>
  <si>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</si>
  <si>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</si>
  <si>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</si>
  <si>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</si>
  <si>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</si>
  <si>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</si>
  <si>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</si>
  <si>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</si>
  <si>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</si>
  <si>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</si>
  <si>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</si>
  <si>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</si>
  <si>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</si>
  <si>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</si>
  <si>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</si>
  <si>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</si>
  <si>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</si>
  <si>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</si>
  <si>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</si>
  <si>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</si>
  <si>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</si>
  <si>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</si>
  <si>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</si>
  <si>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</si>
  <si>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</si>
  <si>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</si>
  <si>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</si>
  <si>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</si>
  <si>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</si>
  <si>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</si>
  <si>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</si>
  <si>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</si>
  <si>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</si>
  <si>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</si>
  <si>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</si>
  <si>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</si>
  <si>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</si>
  <si>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</si>
  <si>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</si>
  <si>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</si>
  <si>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</si>
  <si>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</si>
  <si>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</si>
  <si>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</si>
  <si>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</si>
  <si>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</si>
  <si>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</si>
  <si>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</si>
  <si>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</si>
  <si>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</si>
  <si>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</si>
  <si>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</si>
  <si>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</si>
  <si>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</si>
  <si>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</si>
  <si>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</si>
  <si>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</si>
  <si>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</si>
  <si>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</si>
  <si>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</si>
  <si>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</si>
  <si>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</si>
  <si>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</si>
  <si>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</si>
  <si>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</si>
  <si>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</si>
  <si>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</si>
  <si>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</si>
  <si>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</si>
  <si>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</si>
  <si>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</si>
  <si>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</si>
  <si>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</si>
  <si>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</si>
  <si>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</si>
  <si>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</si>
  <si>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</si>
  <si>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</si>
  <si>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</si>
  <si>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</si>
  <si>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</si>
  <si>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</si>
  <si>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</si>
  <si>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</si>
  <si>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</si>
  <si>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</si>
  <si>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</si>
  <si>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</si>
  <si>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</si>
  <si>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</si>
  <si>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</si>
  <si>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</si>
  <si>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</si>
  <si>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</si>
  <si>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</si>
  <si>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</si>
  <si>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</si>
  <si>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</si>
  <si>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</si>
  <si>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</si>
  <si>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</si>
  <si>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</si>
  <si>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</si>
  <si>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</si>
  <si>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</si>
  <si>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</si>
  <si>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</si>
  <si>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</si>
  <si>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</si>
  <si>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</si>
  <si>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</si>
  <si>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</si>
  <si>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</si>
  <si>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</si>
  <si>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</si>
  <si>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</si>
  <si>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</si>
  <si>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</si>
  <si>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</si>
  <si>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</si>
  <si>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</si>
  <si>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</si>
  <si>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</si>
  <si>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</si>
  <si>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</si>
  <si>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</si>
  <si>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</si>
  <si>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</si>
  <si>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</si>
  <si>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</si>
  <si>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</si>
  <si>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</si>
  <si>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</si>
  <si>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</si>
  <si>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</si>
  <si>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</si>
  <si>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</si>
  <si>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</si>
  <si>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</si>
  <si>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</si>
  <si>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</si>
  <si>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</si>
  <si>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</si>
  <si>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</si>
  <si>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</si>
  <si>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</si>
  <si>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</si>
  <si>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</si>
  <si>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</si>
  <si>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</si>
  <si>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</si>
  <si>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</si>
  <si>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</si>
  <si>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</si>
  <si>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</si>
  <si>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</si>
  <si>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</si>
  <si>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</si>
  <si>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</si>
  <si>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</si>
  <si>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</si>
  <si>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</si>
  <si>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</si>
  <si>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</si>
  <si>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</si>
  <si>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</si>
  <si>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</si>
  <si>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</si>
  <si>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</si>
  <si>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</si>
  <si>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</si>
  <si>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</si>
  <si>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</si>
  <si>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</si>
  <si>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</si>
  <si>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</si>
  <si>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</si>
  <si>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</si>
  <si>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</si>
  <si>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</si>
  <si>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</si>
  <si>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</si>
  <si>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</si>
  <si>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</si>
  <si>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</si>
  <si>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</si>
  <si>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</si>
  <si>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</si>
  <si>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</si>
  <si>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</si>
  <si>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</si>
  <si>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</si>
  <si>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</si>
  <si>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</si>
  <si>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</si>
  <si>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</si>
  <si>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</si>
  <si>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</si>
  <si>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</si>
  <si>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</si>
  <si>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</si>
  <si>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</si>
  <si>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</si>
  <si>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</si>
  <si>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</si>
  <si>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</si>
  <si>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</si>
  <si>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</si>
  <si>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</si>
  <si>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</si>
  <si>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</si>
  <si>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</si>
  <si>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</si>
  <si>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</si>
  <si>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</si>
  <si>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</si>
  <si>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</si>
  <si>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</si>
  <si>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</si>
  <si>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</si>
  <si>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</si>
  <si>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</si>
  <si>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</si>
  <si>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</si>
  <si>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</si>
  <si>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</si>
  <si>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</si>
  <si>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</si>
  <si>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</si>
  <si>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</si>
  <si>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</si>
  <si>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</si>
  <si>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</si>
  <si>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</si>
  <si>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</si>
  <si>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</si>
  <si>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</si>
  <si>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</si>
  <si>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</si>
  <si>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</si>
  <si>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</si>
  <si>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</si>
  <si>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</si>
  <si>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</si>
  <si>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</si>
  <si>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</si>
  <si>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</si>
  <si>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</si>
  <si>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</si>
  <si>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</si>
  <si>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</si>
  <si>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</si>
  <si>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</si>
  <si>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</si>
  <si>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</si>
  <si>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</si>
  <si>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</si>
  <si>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</si>
  <si>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</si>
  <si>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</si>
  <si>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</si>
  <si>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</si>
  <si>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</si>
  <si>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</si>
  <si>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</si>
  <si>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</si>
  <si>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</si>
  <si>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</si>
  <si>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</si>
  <si>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</si>
  <si>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</si>
  <si>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</si>
  <si>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</si>
  <si>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</si>
  <si>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</si>
  <si>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</si>
  <si>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</si>
  <si>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</si>
  <si>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</si>
  <si>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</si>
  <si>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</si>
  <si>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</si>
  <si>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</si>
  <si>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</si>
  <si>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</si>
  <si>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</si>
  <si>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</si>
  <si>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</si>
  <si>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</si>
  <si>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</si>
  <si>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</si>
  <si>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</si>
  <si>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</si>
  <si>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</si>
  <si>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</si>
  <si>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</si>
  <si>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</si>
  <si>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</si>
  <si>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</si>
  <si>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</si>
  <si>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</si>
  <si>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</si>
  <si>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</si>
  <si>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</si>
  <si>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</si>
  <si>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</si>
  <si>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</si>
  <si>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</si>
  <si>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</si>
  <si>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</si>
  <si>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</si>
  <si>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</si>
  <si>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</si>
  <si>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</si>
  <si>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</si>
  <si>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</si>
  <si>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</si>
  <si>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</si>
  <si>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</si>
  <si>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</si>
  <si>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</si>
  <si>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</si>
  <si>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</si>
  <si>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</si>
  <si>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</si>
  <si>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</si>
  <si>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</si>
  <si>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</si>
  <si>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</si>
  <si>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</si>
  <si>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</si>
  <si>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</si>
  <si>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</si>
  <si>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</si>
  <si>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</si>
  <si>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</si>
  <si>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</si>
  <si>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</si>
  <si>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</si>
  <si>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</si>
  <si>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</si>
  <si>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</si>
  <si>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</si>
  <si>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</si>
  <si>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</si>
  <si>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</si>
  <si>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</si>
  <si>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</si>
  <si>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</si>
  <si>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</si>
  <si>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</si>
  <si>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</si>
  <si>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</si>
  <si>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</si>
  <si>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</si>
  <si>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</si>
  <si>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</si>
  <si>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</si>
  <si>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</si>
  <si>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</si>
  <si>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</si>
  <si>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</si>
  <si>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</si>
  <si>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</si>
  <si>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</si>
  <si>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</si>
  <si>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</si>
  <si>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</si>
  <si>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</si>
  <si>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</si>
  <si>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</si>
  <si>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</si>
  <si>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</si>
  <si>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</si>
  <si>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</si>
  <si>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</si>
  <si>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</si>
  <si>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</si>
  <si>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</si>
  <si>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</si>
  <si>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</si>
  <si>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</si>
  <si>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</si>
  <si>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</si>
  <si>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</si>
  <si>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</si>
  <si>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</si>
  <si>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</si>
  <si>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</si>
  <si>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</si>
  <si>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</si>
  <si>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</si>
  <si>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</si>
  <si>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</si>
  <si>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</si>
  <si>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</si>
  <si>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</si>
  <si>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</si>
  <si>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</si>
  <si>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</si>
  <si>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</si>
  <si>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</si>
  <si>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</si>
  <si>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</si>
  <si>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</si>
  <si>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</si>
  <si>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</si>
  <si>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</si>
  <si>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</si>
  <si>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</si>
  <si>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</si>
  <si>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</si>
  <si>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</si>
  <si>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</si>
  <si>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</si>
  <si>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</si>
  <si>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</si>
  <si>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</si>
  <si>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</si>
  <si>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</si>
  <si>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</si>
  <si>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</si>
  <si>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</si>
  <si>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</si>
  <si>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</si>
  <si>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</si>
  <si>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</si>
  <si>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</si>
  <si>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</si>
  <si>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</si>
  <si>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</si>
  <si>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</si>
  <si>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</si>
  <si>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</si>
  <si>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</si>
  <si>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</si>
  <si>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</si>
  <si>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</si>
  <si>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</si>
  <si>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</si>
  <si>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</si>
  <si>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</si>
  <si>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</si>
  <si>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</si>
  <si>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</si>
  <si>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</si>
  <si>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</si>
  <si>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</si>
  <si>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</si>
  <si>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</si>
  <si>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</si>
  <si>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</si>
  <si>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</si>
  <si>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</si>
  <si>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</si>
  <si>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</si>
  <si>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</si>
  <si>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</si>
  <si>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</si>
  <si>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</si>
  <si>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</si>
  <si>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</si>
  <si>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</si>
  <si>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</si>
  <si>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</si>
  <si>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</si>
  <si>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</si>
  <si>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</si>
  <si>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</si>
  <si>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</si>
  <si>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</si>
  <si>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</si>
  <si>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</si>
  <si>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</si>
  <si>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</si>
  <si>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</si>
  <si>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</si>
  <si>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</si>
  <si>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</si>
  <si>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</si>
  <si>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</si>
  <si>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</si>
  <si>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</si>
  <si>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</si>
  <si>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</si>
  <si>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</si>
  <si>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</si>
  <si>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</si>
  <si>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</si>
  <si>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</si>
  <si>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</si>
  <si>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</si>
  <si>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</si>
  <si>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</si>
  <si>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</si>
  <si>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</si>
  <si>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</si>
  <si>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</si>
  <si>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</si>
  <si>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</si>
  <si>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</si>
  <si>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</si>
  <si>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</si>
  <si>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</si>
  <si>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</si>
  <si>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</si>
  <si>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</si>
  <si>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</si>
  <si>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</si>
  <si>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</si>
  <si>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</si>
  <si>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</si>
  <si>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</si>
  <si>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</si>
  <si>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</si>
  <si>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</si>
  <si>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</si>
  <si>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</si>
  <si>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</si>
  <si>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</si>
  <si>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</si>
  <si>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</si>
  <si>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</si>
  <si>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</si>
  <si>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</si>
  <si>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</si>
  <si>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</si>
  <si>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</si>
  <si>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</si>
  <si>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</si>
  <si>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</si>
  <si>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</si>
  <si>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</si>
  <si>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</si>
  <si>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</si>
  <si>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</si>
  <si>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</si>
  <si>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</si>
  <si>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</si>
  <si>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</si>
  <si>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</si>
  <si>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</si>
  <si>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</si>
  <si>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</si>
  <si>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</si>
  <si>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</si>
  <si>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</si>
  <si>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</si>
  <si>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</si>
  <si>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</si>
  <si>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</si>
  <si>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</si>
  <si>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</si>
  <si>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</si>
  <si>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</si>
  <si>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</si>
  <si>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</si>
  <si>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</si>
  <si>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</si>
  <si>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</si>
  <si>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</si>
  <si>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</si>
  <si>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</si>
  <si>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</si>
  <si>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</si>
  <si>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</si>
  <si>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</si>
  <si>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</si>
  <si>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</si>
  <si>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</si>
  <si>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</si>
  <si>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</si>
  <si>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</si>
  <si>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</si>
  <si>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</si>
  <si>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</si>
  <si>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</si>
  <si>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</si>
  <si>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</si>
  <si>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</si>
  <si>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</si>
  <si>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</si>
  <si>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</si>
  <si>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</si>
  <si>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</si>
  <si>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</si>
  <si>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</si>
  <si>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</si>
  <si>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</si>
  <si>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</si>
  <si>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</si>
  <si>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</si>
  <si>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</si>
  <si>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</si>
  <si>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</si>
  <si>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</si>
  <si>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</si>
  <si>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</si>
  <si>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</si>
  <si>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</si>
  <si>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</si>
  <si>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</si>
  <si>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</si>
  <si>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</si>
  <si>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</si>
  <si>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</si>
  <si>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</si>
  <si>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</si>
  <si>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</si>
  <si>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</si>
  <si>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</si>
  <si>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</si>
  <si>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</si>
  <si>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</si>
  <si>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</si>
  <si>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</si>
  <si>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</si>
  <si>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</si>
  <si>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</si>
  <si>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</si>
  <si>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</si>
  <si>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</si>
  <si>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</si>
  <si>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</si>
  <si>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</si>
  <si>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</si>
  <si>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</si>
  <si>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</si>
  <si>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</si>
  <si>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</si>
  <si>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</si>
  <si>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</si>
  <si>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</si>
  <si>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</si>
  <si>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</si>
  <si>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</si>
  <si>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</si>
  <si>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</si>
  <si>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</si>
  <si>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</si>
  <si>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</si>
  <si>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</si>
  <si>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</si>
  <si>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</si>
  <si>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</si>
  <si>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</si>
  <si>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</si>
  <si>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</si>
  <si>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</si>
  <si>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</si>
  <si>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</si>
  <si>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</si>
  <si>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</si>
  <si>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</si>
  <si>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</si>
  <si>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</si>
  <si>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</si>
  <si>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</si>
  <si>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</si>
  <si>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</si>
  <si>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</si>
  <si>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</si>
  <si>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</si>
  <si>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</si>
  <si>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</si>
  <si>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</si>
  <si>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</si>
  <si>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</si>
  <si>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</si>
  <si>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</si>
  <si>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</si>
  <si>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</si>
  <si>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</si>
  <si>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</si>
  <si>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</si>
  <si>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</si>
  <si>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</si>
  <si>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</si>
  <si>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</si>
  <si>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</si>
  <si>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</si>
  <si>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</si>
  <si>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</si>
  <si>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</si>
  <si>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</si>
  <si>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</si>
  <si>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</si>
  <si>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</si>
  <si>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</si>
  <si>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</si>
  <si>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</si>
  <si>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</si>
  <si>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</si>
  <si>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</si>
  <si>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</si>
  <si>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</si>
  <si>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</si>
  <si>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</si>
  <si>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</si>
  <si>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</si>
  <si>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</si>
  <si>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</si>
  <si>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</si>
  <si>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</si>
  <si>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</si>
  <si>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</si>
  <si>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</si>
  <si>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</si>
  <si>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</si>
  <si>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</si>
  <si>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</si>
  <si>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</si>
  <si>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</si>
  <si>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</si>
  <si>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</si>
  <si>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</si>
  <si>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</si>
  <si>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</si>
  <si>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</si>
  <si>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</si>
  <si>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</si>
  <si>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</si>
  <si>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</si>
  <si>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</si>
  <si>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</si>
  <si>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</si>
  <si>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</si>
  <si>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</si>
  <si>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</si>
  <si>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</si>
  <si>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</si>
  <si>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</si>
  <si>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</si>
  <si>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</si>
  <si>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</si>
  <si>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</si>
  <si>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</si>
  <si>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</si>
  <si>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</si>
  <si>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</si>
  <si>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</si>
  <si>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</si>
  <si>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</si>
  <si>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</si>
  <si>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</si>
  <si>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</si>
  <si>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</si>
  <si>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</si>
  <si>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</si>
  <si>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</si>
  <si>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</si>
  <si>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</si>
  <si>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</si>
  <si>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</si>
  <si>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</si>
  <si>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</si>
  <si>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</si>
  <si>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</si>
  <si>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</si>
  <si>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</si>
  <si>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</si>
  <si>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</si>
  <si>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</si>
  <si>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</si>
  <si>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</si>
  <si>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</si>
  <si>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</si>
  <si>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</si>
  <si>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</si>
  <si>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</si>
  <si>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</si>
  <si>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</si>
  <si>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</si>
  <si>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</si>
  <si>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</si>
  <si>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</si>
  <si>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</si>
  <si>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</si>
  <si>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</si>
  <si>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</si>
  <si>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</si>
  <si>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</si>
  <si>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</si>
  <si>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</si>
  <si>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</si>
  <si>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</si>
  <si>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</si>
  <si>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</si>
  <si>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</si>
  <si>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</si>
  <si>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</si>
  <si>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</si>
  <si>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</si>
  <si>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</si>
  <si>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</si>
  <si>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</si>
  <si>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</si>
  <si>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</si>
  <si>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</si>
  <si>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</si>
  <si>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</si>
  <si>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</si>
  <si>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</si>
  <si>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</si>
  <si>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</si>
  <si>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</si>
  <si>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</si>
  <si>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</si>
  <si>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</si>
  <si>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</si>
  <si>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</si>
  <si>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</si>
  <si>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</si>
  <si>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</si>
  <si>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</si>
  <si>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</si>
  <si>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</si>
  <si>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</si>
  <si>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</si>
  <si>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</si>
  <si>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</si>
  <si>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</si>
  <si>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</si>
  <si>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</si>
  <si>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</si>
  <si>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</si>
  <si>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</si>
  <si>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</si>
  <si>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</si>
  <si>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</si>
  <si>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</si>
  <si>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</si>
  <si>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</si>
  <si>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</si>
  <si>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</si>
  <si>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</si>
  <si>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</si>
  <si>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</si>
  <si>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</si>
  <si>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</si>
  <si>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</si>
  <si>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</si>
  <si>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</si>
  <si>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</si>
  <si>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</si>
  <si>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</si>
  <si>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</si>
  <si>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</si>
  <si>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</si>
  <si>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</si>
  <si>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</si>
  <si>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</si>
  <si>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</si>
  <si>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</si>
  <si>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</si>
  <si>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</si>
  <si>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</si>
  <si>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</si>
  <si>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</si>
  <si>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</si>
  <si>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</si>
  <si>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</si>
  <si>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</si>
  <si>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</si>
  <si>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</si>
  <si>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</si>
  <si>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</si>
  <si>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</si>
  <si>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</si>
  <si>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</si>
  <si>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</si>
  <si>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</si>
  <si>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</si>
  <si>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</si>
  <si>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</si>
  <si>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</si>
  <si>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</si>
  <si>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</si>
  <si>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</si>
  <si>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</si>
  <si>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</si>
  <si>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</si>
  <si>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</si>
  <si>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</si>
  <si>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</si>
  <si>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</si>
  <si>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</si>
  <si>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</si>
  <si>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</si>
  <si>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</si>
  <si>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</si>
  <si>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</si>
  <si>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</si>
  <si>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</si>
  <si>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</si>
  <si>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</si>
  <si>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</si>
  <si>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</si>
  <si>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</si>
  <si>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</si>
  <si>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</si>
  <si>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</si>
  <si>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</si>
  <si>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</si>
  <si>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</si>
  <si>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</si>
  <si>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</si>
  <si>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</si>
  <si>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</si>
  <si>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</si>
  <si>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</si>
  <si>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</si>
  <si>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</si>
  <si>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</si>
  <si>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</si>
  <si>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</si>
  <si>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</si>
  <si>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</si>
  <si>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</si>
  <si>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</si>
  <si>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</si>
  <si>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</si>
  <si>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</si>
  <si>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</si>
  <si>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</si>
  <si>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</si>
  <si>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</si>
  <si>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</si>
  <si>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</si>
  <si>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</si>
  <si>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</si>
  <si>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</si>
  <si>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</si>
  <si>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</si>
  <si>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</si>
  <si>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</si>
  <si>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</si>
  <si>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</si>
  <si>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</si>
  <si>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</si>
  <si>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</si>
  <si>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</si>
  <si>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</si>
  <si>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</si>
  <si>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</si>
  <si>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</si>
  <si>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</si>
  <si>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</si>
  <si>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</si>
  <si>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</si>
  <si>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</si>
  <si>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</si>
  <si>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</si>
  <si>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</si>
  <si>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</si>
  <si>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</si>
  <si>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</si>
  <si>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</si>
  <si>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</si>
  <si>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</si>
  <si>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</si>
  <si>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</si>
  <si>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</si>
  <si>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</si>
  <si>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</si>
  <si>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</si>
  <si>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</si>
  <si>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</si>
  <si>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</si>
  <si>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</si>
  <si>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</si>
  <si>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</si>
  <si>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</si>
  <si>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</si>
  <si>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</si>
  <si>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</si>
  <si>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</si>
  <si>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</si>
  <si>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</si>
  <si>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</si>
  <si>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</si>
  <si>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</si>
  <si>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</si>
  <si>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</si>
  <si>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</si>
  <si>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</si>
  <si>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</si>
  <si>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</si>
  <si>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</si>
  <si>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</si>
  <si>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</si>
  <si>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</si>
  <si>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</si>
  <si>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</si>
  <si>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</si>
  <si>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</si>
  <si>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</si>
  <si>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</si>
  <si>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</si>
  <si>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</si>
  <si>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</si>
  <si>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</si>
  <si>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</si>
  <si>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</si>
  <si>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</si>
  <si>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</si>
  <si>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</si>
  <si>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</si>
  <si>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</si>
  <si>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</si>
  <si>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</si>
  <si>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</si>
  <si>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</si>
  <si>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</si>
  <si>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</si>
  <si>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</si>
  <si>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</si>
  <si>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</si>
  <si>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</si>
  <si>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</si>
  <si>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</si>
  <si>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</si>
  <si>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</si>
  <si>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</si>
  <si>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</si>
  <si>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</si>
  <si>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</si>
  <si>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</si>
  <si>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</si>
  <si>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</si>
  <si>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</si>
  <si>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</si>
  <si>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</si>
  <si>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</si>
  <si>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</si>
  <si>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</si>
  <si>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</si>
  <si>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</si>
  <si>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</si>
  <si>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</si>
  <si>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</si>
  <si>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</si>
  <si>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</si>
  <si>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</si>
  <si>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</si>
  <si>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</si>
  <si>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</si>
  <si>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</si>
  <si>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</si>
  <si>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</si>
  <si>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</si>
  <si>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</si>
  <si>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</si>
  <si>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</si>
  <si>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</si>
  <si>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</si>
  <si>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</si>
  <si>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</si>
  <si>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</si>
  <si>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</si>
  <si>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</si>
  <si>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</si>
  <si>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</si>
  <si>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</si>
  <si>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</si>
  <si>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</si>
  <si>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</si>
  <si>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</si>
  <si>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</si>
  <si>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</si>
  <si>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</si>
  <si>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</si>
  <si>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</si>
  <si>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</si>
  <si>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</si>
  <si>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</si>
  <si>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</si>
  <si>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</si>
  <si>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</si>
  <si>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</si>
  <si>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</si>
  <si>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</si>
  <si>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</si>
  <si>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</si>
  <si>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</si>
  <si>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</si>
  <si>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</si>
  <si>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</si>
  <si>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</si>
  <si>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</si>
  <si>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</si>
  <si>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</si>
  <si>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</si>
  <si>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</si>
  <si>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</si>
  <si>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</si>
  <si>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</si>
  <si>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</si>
  <si>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</si>
  <si>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</si>
  <si>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</si>
  <si>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</si>
  <si>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</si>
  <si>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</si>
  <si>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</si>
  <si>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</si>
  <si>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</si>
  <si>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</si>
  <si>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</si>
  <si>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</si>
  <si>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</si>
  <si>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</si>
  <si>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</si>
  <si>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</si>
  <si>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</si>
  <si>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</si>
  <si>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</si>
  <si>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</si>
  <si>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</si>
  <si>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</si>
  <si>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</si>
  <si>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</si>
  <si>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</si>
  <si>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</si>
  <si>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</si>
  <si>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</si>
  <si>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</si>
  <si>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</si>
  <si>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</si>
  <si>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</si>
  <si>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</si>
  <si>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</si>
  <si>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</si>
  <si>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</si>
  <si>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</si>
  <si>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</si>
  <si>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</si>
  <si>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</si>
  <si>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</si>
  <si>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</si>
  <si>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</si>
  <si>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</si>
  <si>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</si>
  <si>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</si>
  <si>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</si>
  <si>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</si>
  <si>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</si>
  <si>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</si>
  <si>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</si>
  <si>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</si>
  <si>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</si>
  <si>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</si>
  <si>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</si>
  <si>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</si>
  <si>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</si>
  <si>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</si>
  <si>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</si>
  <si>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</si>
  <si>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</si>
  <si>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</si>
  <si>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</si>
  <si>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</si>
  <si>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</si>
  <si>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</si>
  <si>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</si>
  <si>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</si>
  <si>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</si>
  <si>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</si>
  <si>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</si>
  <si>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</si>
  <si>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</si>
  <si>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</si>
  <si>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</si>
  <si>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</si>
  <si>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</si>
  <si>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</si>
  <si>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</si>
  <si>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</si>
  <si>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</si>
  <si>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</si>
  <si>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</si>
  <si>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</si>
  <si>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</si>
  <si>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</si>
  <si>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</si>
  <si>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</si>
  <si>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</si>
  <si>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</si>
  <si>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</si>
  <si>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</si>
  <si>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</si>
  <si>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</si>
  <si>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</si>
  <si>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</si>
  <si>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</si>
  <si>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</si>
  <si>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</si>
  <si>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</si>
  <si>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</si>
  <si>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</si>
  <si>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</si>
  <si>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</si>
  <si>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</si>
  <si>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</si>
  <si>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</si>
  <si>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</si>
  <si>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</si>
  <si>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</si>
  <si>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</si>
  <si>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</si>
  <si>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</si>
  <si>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</si>
  <si>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</si>
  <si>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</si>
  <si>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</si>
  <si>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</si>
  <si>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</si>
  <si>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</si>
  <si>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</si>
  <si>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</si>
  <si>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</si>
  <si>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</si>
  <si>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</si>
  <si>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</si>
  <si>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</si>
  <si>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</si>
  <si>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</si>
  <si>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</si>
  <si>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</si>
  <si>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</si>
  <si>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</si>
  <si>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</si>
  <si>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</si>
  <si>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</si>
  <si>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</si>
  <si>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</si>
  <si>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</si>
  <si>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</si>
  <si>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</si>
  <si>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</si>
  <si>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</si>
  <si>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</si>
  <si>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</si>
  <si>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</si>
  <si>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</si>
  <si>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</si>
  <si>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</si>
  <si>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</si>
  <si>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</si>
  <si>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</si>
  <si>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</si>
  <si>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</si>
  <si>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</si>
  <si>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</si>
  <si>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</si>
  <si>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</si>
  <si>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</si>
  <si>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</si>
  <si>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</si>
  <si>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</si>
  <si>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</si>
  <si>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</si>
  <si>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</si>
  <si>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</si>
  <si>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</si>
  <si>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</si>
  <si>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</si>
  <si>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</si>
  <si>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</si>
  <si>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</si>
  <si>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</si>
  <si>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</si>
  <si>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</si>
  <si>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</si>
  <si>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</si>
  <si>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</si>
  <si>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</si>
  <si>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</si>
  <si>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</si>
  <si>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</si>
  <si>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</si>
  <si>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</si>
  <si>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</si>
  <si>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</si>
  <si>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</si>
  <si>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</si>
  <si>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</si>
  <si>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</si>
  <si>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</si>
  <si>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</si>
  <si>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</si>
  <si>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</si>
  <si>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</si>
  <si>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</si>
  <si>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</si>
  <si>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</si>
  <si>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</si>
  <si>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</si>
  <si>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</si>
  <si>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</si>
  <si>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</si>
  <si>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</si>
  <si>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</si>
  <si>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</si>
  <si>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</si>
  <si>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Morgan</t>
  </si>
  <si>
    <t>201 North Miller</t>
  </si>
  <si>
    <t>Waverly</t>
  </si>
  <si>
    <t>dday@waverlyscotties.com</t>
  </si>
  <si>
    <t>Hughes, Cameron &amp; Company, LLC</t>
  </si>
  <si>
    <t>Amie Pranaitis</t>
  </si>
  <si>
    <t>386 S. Koke Mill RD.</t>
  </si>
  <si>
    <t>Springfield</t>
  </si>
  <si>
    <t>IL</t>
  </si>
  <si>
    <t>(217) 787-8822</t>
  </si>
  <si>
    <t>(217) 787-8823</t>
  </si>
  <si>
    <t>066-004750</t>
  </si>
  <si>
    <t>apranaitis@hughescpas.com</t>
  </si>
  <si>
    <t xml:space="preserve">The Auditor's Report was modified due to the presentation of the financial statements on a regulatory basis and due to lack of presentation of pension liability and other post employment benefits. </t>
  </si>
  <si>
    <t>Series 2015</t>
  </si>
  <si>
    <t>GO Bond</t>
  </si>
  <si>
    <t>Wendelin Consulting</t>
  </si>
  <si>
    <t>Great America Financial</t>
  </si>
  <si>
    <t>George Alarm</t>
  </si>
  <si>
    <t>F.J. Murphy</t>
  </si>
  <si>
    <t>Transportation-Support Services-Purchased Services</t>
  </si>
  <si>
    <t>Operation, Building Maintenance-Support Services-Purchased Services</t>
  </si>
  <si>
    <t>Ed-Support Services-Purchased Services</t>
  </si>
  <si>
    <t>AT&amp;T Mobility</t>
  </si>
  <si>
    <t>Mid-West Truckers</t>
  </si>
  <si>
    <t>Franklin C.U.S.D. #1</t>
  </si>
  <si>
    <t>Four Rivers Special Education District</t>
  </si>
  <si>
    <t>Capital Area Career Center</t>
  </si>
  <si>
    <t>Franklin C.U.S.D. #1, New Berlin C.U.S.D. #16</t>
  </si>
  <si>
    <t>Account 1790 - Other Education Revenue consists of sales of physical education uniforms and athletic fees</t>
  </si>
  <si>
    <t>Account 1999 - Other Local Revenues consists of other general revenues from local sources</t>
  </si>
  <si>
    <t>Account 3999 - Other Restricted Revenues fromo State Sources was revenues from a library grant</t>
  </si>
  <si>
    <t>Series 2020</t>
  </si>
  <si>
    <t xml:space="preserve"> Waverly CUSD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</si>
</sst>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1</xdr:row>
          <xdr:rowOff>9525</xdr:rowOff>
        </xdr:from>
        <xdr:to>
          <xdr:col>1</xdr:col>
          <xdr:colOff>2057400</xdr:colOff>
          <xdr:row>5</xdr:row>
          <xdr:rowOff>47625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1</xdr:row>
          <xdr:rowOff>19050</xdr:rowOff>
        </xdr:from>
        <xdr:to>
          <xdr:col>1</xdr:col>
          <xdr:colOff>3152775</xdr:colOff>
          <xdr:row>5</xdr:row>
          <xdr:rowOff>57150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1069006026</v>
      </c>
      <c r="B13" s="2101"/>
      <c r="C13" s="2101"/>
      <c r="D13" s="2101"/>
      <c r="E13" s="2101"/>
      <c r="F13" s="2101"/>
      <c r="G13" s="2101"/>
      <c r="H13" s="2102"/>
      <c r="I13" s="31"/>
      <c r="J13" s="30"/>
      <c r="K13" s="28"/>
      <c r="L13" s="30"/>
      <c r="M13" s="30"/>
      <c r="N13" s="30"/>
      <c r="O13" s="30"/>
      <c r="P13" s="30"/>
      <c r="Q13" s="30"/>
      <c r="R13" s="30"/>
      <c r="S13" s="30"/>
      <c r="T13" s="2106" t="s">
        <v>2056</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2057</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2085</v>
      </c>
      <c r="B17" s="2074"/>
      <c r="C17" s="2074"/>
      <c r="D17" s="2074"/>
      <c r="E17" s="2074"/>
      <c r="F17" s="2074"/>
      <c r="G17" s="2074"/>
      <c r="H17" s="2099"/>
      <c r="T17" s="2117" t="s">
        <v>2058</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2053</v>
      </c>
      <c r="B19" s="2059"/>
      <c r="C19" s="2059"/>
      <c r="D19" s="2059"/>
      <c r="E19" s="2059"/>
      <c r="F19" s="2059"/>
      <c r="G19" s="2059"/>
      <c r="H19" s="2039"/>
      <c r="I19" s="30"/>
      <c r="J19" s="96"/>
      <c r="K19" s="40"/>
      <c r="L19" s="38"/>
      <c r="M19" s="109" t="s">
        <v>312</v>
      </c>
      <c r="P19" s="27"/>
      <c r="Q19" s="27"/>
      <c r="R19" s="27"/>
      <c r="S19" s="31"/>
      <c r="T19" s="2103" t="s">
        <v>2059</v>
      </c>
      <c r="U19" s="2038"/>
      <c r="V19" s="2038"/>
      <c r="W19" s="2039"/>
      <c r="X19" s="2115" t="s">
        <v>2060</v>
      </c>
      <c r="Y19" s="2116"/>
      <c r="Z19" s="2113">
        <v>62711</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2054</v>
      </c>
      <c r="B21" s="2038"/>
      <c r="C21" s="2038"/>
      <c r="D21" s="2038"/>
      <c r="E21" s="2038"/>
      <c r="F21" s="2038"/>
      <c r="G21" s="2038"/>
      <c r="H21" s="2039"/>
      <c r="I21" s="2093" t="s">
        <v>673</v>
      </c>
      <c r="J21" s="2088"/>
      <c r="K21" s="2088"/>
      <c r="L21" s="2088"/>
      <c r="M21" s="2088"/>
      <c r="N21" s="2088"/>
      <c r="O21" s="2088"/>
      <c r="P21" s="2088"/>
      <c r="Q21" s="2088"/>
      <c r="R21" s="2088"/>
      <c r="S21" s="2094"/>
      <c r="T21" s="2128" t="s">
        <v>2061</v>
      </c>
      <c r="U21" s="2129"/>
      <c r="V21" s="2129"/>
      <c r="W21" s="2129"/>
      <c r="X21" s="2134" t="s">
        <v>2062</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2055</v>
      </c>
      <c r="B23" s="2091"/>
      <c r="C23" s="2091"/>
      <c r="D23" s="2091"/>
      <c r="E23" s="2091"/>
      <c r="F23" s="2091"/>
      <c r="G23" s="2091"/>
      <c r="H23" s="2092"/>
      <c r="T23" s="2073" t="s">
        <v>2063</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62692</v>
      </c>
      <c r="B25" s="2038"/>
      <c r="C25" s="2038"/>
      <c r="D25" s="2038"/>
      <c r="E25" s="2038"/>
      <c r="F25" s="2038"/>
      <c r="G25" s="2038"/>
      <c r="H25" s="2039"/>
      <c r="I25" s="110"/>
      <c r="J25" s="2062"/>
      <c r="K25" s="2062"/>
      <c r="L25" s="2062"/>
      <c r="M25" s="2062"/>
      <c r="N25" s="2062"/>
      <c r="O25" s="2062"/>
      <c r="P25" s="2062"/>
      <c r="Q25" s="2062"/>
      <c r="R25" s="2062"/>
      <c r="S25" s="2063"/>
      <c r="T25" s="2124" t="s">
        <v>2064</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c r="B42" s="2057"/>
      <c r="C42" s="2058"/>
      <c r="D42" s="2056"/>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0" sqref="E1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1807333</v>
      </c>
      <c r="C4" s="1722">
        <v>775551</v>
      </c>
      <c r="D4" s="1723">
        <f>B4-C4</f>
        <v>1031782</v>
      </c>
      <c r="E4" s="1722">
        <v>1826137</v>
      </c>
      <c r="F4" s="1723">
        <f>E4-C4</f>
        <v>1050586</v>
      </c>
    </row>
    <row r="5" spans="1:8" ht="13.7" customHeight="1" x14ac:dyDescent="0.2">
      <c r="A5" s="579" t="s">
        <v>865</v>
      </c>
      <c r="B5" s="1724">
        <f>'Revenues 9-14'!D5</f>
        <v>320859</v>
      </c>
      <c r="C5" s="1664">
        <v>137682</v>
      </c>
      <c r="D5" s="1725">
        <f t="shared" ref="D5:D18" si="0">B5-C5</f>
        <v>183177</v>
      </c>
      <c r="E5" s="1664">
        <v>324235</v>
      </c>
      <c r="F5" s="1725">
        <f>E5-C5</f>
        <v>186553</v>
      </c>
    </row>
    <row r="6" spans="1:8" ht="13.7" customHeight="1" x14ac:dyDescent="0.2">
      <c r="A6" s="579" t="s">
        <v>408</v>
      </c>
      <c r="B6" s="1724">
        <f>'Revenues 9-14'!E5</f>
        <v>302171</v>
      </c>
      <c r="C6" s="1664">
        <v>128147</v>
      </c>
      <c r="D6" s="1725">
        <f t="shared" si="0"/>
        <v>174024</v>
      </c>
      <c r="E6" s="1664">
        <v>301755</v>
      </c>
      <c r="F6" s="1725">
        <f t="shared" ref="F6:F18" si="1">E6-C6</f>
        <v>173608</v>
      </c>
    </row>
    <row r="7" spans="1:8" ht="13.7" customHeight="1" x14ac:dyDescent="0.2">
      <c r="A7" s="579" t="s">
        <v>154</v>
      </c>
      <c r="B7" s="1724">
        <f>'Revenues 9-14'!F5</f>
        <v>176841</v>
      </c>
      <c r="C7" s="1664">
        <v>75887</v>
      </c>
      <c r="D7" s="1725">
        <f t="shared" si="0"/>
        <v>100954</v>
      </c>
      <c r="E7" s="1664">
        <v>178709</v>
      </c>
      <c r="F7" s="1725">
        <f t="shared" si="1"/>
        <v>102822</v>
      </c>
    </row>
    <row r="8" spans="1:8" ht="13.7" customHeight="1" x14ac:dyDescent="0.2">
      <c r="A8" s="579" t="s">
        <v>1169</v>
      </c>
      <c r="B8" s="1724">
        <f>'Revenues 9-14'!G5</f>
        <v>62559</v>
      </c>
      <c r="C8" s="1664">
        <v>26853</v>
      </c>
      <c r="D8" s="1725">
        <f t="shared" si="0"/>
        <v>35706</v>
      </c>
      <c r="E8" s="1664">
        <v>63269</v>
      </c>
      <c r="F8" s="1725">
        <f t="shared" si="1"/>
        <v>36416</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21914</v>
      </c>
      <c r="C10" s="1664">
        <v>9402</v>
      </c>
      <c r="D10" s="1725">
        <f t="shared" si="0"/>
        <v>12512</v>
      </c>
      <c r="E10" s="1664">
        <v>22141</v>
      </c>
      <c r="F10" s="1725">
        <f t="shared" si="1"/>
        <v>12739</v>
      </c>
    </row>
    <row r="11" spans="1:8" x14ac:dyDescent="0.2">
      <c r="A11" s="579" t="s">
        <v>406</v>
      </c>
      <c r="B11" s="1724">
        <f>'Revenues 9-14'!J5</f>
        <v>46371</v>
      </c>
      <c r="C11" s="1664">
        <v>19895</v>
      </c>
      <c r="D11" s="1725">
        <f t="shared" si="0"/>
        <v>26476</v>
      </c>
      <c r="E11" s="1664">
        <v>46875</v>
      </c>
      <c r="F11" s="1725">
        <f t="shared" si="1"/>
        <v>26980</v>
      </c>
    </row>
    <row r="12" spans="1:8" ht="13.7" customHeight="1" x14ac:dyDescent="0.2">
      <c r="A12" s="579" t="s">
        <v>156</v>
      </c>
      <c r="B12" s="1724">
        <f>'Revenues 9-14'!K5</f>
        <v>25018</v>
      </c>
      <c r="C12" s="1664">
        <v>10736</v>
      </c>
      <c r="D12" s="1725">
        <f t="shared" si="0"/>
        <v>14282</v>
      </c>
      <c r="E12" s="1664">
        <v>25297</v>
      </c>
      <c r="F12" s="1725">
        <f t="shared" si="1"/>
        <v>14561</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18208</v>
      </c>
      <c r="C14" s="1664">
        <v>7812</v>
      </c>
      <c r="D14" s="1725">
        <f t="shared" si="0"/>
        <v>10396</v>
      </c>
      <c r="E14" s="1664">
        <v>18423</v>
      </c>
      <c r="F14" s="1725">
        <f t="shared" si="1"/>
        <v>10611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62559</v>
      </c>
      <c r="C16" s="1664">
        <v>26853</v>
      </c>
      <c r="D16" s="1725">
        <f t="shared" si="0"/>
        <v>35706</v>
      </c>
      <c r="E16" s="1664">
        <v>63269</v>
      </c>
      <c r="F16" s="1725">
        <f t="shared" si="1"/>
        <v>36416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2843833</v>
      </c>
      <c r="C19" s="1726">
        <f>SUM(C4:C18)</f>
        <v>1218818</v>
      </c>
      <c r="D19" s="1726">
        <f>SUM(D4:D18)</f>
        <v>1625015</v>
      </c>
      <c r="E19" s="1726">
        <f>SUM(E4:E18)</f>
        <v>2870110</v>
      </c>
      <c r="F19" s="1726">
        <f>SUM(F4:F18)</f>
        <v>1651292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2066</v>
      </c>
      <c r="B31" s="595">
        <v>42033</v>
      </c>
      <c r="C31" s="1734">
        <v>3500000</v>
      </c>
      <c r="D31" s="1735" t="s">
        <v>2067</v>
      </c>
      <c r="E31" s="1734">
        <v>2985000</v>
      </c>
      <c r="F31" s="1734"/>
      <c r="G31" s="1734"/>
      <c r="H31" s="1734">
        <v>190000</v>
      </c>
      <c r="I31" s="1736">
        <f>((E31+F31)-H31)+G31</f>
        <v>2795000</v>
      </c>
      <c r="J31" s="1734">
        <v>2556160</v>
      </c>
      <c r="K31" s="596"/>
    </row>
    <row r="32" spans="1:11" ht="12" customHeight="1" x14ac:dyDescent="0.2">
      <c r="A32" s="594" t="s">
        <v>2084</v>
      </c>
      <c r="B32" s="595">
        <v>43949</v>
      </c>
      <c r="C32" s="1734"/>
      <c r="D32" s="1735" t="s">
        <v>2067</v>
      </c>
      <c r="E32" s="1734"/>
      <c r="F32" s="1734">
        <v>1695000</v>
      </c>
      <c r="G32" s="1734"/>
      <c r="H32" s="1734"/>
      <c r="I32" s="1736">
        <f>((E32+F32)-H32)+G32</f>
        <v>1695000</v>
      </c>
      <c r="J32" s="1734">
        <v>1695000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3500000</v>
      </c>
      <c r="D49" s="1742"/>
      <c r="E49" s="1736">
        <f t="shared" ref="E49:J49" si="2">SUM(E31:E48)</f>
        <v>2985000</v>
      </c>
      <c r="F49" s="1736">
        <f t="shared" si="2"/>
        <v>1695000</v>
      </c>
      <c r="G49" s="1736">
        <f t="shared" si="2"/>
        <v>0</v>
      </c>
      <c r="H49" s="1736">
        <f t="shared" si="2"/>
        <v>190000</v>
      </c>
      <c r="I49" s="1736">
        <f t="shared" si="2"/>
        <v>4490000</v>
      </c>
      <c r="J49" s="1736">
        <f t="shared" si="2"/>
        <v>4251160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18208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4509</v>
      </c>
    </row>
    <row r="10" spans="1:11" x14ac:dyDescent="0.2">
      <c r="A10" s="2322" t="s">
        <v>1790</v>
      </c>
      <c r="B10" s="2323"/>
      <c r="C10" s="2323"/>
      <c r="D10" s="2323"/>
      <c r="E10" s="2325"/>
      <c r="F10" s="633" t="s">
        <v>857</v>
      </c>
      <c r="G10" s="1753"/>
      <c r="H10" s="1754"/>
      <c r="I10" s="1744"/>
      <c r="J10" s="1745"/>
      <c r="K10" s="1745">
        <v>975</v>
      </c>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18208</v>
      </c>
      <c r="I12" s="1755">
        <f>SUM(I5:I11)</f>
        <v>0</v>
      </c>
      <c r="J12" s="1755">
        <f>SUM(J5:J11)</f>
        <v>0</v>
      </c>
      <c r="K12" s="1755">
        <f>SUM(K5:K11)</f>
        <v>5484</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18208</v>
      </c>
      <c r="I14" s="1749"/>
      <c r="J14" s="1751"/>
      <c r="K14" s="1745">
        <v>5484</v>
      </c>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18208</v>
      </c>
      <c r="I23" s="1755">
        <f>SUM(I14:I16,I21,I22)</f>
        <v>0</v>
      </c>
      <c r="J23" s="1755">
        <f>SUM(J14:J16,J21,J22)</f>
        <v>0</v>
      </c>
      <c r="K23" s="1755">
        <f>SUM(K14:K16,K21,K22)</f>
        <v>5484</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1" sqref="H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25161</v>
      </c>
      <c r="D5" s="1770"/>
      <c r="E5" s="1770"/>
      <c r="F5" s="1765">
        <f>(C5+D5)-E5</f>
        <v>25161</v>
      </c>
      <c r="G5" s="676"/>
      <c r="H5" s="680"/>
      <c r="I5" s="680"/>
      <c r="J5" s="680"/>
      <c r="K5" s="637"/>
      <c r="L5" s="1442">
        <f>F5-K5</f>
        <v>25161</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8439365</v>
      </c>
      <c r="D8" s="1771">
        <v>293772</v>
      </c>
      <c r="E8" s="1771"/>
      <c r="F8" s="1765">
        <f>(C8+D8)-E8</f>
        <v>8733137</v>
      </c>
      <c r="G8" s="681">
        <v>50</v>
      </c>
      <c r="H8" s="619">
        <v>3224643</v>
      </c>
      <c r="I8" s="619">
        <v>174663</v>
      </c>
      <c r="J8" s="619"/>
      <c r="K8" s="1442">
        <f>(H8+I8)-J8</f>
        <v>3399306</v>
      </c>
      <c r="L8" s="1442">
        <f>F8-K8</f>
        <v>5333831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214641</v>
      </c>
      <c r="D10" s="1772">
        <v>175030</v>
      </c>
      <c r="E10" s="1772"/>
      <c r="F10" s="1773">
        <f>(C10+D10)-E10</f>
        <v>389671</v>
      </c>
      <c r="G10" s="681">
        <v>20</v>
      </c>
      <c r="H10" s="683">
        <v>91999</v>
      </c>
      <c r="I10" s="683">
        <v>18116</v>
      </c>
      <c r="J10" s="683"/>
      <c r="K10" s="1442">
        <f>(H10+I10)-J10</f>
        <v>110115</v>
      </c>
      <c r="L10" s="1442">
        <f>F10-K10</f>
        <v>279556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918712</v>
      </c>
      <c r="D12" s="1771">
        <v>76390</v>
      </c>
      <c r="E12" s="1771"/>
      <c r="F12" s="1765">
        <f>(C12+D12)-E12</f>
        <v>995102</v>
      </c>
      <c r="G12" s="681">
        <v>10</v>
      </c>
      <c r="H12" s="619">
        <v>698088</v>
      </c>
      <c r="I12" s="619">
        <v>44607</v>
      </c>
      <c r="J12" s="619"/>
      <c r="K12" s="1442">
        <f>(H12+I12)-J12</f>
        <v>742695</v>
      </c>
      <c r="L12" s="1442">
        <f>F12-K12</f>
        <v>252407</v>
      </c>
    </row>
    <row r="13" spans="1:14" ht="14.25" thickTop="1" thickBot="1" x14ac:dyDescent="0.25">
      <c r="A13" s="684" t="s">
        <v>1112</v>
      </c>
      <c r="B13" s="679">
        <v>252</v>
      </c>
      <c r="C13" s="1771">
        <v>176324</v>
      </c>
      <c r="D13" s="1771">
        <v>25575</v>
      </c>
      <c r="E13" s="1771"/>
      <c r="F13" s="1765">
        <f>(C13+D13)-E13</f>
        <v>201899</v>
      </c>
      <c r="G13" s="681">
        <v>5</v>
      </c>
      <c r="H13" s="619">
        <v>129014</v>
      </c>
      <c r="I13" s="619">
        <v>16943</v>
      </c>
      <c r="J13" s="619"/>
      <c r="K13" s="1442">
        <f>(H13+I13)-J13</f>
        <v>145957</v>
      </c>
      <c r="L13" s="1442">
        <f>F13-K13</f>
        <v>55942</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9774203</v>
      </c>
      <c r="D16" s="1765">
        <f>SUM(D3,D5:D6,D8:D10,D12:D15)</f>
        <v>570767</v>
      </c>
      <c r="E16" s="1765">
        <f>SUM(E3,E5:E6,E8:E10,E12:E15)</f>
        <v>0</v>
      </c>
      <c r="F16" s="1765">
        <f>SUM(F3,F5:F6,F8:F10,F12:F15)</f>
        <v>10344970</v>
      </c>
      <c r="G16" s="681"/>
      <c r="H16" s="1435">
        <f>SUM(H3,H6,H8:H10,H12:H14,)</f>
        <v>4143744</v>
      </c>
      <c r="I16" s="1435">
        <f>SUM(I3,I6,I8:I10,I12:I14,)</f>
        <v>254329</v>
      </c>
      <c r="J16" s="1435">
        <f>SUM(J3,J6,J8:J10,J12:J14,)</f>
        <v>0</v>
      </c>
      <c r="K16" s="1435">
        <f>(H16+I16)-J16</f>
        <v>4398073</v>
      </c>
      <c r="L16" s="1435">
        <f>F16-K16</f>
        <v>5946897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254329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7" colorId="8" zoomScale="110" zoomScaleNormal="110" workbookViewId="0">
      <selection activeCell="F167" sqref="F16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3376960</v>
      </c>
      <c r="G8" s="701"/>
    </row>
    <row r="9" spans="1:9" x14ac:dyDescent="0.2">
      <c r="A9" s="705" t="s">
        <v>457</v>
      </c>
      <c r="B9" s="706" t="s">
        <v>1848</v>
      </c>
      <c r="C9" s="707"/>
      <c r="D9" s="705" t="s">
        <v>498</v>
      </c>
      <c r="E9" s="704"/>
      <c r="F9" s="1775">
        <f>'Expenditures 15-22'!K151</f>
        <v>299418</v>
      </c>
      <c r="G9" s="708"/>
    </row>
    <row r="10" spans="1:9" x14ac:dyDescent="0.2">
      <c r="A10" s="705" t="s">
        <v>496</v>
      </c>
      <c r="B10" s="706" t="s">
        <v>1849</v>
      </c>
      <c r="C10" s="707"/>
      <c r="D10" s="705" t="s">
        <v>498</v>
      </c>
      <c r="E10" s="704"/>
      <c r="F10" s="1775">
        <f>'Expenditures 15-22'!K174</f>
        <v>359793</v>
      </c>
      <c r="G10" s="708"/>
    </row>
    <row r="11" spans="1:9" x14ac:dyDescent="0.2">
      <c r="A11" s="705" t="s">
        <v>458</v>
      </c>
      <c r="B11" s="706" t="s">
        <v>1850</v>
      </c>
      <c r="C11" s="707"/>
      <c r="D11" s="705" t="s">
        <v>498</v>
      </c>
      <c r="E11" s="704"/>
      <c r="F11" s="1775">
        <f>'Expenditures 15-22'!K210</f>
        <v>266094</v>
      </c>
      <c r="G11" s="708"/>
    </row>
    <row r="12" spans="1:9" x14ac:dyDescent="0.2">
      <c r="A12" s="705" t="s">
        <v>459</v>
      </c>
      <c r="B12" s="706" t="s">
        <v>1851</v>
      </c>
      <c r="C12" s="707"/>
      <c r="D12" s="705" t="s">
        <v>498</v>
      </c>
      <c r="E12" s="704"/>
      <c r="F12" s="1775">
        <f>'Expenditures 15-22'!K295</f>
        <v>128360</v>
      </c>
      <c r="G12" s="708"/>
    </row>
    <row r="13" spans="1:9" x14ac:dyDescent="0.2">
      <c r="A13" s="705" t="s">
        <v>106</v>
      </c>
      <c r="B13" s="706" t="s">
        <v>1852</v>
      </c>
      <c r="C13" s="707"/>
      <c r="D13" s="705" t="s">
        <v>498</v>
      </c>
      <c r="E13" s="704"/>
      <c r="F13" s="1775">
        <f>'Expenditures 15-22'!K342</f>
        <v>59914</v>
      </c>
      <c r="G13" s="709"/>
    </row>
    <row r="14" spans="1:9" ht="12" customHeight="1" thickBot="1" x14ac:dyDescent="0.25">
      <c r="A14" s="1443"/>
      <c r="B14" s="1444"/>
      <c r="C14" s="1445"/>
      <c r="D14" s="1446" t="s">
        <v>498</v>
      </c>
      <c r="E14" s="1447" t="s">
        <v>952</v>
      </c>
      <c r="F14" s="1776">
        <f>SUM(F8:F13)</f>
        <v>4490539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82648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1413</v>
      </c>
      <c r="G52" s="701"/>
    </row>
    <row r="53" spans="1:7" x14ac:dyDescent="0.2">
      <c r="A53" s="705" t="s">
        <v>456</v>
      </c>
      <c r="B53" s="705" t="s">
        <v>1458</v>
      </c>
      <c r="C53" s="724">
        <f>'Expenditures 15-22'!B102</f>
        <v>4000</v>
      </c>
      <c r="D53" s="723" t="str">
        <f>'Expenditures 15-22'!A102</f>
        <v>Total Payments to Other Govt Units</v>
      </c>
      <c r="E53" s="704"/>
      <c r="F53" s="1782">
        <f>'Expenditures 15-22'!K102</f>
        <v>97707</v>
      </c>
      <c r="G53" s="701"/>
    </row>
    <row r="54" spans="1:7" x14ac:dyDescent="0.2">
      <c r="A54" s="705" t="s">
        <v>456</v>
      </c>
      <c r="B54" s="705" t="s">
        <v>1459</v>
      </c>
      <c r="C54" s="724" t="s">
        <v>975</v>
      </c>
      <c r="D54" s="720" t="s">
        <v>1086</v>
      </c>
      <c r="E54" s="704"/>
      <c r="F54" s="1782">
        <f>'Expenditures 15-22'!G114</f>
        <v>11496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9897</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190000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95559</v>
      </c>
      <c r="G64" s="701"/>
    </row>
    <row r="65" spans="1:9" x14ac:dyDescent="0.2">
      <c r="A65" s="705" t="s">
        <v>458</v>
      </c>
      <c r="B65" s="705" t="s">
        <v>1861</v>
      </c>
      <c r="C65" s="721" t="s">
        <v>975</v>
      </c>
      <c r="D65" s="720" t="s">
        <v>1086</v>
      </c>
      <c r="E65" s="704"/>
      <c r="F65" s="1782">
        <f>'Expenditures 15-22'!G210</f>
        <v>25575</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11914</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46</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526255</v>
      </c>
      <c r="G77" s="701"/>
    </row>
    <row r="78" spans="1:9" s="728" customFormat="1" ht="12" customHeight="1" thickTop="1" thickBot="1" x14ac:dyDescent="0.25">
      <c r="A78" s="1450"/>
      <c r="B78" s="1448"/>
      <c r="C78" s="1445"/>
      <c r="D78" s="1449" t="s">
        <v>2012</v>
      </c>
      <c r="E78" s="1447"/>
      <c r="F78" s="1788">
        <f>(F14-F77)</f>
        <v>3964284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306.60000000000002</v>
      </c>
      <c r="G79" s="733"/>
      <c r="H79" s="705"/>
      <c r="I79" s="705"/>
    </row>
    <row r="80" spans="1:9" s="728" customFormat="1" ht="12" customHeight="1" thickBot="1" x14ac:dyDescent="0.25">
      <c r="A80" s="1452"/>
      <c r="B80" s="1448"/>
      <c r="C80" s="1445"/>
      <c r="D80" s="1449" t="s">
        <v>2013</v>
      </c>
      <c r="E80" s="1447" t="s">
        <v>952</v>
      </c>
      <c r="F80" s="1790">
        <f>IF(F79&gt;0,F78/F79," Complete Line 79")</f>
        <v>12929.823874755381</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27116</v>
      </c>
      <c r="G95" s="745"/>
    </row>
    <row r="96" spans="1:7" x14ac:dyDescent="0.2">
      <c r="A96" s="741" t="s">
        <v>139</v>
      </c>
      <c r="B96" s="741" t="s">
        <v>174</v>
      </c>
      <c r="C96" s="743">
        <v>1700</v>
      </c>
      <c r="D96" s="751" t="str">
        <f>'Revenues 9-14'!A82</f>
        <v>Total District/School Activity Income</v>
      </c>
      <c r="E96" s="739"/>
      <c r="F96" s="1793">
        <f>SUM('Revenues 9-14'!C82,'Revenues 9-14'!D82)</f>
        <v>14421</v>
      </c>
      <c r="G96" s="745"/>
    </row>
    <row r="97" spans="1:7" x14ac:dyDescent="0.2">
      <c r="A97" s="741" t="s">
        <v>456</v>
      </c>
      <c r="B97" s="741" t="s">
        <v>175</v>
      </c>
      <c r="C97" s="743">
        <f>'Revenues 9-14'!B84</f>
        <v>1811</v>
      </c>
      <c r="D97" s="744" t="str">
        <f>'Revenues 9-14'!A84</f>
        <v>Rentals - Regular Textbooks</v>
      </c>
      <c r="E97" s="739"/>
      <c r="F97" s="1793">
        <f>'Revenues 9-14'!C84</f>
        <v>10710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34712</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20343</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663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4509</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134600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15648</v>
      </c>
      <c r="G125" s="763"/>
    </row>
    <row r="126" spans="1:7" x14ac:dyDescent="0.2">
      <c r="A126" s="760" t="s">
        <v>659</v>
      </c>
      <c r="B126" s="760" t="s">
        <v>1930</v>
      </c>
      <c r="C126" s="765">
        <v>4200</v>
      </c>
      <c r="D126" s="762" t="str">
        <f>'Revenues 9-14'!A198</f>
        <v>Total Food Service</v>
      </c>
      <c r="E126" s="739"/>
      <c r="F126" s="1793">
        <f>SUM('Revenues 9-14'!C198,'Revenues 9-14'!G198)</f>
        <v>100046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88565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7167</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11150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24906</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545306</v>
      </c>
    </row>
    <row r="176" spans="1:7" ht="12" customHeight="1" x14ac:dyDescent="0.2">
      <c r="A176" s="1443"/>
      <c r="B176" s="1453"/>
      <c r="C176" s="1454"/>
      <c r="D176" s="1455" t="s">
        <v>2014</v>
      </c>
      <c r="E176" s="1456"/>
      <c r="F176" s="1793">
        <f>'PCTC-OEPP 27-28'!F78-F175</f>
        <v>3418978</v>
      </c>
    </row>
    <row r="177" spans="1:9" ht="12" customHeight="1" x14ac:dyDescent="0.2">
      <c r="A177" s="1443"/>
      <c r="B177" s="1453"/>
      <c r="C177" s="1454"/>
      <c r="D177" s="1455" t="s">
        <v>1794</v>
      </c>
      <c r="E177" s="1456"/>
      <c r="F177" s="1793">
        <f>'Cap Outlay Deprec 26'!I18</f>
        <v>254329</v>
      </c>
    </row>
    <row r="178" spans="1:9" ht="12" customHeight="1" x14ac:dyDescent="0.2">
      <c r="A178" s="1443"/>
      <c r="B178" s="1453"/>
      <c r="C178" s="1454"/>
      <c r="D178" s="1455" t="s">
        <v>2015</v>
      </c>
      <c r="E178" s="1456"/>
      <c r="F178" s="1793">
        <f>F176+F177</f>
        <v>3673307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306.60000000000002</v>
      </c>
      <c r="G179" s="763"/>
      <c r="I179" s="701"/>
    </row>
    <row r="180" spans="1:9" ht="12" customHeight="1" thickBot="1" x14ac:dyDescent="0.25">
      <c r="A180" s="1443"/>
      <c r="B180" s="1457"/>
      <c r="C180" s="1454"/>
      <c r="D180" s="1455" t="s">
        <v>2017</v>
      </c>
      <c r="E180" s="1456" t="s">
        <v>1528</v>
      </c>
      <c r="F180" s="1798">
        <f>F178/F179</f>
        <v>11980.779517286366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B20" sqref="B20"/>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2074</v>
      </c>
      <c r="B18" s="1908">
        <v>102540300</v>
      </c>
      <c r="C18" s="2036" t="s">
        <v>2068</v>
      </c>
      <c r="D18" s="1886">
        <v>8250</v>
      </c>
      <c r="E18" s="1906">
        <f t="shared" ref="E18:E81" si="0">IF(D18&lt;25000,D18,"25,000")</f>
        <v>8250</v>
      </c>
      <c r="F18" s="1906" t="str">
        <f>IF(D18&gt;=25000,(D18-E18),"0")</f>
        <v>0</v>
      </c>
      <c r="G18" s="1887"/>
    </row>
    <row r="19" spans="1:7" x14ac:dyDescent="0.25">
      <c r="A19" s="2035" t="s">
        <v>2074</v>
      </c>
      <c r="B19" s="1908">
        <v>102540300</v>
      </c>
      <c r="C19" s="2036" t="s">
        <v>2069</v>
      </c>
      <c r="D19" s="1886">
        <v>6482</v>
      </c>
      <c r="E19" s="1906">
        <f t="shared" si="0"/>
        <v>6482</v>
      </c>
      <c r="F19" s="1906" t="str">
        <f t="shared" ref="F19:F81" si="1">IF(D19&gt;=25000,(D19-E19),"0")</f>
        <v>0</v>
      </c>
    </row>
    <row r="20" spans="1:7" ht="30" x14ac:dyDescent="0.25">
      <c r="A20" s="2035" t="s">
        <v>2073</v>
      </c>
      <c r="B20" s="1908">
        <v>102540300</v>
      </c>
      <c r="C20" s="2036" t="s">
        <v>2070</v>
      </c>
      <c r="D20" s="1886">
        <v>2510</v>
      </c>
      <c r="E20" s="1906">
        <f t="shared" si="0"/>
        <v>2510</v>
      </c>
      <c r="F20" s="1906" t="str">
        <f t="shared" si="1"/>
        <v>0</v>
      </c>
    </row>
    <row r="21" spans="1:7" ht="30" x14ac:dyDescent="0.25">
      <c r="A21" s="2035" t="s">
        <v>2073</v>
      </c>
      <c r="B21" s="1908">
        <v>102540300</v>
      </c>
      <c r="C21" s="2036" t="s">
        <v>2071</v>
      </c>
      <c r="D21" s="1886">
        <v>815</v>
      </c>
      <c r="E21" s="1906">
        <f t="shared" si="0"/>
        <v>815</v>
      </c>
      <c r="F21" s="1906" t="str">
        <f t="shared" si="1"/>
        <v>0</v>
      </c>
    </row>
    <row r="22" spans="1:7" x14ac:dyDescent="0.25">
      <c r="A22" s="2035" t="s">
        <v>2072</v>
      </c>
      <c r="B22" s="1908">
        <v>402550300</v>
      </c>
      <c r="C22" s="2036" t="s">
        <v>2075</v>
      </c>
      <c r="D22" s="1886">
        <v>468</v>
      </c>
      <c r="E22" s="1906">
        <f t="shared" si="0"/>
        <v>468</v>
      </c>
      <c r="F22" s="1906" t="str">
        <f t="shared" si="1"/>
        <v>0</v>
      </c>
    </row>
    <row r="23" spans="1:7" x14ac:dyDescent="0.25">
      <c r="A23" s="2035" t="s">
        <v>2072</v>
      </c>
      <c r="B23" s="1908">
        <v>402550300</v>
      </c>
      <c r="C23" s="2036" t="s">
        <v>2076</v>
      </c>
      <c r="D23" s="1886">
        <v>518</v>
      </c>
      <c r="E23" s="1906">
        <f t="shared" si="0"/>
        <v>518</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19043</v>
      </c>
      <c r="E142" s="1893">
        <f>SUM(E18:E141)</f>
        <v>19043</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M11" sqref="M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11277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2387962</v>
      </c>
      <c r="F19" s="1802"/>
      <c r="G19" s="1804">
        <f>'Expenditures 15-22'!K33-SUM('Expenditures 15-22'!G33,'Expenditures 15-22'!I33)+'Expenditures 15-22'!D229</f>
        <v>2387962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145595</v>
      </c>
      <c r="F21" s="1805"/>
      <c r="G21" s="1808">
        <f>'Expenditures 15-22'!K42-SUM('Expenditures 15-22'!G42,'Expenditures 15-22'!I42)+'Expenditures 15-22'!K120-SUM('Expenditures 15-22'!G120,'Expenditures 15-22'!I120)+'Expenditures 15-22'!K180-SUM('Expenditures 15-22'!G180,'Expenditures 15-22'!I180)+'Expenditures 15-22'!D238</f>
        <v>145595</v>
      </c>
      <c r="H21" s="817"/>
      <c r="I21" s="157"/>
    </row>
    <row r="22" spans="1:9" s="542" customFormat="1" ht="12" customHeight="1" x14ac:dyDescent="0.2">
      <c r="A22" s="824" t="s">
        <v>560</v>
      </c>
      <c r="B22" s="825"/>
      <c r="C22" s="823">
        <v>2200</v>
      </c>
      <c r="D22" s="1805"/>
      <c r="E22" s="1807">
        <f>'Expenditures 15-22'!K47-SUM('Expenditures 15-22'!G47,'Expenditures 15-22'!I47)+'Expenditures 15-22'!D243</f>
        <v>41577</v>
      </c>
      <c r="F22" s="1805"/>
      <c r="G22" s="1808">
        <f>'Expenditures 15-22'!K47-SUM('Expenditures 15-22'!G47,'Expenditures 15-22'!I47)+'Expenditures 15-22'!D243</f>
        <v>41577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257254</v>
      </c>
      <c r="F23" s="1805"/>
      <c r="G23" s="1807">
        <f>'Expenditures 15-22'!K53-SUM('Expenditures 15-22'!G53,'Expenditures 15-22'!I53)+'Expenditures 15-22'!D257+'Expenditures 15-22'!K330-SUM('Expenditures 15-22'!G330,'Expenditures 15-22'!I330)</f>
        <v>257254</v>
      </c>
      <c r="H23" s="817"/>
      <c r="I23" s="157"/>
    </row>
    <row r="24" spans="1:9" s="542" customFormat="1" ht="12" customHeight="1" x14ac:dyDescent="0.2">
      <c r="A24" s="824" t="s">
        <v>562</v>
      </c>
      <c r="B24" s="825"/>
      <c r="C24" s="823">
        <v>2400</v>
      </c>
      <c r="D24" s="1805"/>
      <c r="E24" s="1807">
        <f>'Expenditures 15-22'!K57-SUM('Expenditures 15-22'!G57,'Expenditures 15-22'!I57)+'Expenditures 15-22'!D261</f>
        <v>237936</v>
      </c>
      <c r="F24" s="1805"/>
      <c r="G24" s="1808">
        <f>'Expenditures 15-22'!K57-SUM('Expenditures 15-22'!G57,'Expenditures 15-22'!I57)+'Expenditures 15-22'!D261</f>
        <v>237936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55392</v>
      </c>
      <c r="E27" s="1807">
        <f>E8</f>
        <v>0</v>
      </c>
      <c r="F27" s="1807">
        <f>'Expenditures 15-22'!K60-SUM('Expenditures 15-22'!G60,'Expenditures 15-22'!I60)+'Expenditures 15-22'!D264-E8</f>
        <v>55392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418978</v>
      </c>
      <c r="F28" s="1809">
        <f>'Expenditures 15-22'!K61-SUM('Expenditures 15-22'!G61,'Expenditures 15-22'!I61)+'Expenditures 15-22'!K124-SUM('Expenditures 15-22'!G124,'Expenditures 15-22'!I124)+'Expenditures 15-22'!D266-E9</f>
        <v>418978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159088</v>
      </c>
      <c r="F29" s="1805"/>
      <c r="G29" s="1808">
        <f>'Expenditures 15-22'!K62-SUM('Expenditures 15-22'!G62,'Expenditures 15-22'!I62)+'Expenditures 15-22'!K125-SUM('Expenditures 15-22'!G125,'Expenditures 15-22'!I125)+'Expenditures 15-22'!K182-SUM('Expenditures 15-22'!G182,'Expenditures 15-22'!I182)+'Expenditures 15-22'!D267</f>
        <v>159088</v>
      </c>
      <c r="H29" s="815"/>
    </row>
    <row r="30" spans="1:9" ht="12" customHeight="1" x14ac:dyDescent="0.2">
      <c r="A30" s="824" t="s">
        <v>100</v>
      </c>
      <c r="B30" s="827"/>
      <c r="C30" s="823">
        <v>2560</v>
      </c>
      <c r="D30" s="1805"/>
      <c r="E30" s="1807">
        <f>'Expenditures 15-22'!K63-SUM('Expenditures 15-22'!G63,'Expenditures 15-22'!I63)+'Expenditures 15-22'!D268-E10</f>
        <v>156993</v>
      </c>
      <c r="F30" s="1805"/>
      <c r="G30" s="1807">
        <f>'Expenditures 15-22'!K63-SUM('Expenditures 15-22'!G63,'Expenditures 15-22'!I63)+'Expenditures 15-22'!D268-E10</f>
        <v>156993</v>
      </c>
    </row>
    <row r="31" spans="1:9" ht="12" customHeight="1" x14ac:dyDescent="0.2">
      <c r="A31" s="824" t="s">
        <v>101</v>
      </c>
      <c r="B31" s="827"/>
      <c r="C31" s="823">
        <v>2570</v>
      </c>
      <c r="D31" s="1807">
        <f>'Expenditures 15-22'!K64-SUM('Expenditures 15-22'!G64,'Expenditures 15-22'!I64)+'Expenditures 15-22'!D269-E12</f>
        <v>3323</v>
      </c>
      <c r="E31" s="1807">
        <f>E12</f>
        <v>0</v>
      </c>
      <c r="F31" s="1807">
        <f>'Expenditures 15-22'!K64-SUM('Expenditures 15-22'!G64,'Expenditures 15-22'!I64)+'Expenditures 15-22'!D269-E12</f>
        <v>3323</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24955</v>
      </c>
      <c r="E36" s="1807">
        <f>E13</f>
        <v>0</v>
      </c>
      <c r="F36" s="1807">
        <f>'Expenditures 15-22'!K70-SUM('Expenditures 15-22'!G70,'Expenditures 15-22'!I70)+'Expenditures 15-22'!D275-E13</f>
        <v>24955</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1459</v>
      </c>
      <c r="F39" s="1805"/>
      <c r="G39" s="1807">
        <f>'Expenditures 15-22'!K75-SUM('Expenditures 15-22'!G75,'Expenditures 15-22'!I75)+'Expenditures 15-22'!K130-SUM('Expenditures 15-22'!G130,'Expenditures 15-22'!I130)+'Expenditures 15-22'!K185-SUM('Expenditures 15-22'!G185,'Expenditures 15-22'!I185)+'Expenditures 15-22'!D280</f>
        <v>1459</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83670</v>
      </c>
      <c r="E41" s="1809">
        <f>SUM(E19:E40)</f>
        <v>3806842</v>
      </c>
      <c r="F41" s="1809">
        <f>SUM(F19:F39)</f>
        <v>502648</v>
      </c>
      <c r="G41" s="1809">
        <f>SUM(G19:G40)</f>
        <v>3387864</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83670</v>
      </c>
      <c r="F43" s="1458" t="s">
        <v>470</v>
      </c>
      <c r="G43" s="1810">
        <f>F41</f>
        <v>502648</v>
      </c>
    </row>
    <row r="44" spans="1:7" ht="12" customHeight="1" x14ac:dyDescent="0.2">
      <c r="A44" s="817"/>
      <c r="B44" s="157"/>
      <c r="C44" s="831"/>
      <c r="D44" s="1458" t="s">
        <v>471</v>
      </c>
      <c r="E44" s="1810">
        <f>E41</f>
        <v>3806842</v>
      </c>
      <c r="F44" s="1458" t="s">
        <v>471</v>
      </c>
      <c r="G44" s="1810">
        <f>G41</f>
        <v>3387864</v>
      </c>
    </row>
    <row r="45" spans="1:7" ht="12" customHeight="1" x14ac:dyDescent="0.2">
      <c r="A45" s="817"/>
      <c r="B45" s="157"/>
      <c r="C45" s="157"/>
      <c r="D45" s="1459" t="s">
        <v>999</v>
      </c>
      <c r="E45" s="1811">
        <f>(E43/E44)</f>
        <v>2.1978847559210497E-2</v>
      </c>
      <c r="F45" s="1459" t="s">
        <v>999</v>
      </c>
      <c r="G45" s="1811">
        <f>(G43/G44)</f>
        <v>0.14836723079793049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7" zoomScale="110" zoomScaleNormal="110" workbookViewId="0">
      <selection sqref="A1: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Waverly CUSD 6</v>
      </c>
      <c r="D6" s="2415"/>
      <c r="E6" s="2415"/>
      <c r="F6" s="1482"/>
      <c r="G6" s="1507"/>
      <c r="L6" s="1507"/>
      <c r="M6" s="1855"/>
      <c r="N6" s="1855"/>
      <c r="O6" s="1855"/>
    </row>
    <row r="7" spans="1:15" ht="11.25" customHeight="1" thickBot="1" x14ac:dyDescent="0.3">
      <c r="A7" s="1480"/>
      <c r="B7" s="1481"/>
      <c r="C7" s="2416">
        <f>COVER!A13</f>
        <v>1069006026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c r="F13" s="1497" t="s">
        <v>2077</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t="s">
        <v>2051</v>
      </c>
      <c r="D27" s="1495" t="s">
        <v>2051</v>
      </c>
      <c r="E27" s="1498"/>
      <c r="F27" s="1497" t="s">
        <v>2078</v>
      </c>
      <c r="G27" s="1507"/>
      <c r="H27" s="1507">
        <f t="shared" si="0"/>
        <v>5</v>
      </c>
      <c r="I27" s="1507">
        <f t="shared" si="1"/>
        <v>5</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2079</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2051</v>
      </c>
      <c r="D32" s="1495" t="s">
        <v>2051</v>
      </c>
      <c r="E32" s="1498"/>
      <c r="F32" s="1497" t="s">
        <v>2080</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5" zoomScaleNormal="100" workbookViewId="0">
      <selection activeCell="M66" sqref="M66"/>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Waverly CUSD 6</v>
      </c>
      <c r="K6" s="2437"/>
      <c r="L6" s="2451"/>
      <c r="M6" s="838"/>
      <c r="N6" s="1998"/>
    </row>
    <row r="7" spans="1:14" x14ac:dyDescent="0.2">
      <c r="A7" s="2452" t="s">
        <v>864</v>
      </c>
      <c r="B7" s="2453"/>
      <c r="C7" s="2453"/>
      <c r="D7" s="2453"/>
      <c r="E7" s="2454"/>
      <c r="F7" s="839"/>
      <c r="G7" s="838"/>
      <c r="H7" s="838"/>
      <c r="I7" s="1924" t="s">
        <v>369</v>
      </c>
      <c r="J7" s="2439">
        <f>COVER!A13</f>
        <v>1069006026</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123062</v>
      </c>
      <c r="F12" s="1942"/>
      <c r="G12" s="1968">
        <f>G68</f>
        <v>0</v>
      </c>
      <c r="H12" s="1944">
        <f t="shared" ref="H12:H18" si="0">SUM(E12:G12)</f>
        <v>123062</v>
      </c>
      <c r="I12" s="1943">
        <v>123075</v>
      </c>
      <c r="J12" s="1942"/>
      <c r="K12" s="1943"/>
      <c r="L12" s="1944">
        <f t="shared" ref="L12:L18" si="1">SUM(I12:K12)</f>
        <v>123075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3323</v>
      </c>
      <c r="F16" s="1942"/>
      <c r="G16" s="1968">
        <f>K68</f>
        <v>0</v>
      </c>
      <c r="H16" s="1944">
        <f t="shared" si="0"/>
        <v>3323</v>
      </c>
      <c r="I16" s="1943">
        <v>3324</v>
      </c>
      <c r="J16" s="1942"/>
      <c r="K16" s="1943"/>
      <c r="L16" s="1944">
        <f t="shared" si="1"/>
        <v>3324</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126385</v>
      </c>
      <c r="F19" s="1950">
        <f t="shared" si="2"/>
        <v>0</v>
      </c>
      <c r="G19" s="1950">
        <f t="shared" ref="G19" si="3">SUM(G12:G17)-G18</f>
        <v>0</v>
      </c>
      <c r="H19" s="1950">
        <f t="shared" si="2"/>
        <v>126385</v>
      </c>
      <c r="I19" s="1950">
        <f t="shared" si="2"/>
        <v>126399</v>
      </c>
      <c r="J19" s="1950">
        <f t="shared" si="2"/>
        <v>0</v>
      </c>
      <c r="K19" s="1950">
        <f t="shared" si="2"/>
        <v>0</v>
      </c>
      <c r="L19" s="1950">
        <f t="shared" si="2"/>
        <v>126399</v>
      </c>
      <c r="M19" s="838"/>
      <c r="N19" s="1998"/>
    </row>
    <row r="20" spans="1:14" ht="13.5" thickTop="1" x14ac:dyDescent="0.2">
      <c r="A20" s="2003">
        <v>9</v>
      </c>
      <c r="B20" s="2461" t="s">
        <v>2021</v>
      </c>
      <c r="C20" s="2461"/>
      <c r="D20" s="2462"/>
      <c r="E20" s="1951"/>
      <c r="F20" s="1951"/>
      <c r="G20" s="1951"/>
      <c r="H20" s="1951"/>
      <c r="I20" s="1951"/>
      <c r="J20" s="1951"/>
      <c r="K20" s="1951"/>
      <c r="L20" s="1952">
        <f>IF(AND(H19&gt;0,L19&gt;0),(((L19-H19)/H19)),"Enter Budget Data")</f>
        <v>1.1077263915812794E-4</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Waverly CUSD 6</v>
      </c>
      <c r="M52" s="2437"/>
      <c r="N52" s="2438"/>
    </row>
    <row r="53" spans="1:14" x14ac:dyDescent="0.2">
      <c r="A53" s="1982"/>
      <c r="B53" s="1983"/>
      <c r="C53" s="1983"/>
      <c r="D53" s="1983"/>
      <c r="E53" s="1983"/>
      <c r="F53" s="1983"/>
      <c r="G53" s="1983"/>
      <c r="H53" s="1983"/>
      <c r="I53" s="1983"/>
      <c r="J53" s="1983"/>
      <c r="K53" s="1924" t="s">
        <v>369</v>
      </c>
      <c r="L53" s="2439">
        <f>J7</f>
        <v>1069006026</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19" t="s">
        <v>297</v>
      </c>
      <c r="B59" s="2420"/>
      <c r="C59" s="242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19" t="s">
        <v>236</v>
      </c>
      <c r="B60" s="2420"/>
      <c r="C60" s="2420"/>
      <c r="D60" s="1967">
        <v>2364</v>
      </c>
      <c r="E60" s="1977">
        <f>'Expenditures 15-22'!K322</f>
        <v>56002</v>
      </c>
      <c r="F60" s="1972"/>
      <c r="G60" s="2031"/>
      <c r="H60" s="2032"/>
      <c r="I60" s="2032"/>
      <c r="J60" s="2032"/>
      <c r="K60" s="2032"/>
      <c r="L60" s="2032"/>
      <c r="M60" s="2032">
        <v>56002</v>
      </c>
      <c r="N60" s="1975">
        <f t="shared" ref="N60:N67" si="4">IF((SUM(G60:M60))=E60,SUM(G60:M60),"Column N does not agree with Column E")</f>
        <v>56002</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0</v>
      </c>
      <c r="F63" s="1972"/>
      <c r="G63" s="2031"/>
      <c r="H63" s="2032"/>
      <c r="I63" s="2032"/>
      <c r="J63" s="2032"/>
      <c r="K63" s="2032"/>
      <c r="L63" s="2032"/>
      <c r="M63" s="2032"/>
      <c r="N63" s="1975">
        <f t="shared" si="4"/>
        <v>0</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3912</v>
      </c>
      <c r="F65" s="1972"/>
      <c r="G65" s="2031"/>
      <c r="H65" s="2032"/>
      <c r="I65" s="2032"/>
      <c r="J65" s="2032"/>
      <c r="K65" s="2032"/>
      <c r="L65" s="2032"/>
      <c r="M65" s="2032">
        <v>3912</v>
      </c>
      <c r="N65" s="1975">
        <f t="shared" si="4"/>
        <v>3912</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2042</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59914</v>
      </c>
      <c r="F68" s="1973"/>
      <c r="G68" s="1974">
        <f t="shared" ref="G68:N68" si="5">SUM(G57:G67)</f>
        <v>0</v>
      </c>
      <c r="H68" s="1974">
        <f t="shared" si="5"/>
        <v>0</v>
      </c>
      <c r="I68" s="1974">
        <f t="shared" si="5"/>
        <v>0</v>
      </c>
      <c r="J68" s="1974">
        <f t="shared" si="5"/>
        <v>0</v>
      </c>
      <c r="K68" s="1974">
        <f t="shared" si="5"/>
        <v>0</v>
      </c>
      <c r="L68" s="1974">
        <f t="shared" si="5"/>
        <v>0</v>
      </c>
      <c r="M68" s="1974">
        <f t="shared" si="5"/>
        <v>59914</v>
      </c>
      <c r="N68" s="1988">
        <f t="shared" si="5"/>
        <v>59914</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2" sqref="B1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2081</v>
      </c>
    </row>
    <row r="6" spans="1:2" x14ac:dyDescent="0.2">
      <c r="A6" s="847">
        <v>2</v>
      </c>
      <c r="B6" s="307" t="s">
        <v>2082</v>
      </c>
    </row>
    <row r="7" spans="1:2" x14ac:dyDescent="0.2">
      <c r="A7" s="847">
        <v>3</v>
      </c>
      <c r="B7" s="307" t="s">
        <v>2083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Waverly CUSD 6</v>
      </c>
    </row>
    <row r="65" spans="2:2" x14ac:dyDescent="0.2">
      <c r="B65" s="849">
        <f>COVER!A13</f>
        <v>1069006026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9"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1" sqref="C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Exch.Document.DC" dvAspect="DVASPECT_ICON" shapeId="43012"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43012" r:id="rId4"/>
      </mc:Fallback>
    </mc:AlternateContent>
    <mc:AlternateContent xmlns:mc="http://schemas.openxmlformats.org/markup-compatibility/2006">
      <mc:Choice Requires="x14">
        <oleObject progId="AcroExch.Document.DC" dvAspect="DVASPECT_ICON" shapeId="43013" r:id="rId6">
          <objectPr defaultSize="0" r:id="rId7">
            <anchor moveWithCells="1">
              <from>
                <xdr:col>1</xdr:col>
                <xdr:colOff>1143000</xdr:colOff>
                <xdr:row>1</xdr:row>
                <xdr:rowOff>9525</xdr:rowOff>
              </from>
              <to>
                <xdr:col>1</xdr:col>
                <xdr:colOff>2057400</xdr:colOff>
                <xdr:row>5</xdr:row>
                <xdr:rowOff>47625</xdr:rowOff>
              </to>
            </anchor>
          </objectPr>
        </oleObject>
      </mc:Choice>
      <mc:Fallback>
        <oleObject progId="AcroExch.Document.DC" dvAspect="DVASPECT_ICON" shapeId="43013" r:id="rId6"/>
      </mc:Fallback>
    </mc:AlternateContent>
    <mc:AlternateContent xmlns:mc="http://schemas.openxmlformats.org/markup-compatibility/2006">
      <mc:Choice Requires="x14">
        <oleObject progId="AcroExch.Document.DC" dvAspect="DVASPECT_ICON" shapeId="43014" r:id="rId8">
          <objectPr defaultSize="0" r:id="rId9">
            <anchor moveWithCells="1">
              <from>
                <xdr:col>1</xdr:col>
                <xdr:colOff>2238375</xdr:colOff>
                <xdr:row>1</xdr:row>
                <xdr:rowOff>19050</xdr:rowOff>
              </from>
              <to>
                <xdr:col>1</xdr:col>
                <xdr:colOff>3152775</xdr:colOff>
                <xdr:row>5</xdr:row>
                <xdr:rowOff>57150</xdr:rowOff>
              </to>
            </anchor>
          </objectPr>
        </oleObject>
      </mc:Choice>
      <mc:Fallback>
        <oleObject progId="AcroExch.Document.DC" dvAspect="DVASPECT_ICON" shapeId="43014" r:id="rId8"/>
      </mc:Fallback>
    </mc:AlternateContent>
    <mc:AlternateContent xmlns:mc="http://schemas.openxmlformats.org/markup-compatibility/2006">
      <mc:Choice Requires="x14">
        <oleObject progId="AcroExch.Document.DC" dvAspect="DVASPECT_ICON" shapeId="43015" r:id="rId10">
          <objectPr defaultSize="0" r:id="rId11">
            <anchor moveWithCells="1">
              <from>
                <xdr:col>1</xdr:col>
                <xdr:colOff>0</xdr:colOff>
                <xdr:row>7</xdr:row>
                <xdr:rowOff>0</xdr:rowOff>
              </from>
              <to>
                <xdr:col>1</xdr:col>
                <xdr:colOff>914400</xdr:colOff>
                <xdr:row>11</xdr:row>
                <xdr:rowOff>38100</xdr:rowOff>
              </to>
            </anchor>
          </objectPr>
        </oleObject>
      </mc:Choice>
      <mc:Fallback>
        <oleObject progId="AcroExch.Document.DC" dvAspect="DVASPECT_ICON" shapeId="4301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2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3407253</v>
      </c>
      <c r="C8" s="1813">
        <f>'Acct Summary 7-8'!D8</f>
        <v>425693</v>
      </c>
      <c r="D8" s="1813">
        <f>'Acct Summary 7-8'!F8</f>
        <v>321380</v>
      </c>
      <c r="E8" s="1813">
        <f>'Acct Summary 7-8'!I8</f>
        <v>22957</v>
      </c>
      <c r="F8" s="1813">
        <f>SUM(B8:E8)</f>
        <v>4177283</v>
      </c>
    </row>
    <row r="9" spans="1:8" s="858" customFormat="1" ht="14.25" customHeight="1" thickBot="1" x14ac:dyDescent="0.25">
      <c r="A9" s="857" t="s">
        <v>1353</v>
      </c>
      <c r="B9" s="1814">
        <f>'Acct Summary 7-8'!C17</f>
        <v>3376960</v>
      </c>
      <c r="C9" s="1814">
        <f>'Acct Summary 7-8'!D17</f>
        <v>299418</v>
      </c>
      <c r="D9" s="1814">
        <f>'Acct Summary 7-8'!F17</f>
        <v>266094</v>
      </c>
      <c r="E9" s="1813"/>
      <c r="F9" s="1813">
        <f>SUM(B9:E9)</f>
        <v>3942472</v>
      </c>
    </row>
    <row r="10" spans="1:8" s="858" customFormat="1" ht="14.25" thickTop="1" thickBot="1" x14ac:dyDescent="0.25">
      <c r="A10" s="859" t="s">
        <v>1354</v>
      </c>
      <c r="B10" s="1815">
        <f>(B8-B9)</f>
        <v>30293</v>
      </c>
      <c r="C10" s="1815">
        <f>(C8-C9)</f>
        <v>126275</v>
      </c>
      <c r="D10" s="1815">
        <f>(D8-D9)</f>
        <v>55286</v>
      </c>
      <c r="E10" s="1814">
        <f>(E8-E9)</f>
        <v>22957</v>
      </c>
      <c r="F10" s="1816">
        <f>SUM(F8-F9)</f>
        <v>234811</v>
      </c>
    </row>
    <row r="11" spans="1:8" s="858" customFormat="1" ht="14.25" thickTop="1" thickBot="1" x14ac:dyDescent="0.25">
      <c r="A11" s="860" t="s">
        <v>1903</v>
      </c>
      <c r="B11" s="1817">
        <f>'Acct Summary 7-8'!C81</f>
        <v>1928651</v>
      </c>
      <c r="C11" s="1817">
        <f>'Acct Summary 7-8'!D81</f>
        <v>681267</v>
      </c>
      <c r="D11" s="1817">
        <f>'Acct Summary 7-8'!F81</f>
        <v>638227</v>
      </c>
      <c r="E11" s="1817">
        <f>'Acct Summary 7-8'!I81</f>
        <v>2056054</v>
      </c>
      <c r="F11" s="1818">
        <f>SUM(B11:E11)</f>
        <v>5304199</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D59" sqref="D5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1069006026</v>
      </c>
      <c r="E2" s="1542">
        <v>2020</v>
      </c>
      <c r="F2" s="1542">
        <v>1</v>
      </c>
      <c r="G2" s="1899">
        <v>101000300</v>
      </c>
    </row>
    <row r="3" spans="1:7" ht="15" x14ac:dyDescent="0.25">
      <c r="A3" t="s">
        <v>950</v>
      </c>
      <c r="B3" s="135" t="str">
        <f>COVER!A15</f>
        <v>Morgan</v>
      </c>
      <c r="E3" s="1830" t="s">
        <v>1971</v>
      </c>
      <c r="F3" s="1830" t="s">
        <v>1970</v>
      </c>
      <c r="G3" s="1899">
        <v>101000400</v>
      </c>
    </row>
    <row r="4" spans="1:7" ht="15" x14ac:dyDescent="0.25">
      <c r="A4" t="s">
        <v>1000</v>
      </c>
      <c r="B4" s="135" t="str">
        <f>COVER!A17</f>
        <v xml:space="preserve"> Waverly CUSD 6</v>
      </c>
      <c r="E4" s="1828">
        <v>44119</v>
      </c>
      <c r="F4" s="1829">
        <v>44151</v>
      </c>
      <c r="G4" s="1899">
        <v>101000600</v>
      </c>
    </row>
    <row r="5" spans="1:7" ht="15" x14ac:dyDescent="0.25">
      <c r="A5" t="s">
        <v>699</v>
      </c>
      <c r="B5" s="135">
        <f>COVER!A38</f>
        <v>0</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066-004750</v>
      </c>
      <c r="G15" s="1899">
        <v>402100400</v>
      </c>
    </row>
    <row r="16" spans="1:7" ht="15" x14ac:dyDescent="0.25">
      <c r="A16" t="s">
        <v>419</v>
      </c>
      <c r="B16" s="135" t="str">
        <f>COVER!T13</f>
        <v>Hughes, Cameron &amp; Company, LLC</v>
      </c>
      <c r="G16" s="1899">
        <v>402100600</v>
      </c>
    </row>
    <row r="17" spans="1:7" ht="15" x14ac:dyDescent="0.25">
      <c r="A17" t="s">
        <v>878</v>
      </c>
      <c r="B17" s="135" t="str">
        <f>COVER!T15</f>
        <v>Amie Pranaitis</v>
      </c>
      <c r="G17" s="1899">
        <v>402100800</v>
      </c>
    </row>
    <row r="18" spans="1:7" ht="15" x14ac:dyDescent="0.25">
      <c r="A18" t="s">
        <v>1140</v>
      </c>
      <c r="B18" s="135" t="str">
        <f>COVER!T17</f>
        <v>386 S. Koke Mill RD.</v>
      </c>
      <c r="G18" s="1899">
        <v>102200300</v>
      </c>
    </row>
    <row r="19" spans="1:7" ht="15" x14ac:dyDescent="0.25">
      <c r="A19" t="s">
        <v>880</v>
      </c>
      <c r="B19" s="135" t="str">
        <f>COVER!T25</f>
        <v>apranaitis@hughescpas.com</v>
      </c>
      <c r="G19" s="1899">
        <v>102200400</v>
      </c>
    </row>
    <row r="20" spans="1:7" ht="15" x14ac:dyDescent="0.25">
      <c r="A20" t="s">
        <v>881</v>
      </c>
      <c r="B20" s="135" t="str">
        <f>COVER!T19</f>
        <v>Springfield</v>
      </c>
      <c r="G20" s="1899">
        <v>102200600</v>
      </c>
    </row>
    <row r="21" spans="1:7" ht="15" x14ac:dyDescent="0.25">
      <c r="A21" t="s">
        <v>476</v>
      </c>
      <c r="B21" s="135" t="str">
        <f>COVER!X19</f>
        <v>IL</v>
      </c>
      <c r="G21" s="1899">
        <v>102200800</v>
      </c>
    </row>
    <row r="22" spans="1:7" ht="15" x14ac:dyDescent="0.25">
      <c r="A22" t="s">
        <v>882</v>
      </c>
      <c r="B22" s="135">
        <f>COVER!Z19</f>
        <v>62711</v>
      </c>
      <c r="G22" s="1899">
        <v>102300300</v>
      </c>
    </row>
    <row r="23" spans="1:7" ht="15" x14ac:dyDescent="0.25">
      <c r="A23" t="s">
        <v>1142</v>
      </c>
      <c r="B23" s="135" t="str">
        <f>COVER!T21</f>
        <v>(217) 787-8822</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37622</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624976</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1927450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-1201</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-1201</v>
      </c>
      <c r="C91" s="2" t="s">
        <v>569</v>
      </c>
      <c r="D91" s="2" t="str">
        <f t="shared" si="0"/>
        <v>Error?</v>
      </c>
      <c r="G91" s="1899">
        <v>102640400</v>
      </c>
    </row>
    <row r="92" spans="1:7" ht="15" x14ac:dyDescent="0.25">
      <c r="A92" s="5">
        <v>31</v>
      </c>
      <c r="B92" s="1832">
        <f>'Assets-Liab 5-6'!C39</f>
        <v>1928651</v>
      </c>
      <c r="D92" s="2" t="str">
        <f t="shared" si="0"/>
        <v>Error?</v>
      </c>
      <c r="G92" s="1899">
        <v>102640600</v>
      </c>
    </row>
    <row r="93" spans="1:7" ht="15" x14ac:dyDescent="0.25">
      <c r="A93" s="5">
        <v>32</v>
      </c>
      <c r="B93" s="1832">
        <f>'Assets-Liab 5-6'!C41</f>
        <v>1927450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121763</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673017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-8250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-8250</v>
      </c>
      <c r="C122" s="2" t="s">
        <v>569</v>
      </c>
      <c r="D122" s="2" t="str">
        <f t="shared" si="0"/>
        <v>Error?</v>
      </c>
      <c r="G122" s="1899">
        <v>203000300</v>
      </c>
    </row>
    <row r="123" spans="1:7" ht="15" x14ac:dyDescent="0.25">
      <c r="A123" s="5">
        <v>62</v>
      </c>
      <c r="B123" s="1832">
        <f>'Assets-Liab 5-6'!D39</f>
        <v>681267</v>
      </c>
      <c r="D123" s="2" t="str">
        <f t="shared" si="0"/>
        <v>Error?</v>
      </c>
      <c r="G123" s="1899">
        <v>203000400</v>
      </c>
    </row>
    <row r="124" spans="1:7" ht="15" x14ac:dyDescent="0.25">
      <c r="A124" s="5">
        <v>63</v>
      </c>
      <c r="B124" s="1832">
        <f>'Assets-Liab 5-6'!D41</f>
        <v>673017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41159</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238840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177760</v>
      </c>
      <c r="D140" s="2" t="str">
        <f t="shared" si="1"/>
        <v>Error?</v>
      </c>
    </row>
    <row r="141" spans="1:7" x14ac:dyDescent="0.2">
      <c r="A141" s="5">
        <v>80</v>
      </c>
      <c r="B141" s="1832">
        <f>'Assets-Liab 5-6'!E41</f>
        <v>238840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91426</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636227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-2000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-2000</v>
      </c>
      <c r="C169" s="2" t="s">
        <v>569</v>
      </c>
      <c r="D169" s="2" t="str">
        <f t="shared" si="1"/>
        <v>Error?</v>
      </c>
    </row>
    <row r="170" spans="1:4" x14ac:dyDescent="0.2">
      <c r="A170" s="5">
        <v>109</v>
      </c>
      <c r="B170" s="1832">
        <f>'Assets-Liab 5-6'!F39</f>
        <v>638227</v>
      </c>
      <c r="D170" s="2" t="str">
        <f t="shared" si="1"/>
        <v>Error?</v>
      </c>
    </row>
    <row r="171" spans="1:4" x14ac:dyDescent="0.2">
      <c r="A171" s="5">
        <v>110</v>
      </c>
      <c r="B171" s="1832">
        <f>'Assets-Liab 5-6'!F41</f>
        <v>636227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79732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-66</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-66</v>
      </c>
      <c r="C188" s="2" t="s">
        <v>569</v>
      </c>
      <c r="D188" s="2" t="str">
        <f t="shared" si="1"/>
        <v>Error?</v>
      </c>
    </row>
    <row r="189" spans="1:4" x14ac:dyDescent="0.2">
      <c r="A189" s="5">
        <v>128</v>
      </c>
      <c r="B189" s="1832">
        <f>'Assets-Liab 5-6'!G39</f>
        <v>79798</v>
      </c>
      <c r="D189" s="2" t="str">
        <f t="shared" si="1"/>
        <v>Error?</v>
      </c>
    </row>
    <row r="190" spans="1:4" x14ac:dyDescent="0.2">
      <c r="A190" s="5">
        <v>129</v>
      </c>
      <c r="B190" s="1832">
        <f>'Assets-Liab 5-6'!G41</f>
        <v>79732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83967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83967</v>
      </c>
      <c r="D212" s="2" t="str">
        <f t="shared" si="2"/>
        <v>Error?</v>
      </c>
    </row>
    <row r="213" spans="1:4" x14ac:dyDescent="0.2">
      <c r="A213" s="12">
        <v>152</v>
      </c>
      <c r="B213" s="1832">
        <f>'Assets-Liab 5-6'!H41</f>
        <v>83967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25161</v>
      </c>
      <c r="D273" s="2" t="str">
        <f t="shared" si="3"/>
        <v>Error?</v>
      </c>
    </row>
    <row r="274" spans="1:4" x14ac:dyDescent="0.2">
      <c r="A274" s="5">
        <v>213</v>
      </c>
      <c r="B274" s="1832">
        <f>'Assets-Liab 5-6'!M17</f>
        <v>8733137</v>
      </c>
      <c r="D274" s="2" t="str">
        <f t="shared" si="3"/>
        <v>Error?</v>
      </c>
    </row>
    <row r="275" spans="1:4" x14ac:dyDescent="0.2">
      <c r="A275" s="5">
        <v>214</v>
      </c>
      <c r="B275" s="1832">
        <f>'Assets-Liab 5-6'!M18</f>
        <v>389670</v>
      </c>
      <c r="D275" s="2" t="str">
        <f t="shared" si="3"/>
        <v>Error?</v>
      </c>
    </row>
    <row r="276" spans="1:4" x14ac:dyDescent="0.2">
      <c r="A276" s="5">
        <v>215</v>
      </c>
      <c r="B276" s="1832">
        <f>'Assets-Liab 5-6'!M19</f>
        <v>1197002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10344970</v>
      </c>
      <c r="C279" s="2" t="s">
        <v>569</v>
      </c>
      <c r="D279" s="2" t="str">
        <f t="shared" si="3"/>
        <v>Error?</v>
      </c>
    </row>
    <row r="280" spans="1:4" x14ac:dyDescent="0.2">
      <c r="A280" s="5">
        <v>219</v>
      </c>
      <c r="B280" s="1832">
        <f>'Assets-Liab 5-6'!M40</f>
        <v>10344970</v>
      </c>
      <c r="D280" s="2" t="str">
        <f t="shared" si="3"/>
        <v>Error?</v>
      </c>
    </row>
    <row r="281" spans="1:4" x14ac:dyDescent="0.2">
      <c r="A281" s="5">
        <v>220</v>
      </c>
      <c r="B281" s="1832">
        <f>'Assets-Liab 5-6'!M41</f>
        <v>10344970</v>
      </c>
      <c r="C281" s="2" t="s">
        <v>569</v>
      </c>
      <c r="D281" s="2" t="str">
        <f t="shared" si="3"/>
        <v>Error?</v>
      </c>
    </row>
    <row r="282" spans="1:4" x14ac:dyDescent="0.2">
      <c r="A282" s="5">
        <v>221</v>
      </c>
      <c r="B282" s="1832">
        <f>'Assets-Liab 5-6'!N21</f>
        <v>238840</v>
      </c>
      <c r="D282" s="2" t="str">
        <f t="shared" si="3"/>
        <v>Error?</v>
      </c>
    </row>
    <row r="283" spans="1:4" x14ac:dyDescent="0.2">
      <c r="A283" s="5">
        <v>222</v>
      </c>
      <c r="B283" s="1832">
        <f>'Assets-Liab 5-6'!N22</f>
        <v>4251160</v>
      </c>
      <c r="D283" s="2" t="str">
        <f t="shared" si="3"/>
        <v>Error?</v>
      </c>
    </row>
    <row r="284" spans="1:4" x14ac:dyDescent="0.2">
      <c r="A284" s="5">
        <v>223</v>
      </c>
      <c r="B284" s="1832">
        <f>'Assets-Liab 5-6'!N23</f>
        <v>4490000</v>
      </c>
      <c r="C284" s="2" t="s">
        <v>569</v>
      </c>
      <c r="D284" s="2" t="str">
        <f t="shared" si="3"/>
        <v>Error?</v>
      </c>
    </row>
    <row r="285" spans="1:4" x14ac:dyDescent="0.2">
      <c r="A285" s="5">
        <v>224</v>
      </c>
      <c r="B285" s="1832">
        <f>'Assets-Liab 5-6'!N36</f>
        <v>4490000</v>
      </c>
      <c r="D285" s="2" t="str">
        <f t="shared" si="3"/>
        <v>Error?</v>
      </c>
    </row>
    <row r="286" spans="1:4" x14ac:dyDescent="0.2">
      <c r="A286" s="10">
        <v>225</v>
      </c>
      <c r="B286" s="1832"/>
      <c r="D286" s="2" t="str">
        <f t="shared" si="3"/>
        <v>OK</v>
      </c>
    </row>
    <row r="287" spans="1:4" x14ac:dyDescent="0.2">
      <c r="A287" s="5">
        <v>226</v>
      </c>
      <c r="B287" s="1832">
        <f>'Assets-Liab 5-6'!N37</f>
        <v>4490000</v>
      </c>
      <c r="C287" s="2" t="s">
        <v>569</v>
      </c>
      <c r="D287" s="2" t="str">
        <f t="shared" si="3"/>
        <v>Error?</v>
      </c>
    </row>
    <row r="288" spans="1:4" x14ac:dyDescent="0.2">
      <c r="A288" s="5">
        <v>227</v>
      </c>
      <c r="B288" s="1832">
        <f>'Assets-Liab 5-6'!N41</f>
        <v>4490000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118728</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1695000</v>
      </c>
      <c r="D651" s="2" t="str">
        <f t="shared" si="9"/>
        <v>Error?</v>
      </c>
    </row>
    <row r="652" spans="1:4" x14ac:dyDescent="0.2">
      <c r="A652" s="5">
        <v>591</v>
      </c>
      <c r="B652" s="1832">
        <f>'Acct Summary 7-8'!I34</f>
        <v>30000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1545060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81142</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2019975</v>
      </c>
      <c r="C720" s="2" t="s">
        <v>569</v>
      </c>
      <c r="D720" s="2" t="str">
        <f t="shared" si="10"/>
        <v>Error?</v>
      </c>
    </row>
    <row r="721" spans="1:4" x14ac:dyDescent="0.2">
      <c r="A721" s="5">
        <v>660</v>
      </c>
      <c r="B721" s="1832">
        <f>'Expenditures 15-22'!C36</f>
        <v>43806</v>
      </c>
      <c r="D721" s="2" t="str">
        <f t="shared" si="10"/>
        <v>Error?</v>
      </c>
    </row>
    <row r="722" spans="1:4" x14ac:dyDescent="0.2">
      <c r="A722" s="5">
        <v>661</v>
      </c>
      <c r="B722" s="1832">
        <f>'Expenditures 15-22'!C37</f>
        <v>21458</v>
      </c>
      <c r="D722" s="2" t="str">
        <f t="shared" si="10"/>
        <v>Error?</v>
      </c>
    </row>
    <row r="723" spans="1:4" x14ac:dyDescent="0.2">
      <c r="A723" s="5">
        <v>662</v>
      </c>
      <c r="B723" s="1832">
        <f>'Expenditures 15-22'!C38</f>
        <v>43218</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108482</v>
      </c>
      <c r="C727" s="2" t="s">
        <v>569</v>
      </c>
      <c r="D727" s="2" t="str">
        <f t="shared" si="10"/>
        <v>Error?</v>
      </c>
    </row>
    <row r="728" spans="1:4" x14ac:dyDescent="0.2">
      <c r="A728" s="5">
        <v>667</v>
      </c>
      <c r="B728" s="1832">
        <f>'Expenditures 15-22'!C44</f>
        <v>9180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9180</v>
      </c>
      <c r="C731" s="2" t="s">
        <v>569</v>
      </c>
      <c r="D731" s="2" t="str">
        <f t="shared" si="10"/>
        <v>Error?</v>
      </c>
    </row>
    <row r="732" spans="1:4" x14ac:dyDescent="0.2">
      <c r="A732" s="5">
        <v>671</v>
      </c>
      <c r="B732" s="1832">
        <f>'Expenditures 15-22'!C49</f>
        <v>3809</v>
      </c>
      <c r="D732" s="2" t="str">
        <f t="shared" si="10"/>
        <v>Error?</v>
      </c>
    </row>
    <row r="733" spans="1:4" x14ac:dyDescent="0.2">
      <c r="A733" s="5">
        <v>672</v>
      </c>
      <c r="B733" s="1832">
        <f>'Expenditures 15-22'!C50</f>
        <v>117474</v>
      </c>
      <c r="D733" s="2" t="str">
        <f t="shared" si="10"/>
        <v>Error?</v>
      </c>
    </row>
    <row r="734" spans="1:4" x14ac:dyDescent="0.2">
      <c r="A734" s="5">
        <v>673</v>
      </c>
      <c r="B734" s="1832">
        <f>'Expenditures 15-22'!C53</f>
        <v>121283</v>
      </c>
      <c r="C734" s="2" t="s">
        <v>569</v>
      </c>
      <c r="D734" s="2" t="str">
        <f t="shared" si="10"/>
        <v>Error?</v>
      </c>
    </row>
    <row r="735" spans="1:4" x14ac:dyDescent="0.2">
      <c r="A735" s="5">
        <v>674</v>
      </c>
      <c r="B735" s="1832">
        <f>'Expenditures 15-22'!C55</f>
        <v>203818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203818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40596</v>
      </c>
      <c r="D739" s="2" t="str">
        <f t="shared" si="10"/>
        <v>Error?</v>
      </c>
    </row>
    <row r="740" spans="1:4" x14ac:dyDescent="0.2">
      <c r="A740" s="5">
        <v>679</v>
      </c>
      <c r="B740" s="1832">
        <f>'Expenditures 15-22'!C61</f>
        <v>66145</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57034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163775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606538</v>
      </c>
      <c r="C755" s="2" t="s">
        <v>569</v>
      </c>
      <c r="D755" s="2" t="str">
        <f t="shared" si="10"/>
        <v>Error?</v>
      </c>
    </row>
    <row r="756" spans="1:4" x14ac:dyDescent="0.2">
      <c r="A756" s="5">
        <v>695</v>
      </c>
      <c r="B756" s="1832">
        <f>'Expenditures 15-22'!C75</f>
        <v>1013</v>
      </c>
      <c r="D756" s="2" t="str">
        <f t="shared" si="10"/>
        <v>Error?</v>
      </c>
    </row>
    <row r="757" spans="1:4" x14ac:dyDescent="0.2">
      <c r="A757" s="5">
        <v>696</v>
      </c>
      <c r="B757" s="1832">
        <f>'Expenditures 15-22'!C114</f>
        <v>2627526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66987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2715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117642</v>
      </c>
      <c r="C778" s="2" t="s">
        <v>569</v>
      </c>
      <c r="D778" s="2" t="str">
        <f t="shared" si="11"/>
        <v>Error?</v>
      </c>
    </row>
    <row r="779" spans="1:4" x14ac:dyDescent="0.2">
      <c r="A779" s="5">
        <v>718</v>
      </c>
      <c r="B779" s="1832">
        <f>'Expenditures 15-22'!D36</f>
        <v>5391</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4227</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9618</v>
      </c>
      <c r="C785" s="2" t="s">
        <v>569</v>
      </c>
      <c r="D785" s="2" t="str">
        <f t="shared" si="11"/>
        <v>Error?</v>
      </c>
    </row>
    <row r="786" spans="1:4" x14ac:dyDescent="0.2">
      <c r="A786" s="5">
        <v>725</v>
      </c>
      <c r="B786" s="1832">
        <f>'Expenditures 15-22'!D44</f>
        <v>978</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978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3247</v>
      </c>
      <c r="D791" s="2" t="str">
        <f t="shared" si="11"/>
        <v>Error?</v>
      </c>
    </row>
    <row r="792" spans="1:4" x14ac:dyDescent="0.2">
      <c r="A792" s="5">
        <v>731</v>
      </c>
      <c r="B792" s="1832">
        <f>'Expenditures 15-22'!D53</f>
        <v>3247</v>
      </c>
      <c r="C792" s="2" t="s">
        <v>569</v>
      </c>
      <c r="D792" s="2" t="str">
        <f t="shared" si="11"/>
        <v>Error?</v>
      </c>
    </row>
    <row r="793" spans="1:4" x14ac:dyDescent="0.2">
      <c r="A793" s="5">
        <v>732</v>
      </c>
      <c r="B793" s="1832">
        <f>'Expenditures 15-22'!D55</f>
        <v>23427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23427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27</v>
      </c>
      <c r="D797" s="2" t="str">
        <f t="shared" si="11"/>
        <v>Error?</v>
      </c>
    </row>
    <row r="798" spans="1:4" x14ac:dyDescent="0.2">
      <c r="A798" s="5">
        <v>737</v>
      </c>
      <c r="B798" s="1832">
        <f>'Expenditures 15-22'!D61</f>
        <v>4427</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9710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14164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51434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169076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3185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20104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105845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21034</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21034</v>
      </c>
      <c r="C843" s="2" t="s">
        <v>569</v>
      </c>
      <c r="D843" s="2" t="str">
        <f t="shared" si="12"/>
        <v>Error?</v>
      </c>
    </row>
    <row r="844" spans="1:4" x14ac:dyDescent="0.2">
      <c r="A844" s="5">
        <v>783</v>
      </c>
      <c r="B844" s="1832">
        <f>'Expenditures 15-22'!E44</f>
        <v>5991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1335</v>
      </c>
      <c r="D846" s="2" t="str">
        <f t="shared" si="12"/>
        <v>Error?</v>
      </c>
    </row>
    <row r="847" spans="1:4" x14ac:dyDescent="0.2">
      <c r="A847" s="5">
        <v>786</v>
      </c>
      <c r="B847" s="1832">
        <f>'Expenditures 15-22'!E47</f>
        <v>7326</v>
      </c>
      <c r="C847" s="2" t="s">
        <v>569</v>
      </c>
      <c r="D847" s="2" t="str">
        <f t="shared" si="12"/>
        <v>Error?</v>
      </c>
    </row>
    <row r="848" spans="1:4" x14ac:dyDescent="0.2">
      <c r="A848" s="5">
        <v>787</v>
      </c>
      <c r="B848" s="1832">
        <f>'Expenditures 15-22'!E49</f>
        <v>69881</v>
      </c>
      <c r="D848" s="2" t="str">
        <f t="shared" si="12"/>
        <v>Error?</v>
      </c>
    </row>
    <row r="849" spans="1:4" x14ac:dyDescent="0.2">
      <c r="A849" s="5">
        <v>788</v>
      </c>
      <c r="B849" s="1832">
        <f>'Expenditures 15-22'!E50</f>
        <v>2161</v>
      </c>
      <c r="D849" s="2" t="str">
        <f t="shared" si="12"/>
        <v>Error?</v>
      </c>
    </row>
    <row r="850" spans="1:4" x14ac:dyDescent="0.2">
      <c r="A850" s="5">
        <v>789</v>
      </c>
      <c r="B850" s="1832">
        <f>'Expenditures 15-22'!E53</f>
        <v>72042</v>
      </c>
      <c r="C850" s="2" t="s">
        <v>569</v>
      </c>
      <c r="D850" s="2" t="str">
        <f t="shared" si="12"/>
        <v>Error?</v>
      </c>
    </row>
    <row r="851" spans="1:4" x14ac:dyDescent="0.2">
      <c r="A851" s="5">
        <v>790</v>
      </c>
      <c r="B851" s="1832">
        <f>'Expenditures 15-22'!E55</f>
        <v>2112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2112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20199</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20199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24955</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24955</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147668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253513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47183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77454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22866</v>
      </c>
      <c r="D902" s="2" t="str">
        <f t="shared" si="13"/>
        <v>Error?</v>
      </c>
    </row>
    <row r="903" spans="1:4" x14ac:dyDescent="0.2">
      <c r="A903" s="5">
        <v>842</v>
      </c>
      <c r="B903" s="1832">
        <f>'Expenditures 15-22'!F45</f>
        <v>1227</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24093</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180</v>
      </c>
      <c r="D907" s="2" t="str">
        <f t="shared" si="13"/>
        <v>Error?</v>
      </c>
    </row>
    <row r="908" spans="1:4" x14ac:dyDescent="0.2">
      <c r="A908" s="5">
        <v>847</v>
      </c>
      <c r="B908" s="1832">
        <f>'Expenditures 15-22'!F53</f>
        <v>180</v>
      </c>
      <c r="C908" s="2" t="s">
        <v>569</v>
      </c>
      <c r="D908" s="2" t="str">
        <f t="shared" si="13"/>
        <v>Error?</v>
      </c>
    </row>
    <row r="909" spans="1:4" x14ac:dyDescent="0.2">
      <c r="A909" s="5">
        <v>848</v>
      </c>
      <c r="B909" s="1832">
        <f>'Expenditures 15-22'!F55</f>
        <v>249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249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8263</v>
      </c>
      <c r="D913" s="2" t="str">
        <f t="shared" si="13"/>
        <v>Error?</v>
      </c>
    </row>
    <row r="914" spans="1:4" x14ac:dyDescent="0.2">
      <c r="A914" s="5">
        <v>853</v>
      </c>
      <c r="B914" s="1832">
        <f>'Expenditures 15-22'!F61</f>
        <v>14401</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82386</v>
      </c>
      <c r="D916" s="2" t="str">
        <f t="shared" si="13"/>
        <v>Error?</v>
      </c>
    </row>
    <row r="917" spans="1:4" x14ac:dyDescent="0.2">
      <c r="A917" s="5">
        <v>856</v>
      </c>
      <c r="B917" s="1832">
        <f>'Expenditures 15-22'!F64</f>
        <v>3323</v>
      </c>
      <c r="D917" s="2" t="str">
        <f t="shared" si="13"/>
        <v>Error?</v>
      </c>
    </row>
    <row r="918" spans="1:4" x14ac:dyDescent="0.2">
      <c r="A918" s="10">
        <v>857</v>
      </c>
      <c r="B918" s="1832"/>
      <c r="D918" s="2" t="str">
        <f t="shared" si="13"/>
        <v>OK</v>
      </c>
    </row>
    <row r="919" spans="1:4" x14ac:dyDescent="0.2">
      <c r="A919" s="5">
        <v>858</v>
      </c>
      <c r="B919" s="1832">
        <f>'Expenditures 15-22'!F65</f>
        <v>108373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132895</v>
      </c>
      <c r="C929" s="2" t="s">
        <v>569</v>
      </c>
      <c r="D929" s="2" t="str">
        <f t="shared" si="13"/>
        <v>Error?</v>
      </c>
    </row>
    <row r="930" spans="1:4" x14ac:dyDescent="0.2">
      <c r="A930" s="5">
        <v>869</v>
      </c>
      <c r="B930" s="1832">
        <f>'Expenditures 15-22'!F75</f>
        <v>400</v>
      </c>
      <c r="D930" s="2" t="str">
        <f t="shared" si="13"/>
        <v>Error?</v>
      </c>
    </row>
    <row r="931" spans="1:4" x14ac:dyDescent="0.2">
      <c r="A931" s="5">
        <v>870</v>
      </c>
      <c r="B931" s="1832">
        <f>'Expenditures 15-22'!F114</f>
        <v>210749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5113</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5113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6383</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6383</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6383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11496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6893</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6893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97707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104600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1667528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110854</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2332922</v>
      </c>
      <c r="C1108" s="2" t="s">
        <v>569</v>
      </c>
      <c r="D1108" s="2" t="str">
        <f t="shared" si="16"/>
        <v>Error?</v>
      </c>
    </row>
    <row r="1109" spans="1:4" x14ac:dyDescent="0.2">
      <c r="A1109" s="5">
        <v>1048</v>
      </c>
      <c r="B1109" s="1832">
        <f>'Expenditures 15-22'!K36</f>
        <v>49197</v>
      </c>
      <c r="C1109" s="2" t="s">
        <v>569</v>
      </c>
      <c r="D1109" s="2" t="str">
        <f t="shared" si="16"/>
        <v>Error?</v>
      </c>
    </row>
    <row r="1110" spans="1:4" x14ac:dyDescent="0.2">
      <c r="A1110" s="5">
        <v>1049</v>
      </c>
      <c r="B1110" s="1832">
        <f>'Expenditures 15-22'!K37</f>
        <v>21458</v>
      </c>
      <c r="C1110" s="2" t="s">
        <v>569</v>
      </c>
      <c r="D1110" s="2" t="str">
        <f t="shared" si="16"/>
        <v>Error?</v>
      </c>
    </row>
    <row r="1111" spans="1:4" x14ac:dyDescent="0.2">
      <c r="A1111" s="5">
        <v>1050</v>
      </c>
      <c r="B1111" s="1832">
        <f>'Expenditures 15-22'!K38</f>
        <v>47445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21034</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139134</v>
      </c>
      <c r="C1115" s="2" t="s">
        <v>569</v>
      </c>
      <c r="D1115" s="2" t="str">
        <f t="shared" si="16"/>
        <v>Error?</v>
      </c>
    </row>
    <row r="1116" spans="1:4" x14ac:dyDescent="0.2">
      <c r="A1116" s="5">
        <v>1055</v>
      </c>
      <c r="B1116" s="1832">
        <f>'Expenditures 15-22'!K44</f>
        <v>39015</v>
      </c>
      <c r="C1116" s="2" t="s">
        <v>569</v>
      </c>
      <c r="D1116" s="2" t="str">
        <f t="shared" si="16"/>
        <v>Error?</v>
      </c>
    </row>
    <row r="1117" spans="1:4" x14ac:dyDescent="0.2">
      <c r="A1117" s="5">
        <v>1056</v>
      </c>
      <c r="B1117" s="1832">
        <f>'Expenditures 15-22'!K45</f>
        <v>1227</v>
      </c>
      <c r="C1117" s="2" t="s">
        <v>569</v>
      </c>
      <c r="D1117" s="2" t="str">
        <f t="shared" si="16"/>
        <v>Error?</v>
      </c>
    </row>
    <row r="1118" spans="1:4" x14ac:dyDescent="0.2">
      <c r="A1118" s="5">
        <v>1057</v>
      </c>
      <c r="B1118" s="1832">
        <f>'Expenditures 15-22'!K46</f>
        <v>1335</v>
      </c>
      <c r="C1118" s="2" t="s">
        <v>569</v>
      </c>
      <c r="D1118" s="2" t="str">
        <f t="shared" si="16"/>
        <v>Error?</v>
      </c>
    </row>
    <row r="1119" spans="1:4" x14ac:dyDescent="0.2">
      <c r="A1119" s="5">
        <v>1058</v>
      </c>
      <c r="B1119" s="1832">
        <f>'Expenditures 15-22'!K47</f>
        <v>41577</v>
      </c>
      <c r="C1119" s="2" t="s">
        <v>569</v>
      </c>
      <c r="D1119" s="2" t="str">
        <f t="shared" si="16"/>
        <v>Error?</v>
      </c>
    </row>
    <row r="1120" spans="1:4" x14ac:dyDescent="0.2">
      <c r="A1120" s="5">
        <v>1059</v>
      </c>
      <c r="B1120" s="1832">
        <f>'Expenditures 15-22'!K49</f>
        <v>73690</v>
      </c>
      <c r="C1120" s="2" t="s">
        <v>569</v>
      </c>
      <c r="D1120" s="2" t="str">
        <f t="shared" si="16"/>
        <v>Error?</v>
      </c>
    </row>
    <row r="1121" spans="1:4" x14ac:dyDescent="0.2">
      <c r="A1121" s="5">
        <v>1060</v>
      </c>
      <c r="B1121" s="1832">
        <f>'Expenditures 15-22'!K50</f>
        <v>123062</v>
      </c>
      <c r="C1121" s="2" t="s">
        <v>569</v>
      </c>
      <c r="D1121" s="2" t="str">
        <f t="shared" si="16"/>
        <v>Error?</v>
      </c>
    </row>
    <row r="1122" spans="1:4" x14ac:dyDescent="0.2">
      <c r="A1122" s="5">
        <v>1061</v>
      </c>
      <c r="B1122" s="1832">
        <f>'Expenditures 15-22'!K53</f>
        <v>196752</v>
      </c>
      <c r="C1122" s="2" t="s">
        <v>569</v>
      </c>
      <c r="D1122" s="2" t="str">
        <f t="shared" si="16"/>
        <v>Error?</v>
      </c>
    </row>
    <row r="1123" spans="1:4" x14ac:dyDescent="0.2">
      <c r="A1123" s="5">
        <v>1062</v>
      </c>
      <c r="B1123" s="1832">
        <f>'Expenditures 15-22'!K55</f>
        <v>229606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229606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48886</v>
      </c>
      <c r="C1127" s="2" t="s">
        <v>569</v>
      </c>
      <c r="D1127" s="2" t="str">
        <f t="shared" si="16"/>
        <v>Error?</v>
      </c>
    </row>
    <row r="1128" spans="1:4" x14ac:dyDescent="0.2">
      <c r="A1128" s="5">
        <v>1067</v>
      </c>
      <c r="B1128" s="1832">
        <f>'Expenditures 15-22'!K61</f>
        <v>111555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149130</v>
      </c>
      <c r="C1130" s="2" t="s">
        <v>569</v>
      </c>
      <c r="D1130" s="2" t="str">
        <f t="shared" si="16"/>
        <v>Error?</v>
      </c>
    </row>
    <row r="1131" spans="1:4" x14ac:dyDescent="0.2">
      <c r="A1131" s="5">
        <v>1070</v>
      </c>
      <c r="B1131" s="1832">
        <f>'Expenditures 15-22'!K64</f>
        <v>3323</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312894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24955</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24955</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944918</v>
      </c>
      <c r="C1143" s="2" t="s">
        <v>569</v>
      </c>
      <c r="D1143" s="2" t="str">
        <f t="shared" si="16"/>
        <v>Error?</v>
      </c>
    </row>
    <row r="1144" spans="1:4" x14ac:dyDescent="0.2">
      <c r="A1144" s="5">
        <v>1083</v>
      </c>
      <c r="B1144" s="1832">
        <f>'Expenditures 15-22'!K75</f>
        <v>1413</v>
      </c>
      <c r="C1144" s="2" t="s">
        <v>569</v>
      </c>
      <c r="D1144" s="2" t="str">
        <f t="shared" si="16"/>
        <v>Error?</v>
      </c>
    </row>
    <row r="1145" spans="1:4" x14ac:dyDescent="0.2">
      <c r="A1145" s="5">
        <v>1084</v>
      </c>
      <c r="B1145" s="1832">
        <f>'Expenditures 15-22'!K102</f>
        <v>97707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3376960</v>
      </c>
      <c r="C1152" s="2" t="s">
        <v>569</v>
      </c>
      <c r="D1152" s="2" t="str">
        <f t="shared" si="17"/>
        <v>Error?</v>
      </c>
    </row>
    <row r="1153" spans="1:4" x14ac:dyDescent="0.2">
      <c r="A1153" s="5">
        <v>1092</v>
      </c>
      <c r="B1153" s="1832">
        <f>'Expenditures 15-22'!K115</f>
        <v>30293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90165</v>
      </c>
      <c r="D1221" s="2" t="str">
        <f t="shared" si="18"/>
        <v>Error?</v>
      </c>
    </row>
    <row r="1222" spans="1:4" x14ac:dyDescent="0.2">
      <c r="A1222" s="10">
        <v>1161</v>
      </c>
      <c r="B1222" s="1832"/>
      <c r="D1222" s="2" t="str">
        <f t="shared" si="18"/>
        <v>OK</v>
      </c>
    </row>
    <row r="1223" spans="1:4" x14ac:dyDescent="0.2">
      <c r="A1223" s="5">
        <v>1162</v>
      </c>
      <c r="B1223" s="1832">
        <f>'Expenditures 15-22'!C127</f>
        <v>90165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90165</v>
      </c>
      <c r="C1225" s="2" t="s">
        <v>569</v>
      </c>
      <c r="D1225" s="2" t="str">
        <f t="shared" si="18"/>
        <v>Error?</v>
      </c>
    </row>
    <row r="1226" spans="1:4" x14ac:dyDescent="0.2">
      <c r="A1226" s="5">
        <v>1165</v>
      </c>
      <c r="B1226" s="1832">
        <f>'Expenditures 15-22'!C151</f>
        <v>90165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12660</v>
      </c>
      <c r="D1229" s="2" t="str">
        <f t="shared" si="18"/>
        <v>Error?</v>
      </c>
    </row>
    <row r="1230" spans="1:4" x14ac:dyDescent="0.2">
      <c r="A1230" s="10">
        <v>1169</v>
      </c>
      <c r="B1230" s="1832"/>
      <c r="D1230" s="2" t="str">
        <f t="shared" si="18"/>
        <v>OK</v>
      </c>
    </row>
    <row r="1231" spans="1:4" x14ac:dyDescent="0.2">
      <c r="A1231" s="5">
        <v>1170</v>
      </c>
      <c r="B1231" s="1832">
        <f>'Expenditures 15-22'!D127</f>
        <v>12660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12660</v>
      </c>
      <c r="C1233" s="2" t="s">
        <v>569</v>
      </c>
      <c r="D1233" s="2" t="str">
        <f t="shared" si="18"/>
        <v>Error?</v>
      </c>
    </row>
    <row r="1234" spans="1:4" x14ac:dyDescent="0.2">
      <c r="A1234" s="5">
        <v>1173</v>
      </c>
      <c r="B1234" s="1832">
        <f>'Expenditures 15-22'!D151</f>
        <v>12660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67884</v>
      </c>
      <c r="D1237" s="2" t="str">
        <f t="shared" si="18"/>
        <v>Error?</v>
      </c>
    </row>
    <row r="1238" spans="1:4" x14ac:dyDescent="0.2">
      <c r="A1238" s="10">
        <v>1177</v>
      </c>
      <c r="B1238" s="1832"/>
      <c r="D1238" s="2" t="str">
        <f t="shared" si="18"/>
        <v>OK</v>
      </c>
    </row>
    <row r="1239" spans="1:4" x14ac:dyDescent="0.2">
      <c r="A1239" s="5">
        <v>1178</v>
      </c>
      <c r="B1239" s="1832">
        <f>'Expenditures 15-22'!E127</f>
        <v>67884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67884</v>
      </c>
      <c r="C1241" s="2" t="s">
        <v>569</v>
      </c>
      <c r="D1241" s="2" t="str">
        <f t="shared" si="18"/>
        <v>Error?</v>
      </c>
    </row>
    <row r="1242" spans="1:4" x14ac:dyDescent="0.2">
      <c r="A1242" s="5">
        <v>1181</v>
      </c>
      <c r="B1242" s="1832">
        <f>'Expenditures 15-22'!E151</f>
        <v>67884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118812</v>
      </c>
      <c r="D1245" s="2" t="str">
        <f t="shared" si="18"/>
        <v>Error?</v>
      </c>
    </row>
    <row r="1246" spans="1:4" x14ac:dyDescent="0.2">
      <c r="A1246" s="10">
        <v>1185</v>
      </c>
      <c r="B1246" s="1832"/>
      <c r="D1246" s="2" t="str">
        <f t="shared" si="18"/>
        <v>OK</v>
      </c>
    </row>
    <row r="1247" spans="1:4" x14ac:dyDescent="0.2">
      <c r="A1247" s="5">
        <v>1186</v>
      </c>
      <c r="B1247" s="1832">
        <f>'Expenditures 15-22'!F127</f>
        <v>118812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118812</v>
      </c>
      <c r="C1249" s="2" t="s">
        <v>569</v>
      </c>
      <c r="D1249" s="2" t="str">
        <f t="shared" si="18"/>
        <v>Error?</v>
      </c>
    </row>
    <row r="1250" spans="1:4" x14ac:dyDescent="0.2">
      <c r="A1250" s="5">
        <v>1189</v>
      </c>
      <c r="B1250" s="1832">
        <f>'Expenditures 15-22'!F151</f>
        <v>118812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9897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9897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9897</v>
      </c>
      <c r="C1258" s="2" t="s">
        <v>569</v>
      </c>
      <c r="D1258" s="2" t="str">
        <f t="shared" si="18"/>
        <v>Error?</v>
      </c>
    </row>
    <row r="1259" spans="1:4" x14ac:dyDescent="0.2">
      <c r="A1259" s="5">
        <v>1198</v>
      </c>
      <c r="B1259" s="1832">
        <f>'Expenditures 15-22'!G151</f>
        <v>9897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299418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299418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299418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299418</v>
      </c>
      <c r="C1288" s="2" t="s">
        <v>569</v>
      </c>
      <c r="D1288" s="2" t="str">
        <f t="shared" si="19"/>
        <v>Error?</v>
      </c>
    </row>
    <row r="1289" spans="1:4" x14ac:dyDescent="0.2">
      <c r="A1289" s="5">
        <v>1228</v>
      </c>
      <c r="B1289" s="1832">
        <f>'Expenditures 15-22'!K152</f>
        <v>126275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111645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190000</v>
      </c>
      <c r="D1315" s="2" t="str">
        <f t="shared" si="19"/>
        <v>Error?</v>
      </c>
    </row>
    <row r="1316" spans="1:4" x14ac:dyDescent="0.2">
      <c r="A1316" s="5">
        <v>1255</v>
      </c>
      <c r="B1316" s="1832">
        <f>'Expenditures 15-22'!H171</f>
        <v>58148</v>
      </c>
      <c r="D1316" s="2" t="str">
        <f t="shared" si="19"/>
        <v>Error?</v>
      </c>
    </row>
    <row r="1317" spans="1:4" x14ac:dyDescent="0.2">
      <c r="A1317" s="5">
        <v>1256</v>
      </c>
      <c r="B1317" s="1832">
        <f>'Expenditures 15-22'!H172</f>
        <v>359793</v>
      </c>
      <c r="C1317" s="2" t="s">
        <v>569</v>
      </c>
      <c r="D1317" s="2" t="str">
        <f t="shared" si="19"/>
        <v>Error?</v>
      </c>
    </row>
    <row r="1318" spans="1:4" x14ac:dyDescent="0.2">
      <c r="A1318" s="5">
        <v>1257</v>
      </c>
      <c r="B1318" s="1832">
        <f>'Expenditures 15-22'!H174</f>
        <v>359793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111645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190000</v>
      </c>
      <c r="C1329" s="2" t="s">
        <v>569</v>
      </c>
      <c r="D1329" s="2" t="str">
        <f t="shared" si="19"/>
        <v>Error?</v>
      </c>
    </row>
    <row r="1330" spans="1:4" x14ac:dyDescent="0.2">
      <c r="A1330" s="5">
        <v>1269</v>
      </c>
      <c r="B1330" s="1832">
        <f>'Expenditures 15-22'!K171</f>
        <v>58148</v>
      </c>
      <c r="C1330" s="2" t="s">
        <v>569</v>
      </c>
      <c r="D1330" s="2" t="str">
        <f t="shared" si="19"/>
        <v>Error?</v>
      </c>
    </row>
    <row r="1331" spans="1:4" x14ac:dyDescent="0.2">
      <c r="A1331" s="5">
        <v>1270</v>
      </c>
      <c r="B1331" s="1832">
        <f>'Expenditures 15-22'!K172</f>
        <v>359793</v>
      </c>
      <c r="C1331" s="2" t="s">
        <v>569</v>
      </c>
      <c r="D1331" s="2" t="str">
        <f t="shared" si="19"/>
        <v>Error?</v>
      </c>
    </row>
    <row r="1332" spans="1:4" x14ac:dyDescent="0.2">
      <c r="A1332" s="5">
        <v>1271</v>
      </c>
      <c r="B1332" s="1832">
        <f>'Expenditures 15-22'!K174</f>
        <v>359793</v>
      </c>
      <c r="C1332" s="2" t="s">
        <v>569</v>
      </c>
      <c r="D1332" s="2" t="str">
        <f t="shared" si="19"/>
        <v>Error?</v>
      </c>
    </row>
    <row r="1333" spans="1:4" x14ac:dyDescent="0.2">
      <c r="A1333" s="5">
        <v>1272</v>
      </c>
      <c r="B1333" s="1832">
        <f>'Expenditures 15-22'!K175</f>
        <v>-56578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93164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93164</v>
      </c>
      <c r="C1339" s="2" t="s">
        <v>569</v>
      </c>
      <c r="D1339" s="2" t="str">
        <f t="shared" si="19"/>
        <v>Error?</v>
      </c>
    </row>
    <row r="1340" spans="1:4" x14ac:dyDescent="0.2">
      <c r="A1340" s="5">
        <v>1279</v>
      </c>
      <c r="B1340" s="1832">
        <f>'Expenditures 15-22'!C210</f>
        <v>93164</v>
      </c>
      <c r="C1340" s="2" t="s">
        <v>569</v>
      </c>
      <c r="D1340" s="2" t="str">
        <f t="shared" si="19"/>
        <v>Error?</v>
      </c>
    </row>
    <row r="1341" spans="1:4" x14ac:dyDescent="0.2">
      <c r="A1341" s="5">
        <v>1280</v>
      </c>
      <c r="B1341" s="1832">
        <f>'Expenditures 15-22'!D182</f>
        <v>8807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8807</v>
      </c>
      <c r="C1345" s="2" t="s">
        <v>569</v>
      </c>
      <c r="D1345" s="2" t="str">
        <f t="shared" si="20"/>
        <v>Error?</v>
      </c>
    </row>
    <row r="1346" spans="1:4" x14ac:dyDescent="0.2">
      <c r="A1346" s="5">
        <v>1285</v>
      </c>
      <c r="B1346" s="1832">
        <f>'Expenditures 15-22'!D210</f>
        <v>8807</v>
      </c>
      <c r="C1346" s="2" t="s">
        <v>569</v>
      </c>
      <c r="D1346" s="2" t="str">
        <f t="shared" si="20"/>
        <v>Error?</v>
      </c>
    </row>
    <row r="1347" spans="1:4" x14ac:dyDescent="0.2">
      <c r="A1347" s="5">
        <v>1286</v>
      </c>
      <c r="B1347" s="1832">
        <f>'Expenditures 15-22'!E182</f>
        <v>15358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15358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15358</v>
      </c>
      <c r="C1353" s="2" t="s">
        <v>569</v>
      </c>
      <c r="D1353" s="2" t="str">
        <f t="shared" si="20"/>
        <v>Error?</v>
      </c>
    </row>
    <row r="1354" spans="1:4" x14ac:dyDescent="0.2">
      <c r="A1354" s="5">
        <v>1293</v>
      </c>
      <c r="B1354" s="1832">
        <f>'Expenditures 15-22'!F182</f>
        <v>27631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27631</v>
      </c>
      <c r="C1358" s="2" t="s">
        <v>569</v>
      </c>
      <c r="D1358" s="2" t="str">
        <f t="shared" si="20"/>
        <v>Error?</v>
      </c>
    </row>
    <row r="1359" spans="1:4" x14ac:dyDescent="0.2">
      <c r="A1359" s="5">
        <v>1298</v>
      </c>
      <c r="B1359" s="1832">
        <f>'Expenditures 15-22'!F210</f>
        <v>27631</v>
      </c>
      <c r="C1359" s="2" t="s">
        <v>569</v>
      </c>
      <c r="D1359" s="2" t="str">
        <f t="shared" si="20"/>
        <v>Error?</v>
      </c>
    </row>
    <row r="1360" spans="1:4" x14ac:dyDescent="0.2">
      <c r="A1360" s="5">
        <v>1299</v>
      </c>
      <c r="B1360" s="1832">
        <f>'Expenditures 15-22'!G182</f>
        <v>25575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25575</v>
      </c>
      <c r="C1364" s="2" t="s">
        <v>569</v>
      </c>
      <c r="D1364" s="2" t="str">
        <f t="shared" si="20"/>
        <v>Error?</v>
      </c>
    </row>
    <row r="1365" spans="1:4" x14ac:dyDescent="0.2">
      <c r="A1365" s="5">
        <v>1304</v>
      </c>
      <c r="B1365" s="1832">
        <f>'Expenditures 15-22'!G210</f>
        <v>25575</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95559</v>
      </c>
      <c r="C1375" s="2" t="s">
        <v>569</v>
      </c>
      <c r="D1375" s="2" t="str">
        <f t="shared" si="20"/>
        <v>Error?</v>
      </c>
    </row>
    <row r="1376" spans="1:4" x14ac:dyDescent="0.2">
      <c r="A1376" s="5">
        <v>1315</v>
      </c>
      <c r="B1376" s="1832">
        <f>'Expenditures 15-22'!H210</f>
        <v>95559</v>
      </c>
      <c r="C1376" s="2" t="s">
        <v>569</v>
      </c>
      <c r="D1376" s="2" t="str">
        <f t="shared" si="20"/>
        <v>Error?</v>
      </c>
    </row>
    <row r="1377" spans="1:4" x14ac:dyDescent="0.2">
      <c r="A1377" s="5">
        <v>1316</v>
      </c>
      <c r="B1377" s="1832">
        <f>'Expenditures 15-22'!K182</f>
        <v>170535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170535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95559</v>
      </c>
      <c r="C1387" s="2" t="s">
        <v>569</v>
      </c>
      <c r="D1387" s="2" t="str">
        <f t="shared" si="20"/>
        <v>Error?</v>
      </c>
    </row>
    <row r="1388" spans="1:4" x14ac:dyDescent="0.2">
      <c r="A1388" s="5">
        <v>1327</v>
      </c>
      <c r="B1388" s="1832">
        <f>'Expenditures 15-22'!K210</f>
        <v>266094</v>
      </c>
      <c r="C1388" s="2" t="s">
        <v>569</v>
      </c>
      <c r="D1388" s="2" t="str">
        <f t="shared" si="20"/>
        <v>Error?</v>
      </c>
    </row>
    <row r="1389" spans="1:4" x14ac:dyDescent="0.2">
      <c r="A1389" s="5">
        <v>1328</v>
      </c>
      <c r="B1389" s="1832">
        <f>'Expenditures 15-22'!K211</f>
        <v>55286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3484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60153</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6461</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6461</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588</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588</v>
      </c>
      <c r="C1424" s="2" t="s">
        <v>569</v>
      </c>
      <c r="D1424" s="2" t="str">
        <f t="shared" si="21"/>
        <v>Error?</v>
      </c>
    </row>
    <row r="1425" spans="1:4" x14ac:dyDescent="0.2">
      <c r="A1425" s="5">
        <v>1364</v>
      </c>
      <c r="B1425" s="1832">
        <f>'Expenditures 15-22'!D259</f>
        <v>8330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8330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6506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24285</v>
      </c>
      <c r="D1431" s="2" t="str">
        <f t="shared" si="21"/>
        <v>Error?</v>
      </c>
    </row>
    <row r="1432" spans="1:4" x14ac:dyDescent="0.2">
      <c r="A1432" s="5">
        <v>1371</v>
      </c>
      <c r="B1432" s="1832">
        <f>'Expenditures 15-22'!D267</f>
        <v>14128</v>
      </c>
      <c r="D1432" s="2" t="str">
        <f t="shared" si="21"/>
        <v>Error?</v>
      </c>
    </row>
    <row r="1433" spans="1:4" x14ac:dyDescent="0.2">
      <c r="A1433" s="5">
        <v>1372</v>
      </c>
      <c r="B1433" s="1832">
        <f>'Expenditures 15-22'!D268</f>
        <v>7863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52782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68161</v>
      </c>
      <c r="C1446" s="2" t="s">
        <v>569</v>
      </c>
      <c r="D1446" s="2" t="str">
        <f t="shared" si="21"/>
        <v>Error?</v>
      </c>
    </row>
    <row r="1447" spans="1:4" x14ac:dyDescent="0.2">
      <c r="A1447" s="5">
        <v>1386</v>
      </c>
      <c r="B1447" s="1832">
        <f>'Expenditures 15-22'!D280</f>
        <v>46</v>
      </c>
      <c r="D1447" s="2" t="str">
        <f t="shared" si="21"/>
        <v>Error?</v>
      </c>
    </row>
    <row r="1448" spans="1:4" x14ac:dyDescent="0.2">
      <c r="A1448" s="5">
        <v>1387</v>
      </c>
      <c r="B1448" s="1832">
        <f>'Expenditures 15-22'!D295</f>
        <v>128360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3484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60153</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6461</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6461</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588</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588</v>
      </c>
      <c r="C1488" s="2" t="s">
        <v>569</v>
      </c>
      <c r="D1488" s="2" t="str">
        <f t="shared" si="22"/>
        <v>Error?</v>
      </c>
    </row>
    <row r="1489" spans="1:4" x14ac:dyDescent="0.2">
      <c r="A1489" s="5">
        <v>1428</v>
      </c>
      <c r="B1489" s="1832">
        <f>'Expenditures 15-22'!K259</f>
        <v>8330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8330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6506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24285</v>
      </c>
      <c r="C1495" s="2" t="s">
        <v>569</v>
      </c>
      <c r="D1495" s="2" t="str">
        <f t="shared" si="22"/>
        <v>Error?</v>
      </c>
    </row>
    <row r="1496" spans="1:4" x14ac:dyDescent="0.2">
      <c r="A1496" s="5">
        <v>1435</v>
      </c>
      <c r="B1496" s="1832">
        <f>'Expenditures 15-22'!K267</f>
        <v>14128</v>
      </c>
      <c r="C1496" s="2" t="s">
        <v>569</v>
      </c>
      <c r="D1496" s="2" t="str">
        <f t="shared" si="22"/>
        <v>Error?</v>
      </c>
    </row>
    <row r="1497" spans="1:4" x14ac:dyDescent="0.2">
      <c r="A1497" s="5">
        <v>1436</v>
      </c>
      <c r="B1497" s="1832">
        <f>'Expenditures 15-22'!K268</f>
        <v>7863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52782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68161</v>
      </c>
      <c r="C1510" s="2" t="s">
        <v>569</v>
      </c>
      <c r="D1510" s="2" t="str">
        <f t="shared" si="22"/>
        <v>Error?</v>
      </c>
    </row>
    <row r="1511" spans="1:4" x14ac:dyDescent="0.2">
      <c r="A1511" s="5">
        <v>1450</v>
      </c>
      <c r="B1511" s="1832">
        <f>'Expenditures 15-22'!K280</f>
        <v>46</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128360</v>
      </c>
      <c r="C1517" s="2" t="s">
        <v>569</v>
      </c>
      <c r="D1517" s="2" t="str">
        <f t="shared" si="22"/>
        <v>Error?</v>
      </c>
    </row>
    <row r="1518" spans="1:4" x14ac:dyDescent="0.2">
      <c r="A1518" s="5">
        <v>1457</v>
      </c>
      <c r="B1518" s="1832">
        <f>'Expenditures 15-22'!K296</f>
        <v>11921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5037</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5037</v>
      </c>
      <c r="C1535" s="2" t="s">
        <v>569</v>
      </c>
      <c r="D1535" s="2" t="str">
        <f t="shared" ref="D1535:D1598" si="23">IF(ISBLANK(B1535),"OK",IF(A1535-B1535=0,"OK","Error?"))</f>
        <v>Error?</v>
      </c>
    </row>
    <row r="1536" spans="1:4" x14ac:dyDescent="0.2">
      <c r="A1536" s="5">
        <v>1475</v>
      </c>
      <c r="B1536" s="1832">
        <f>'Expenditures 15-22'!E312</f>
        <v>5037</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423591</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423591</v>
      </c>
      <c r="C1547" s="2" t="s">
        <v>569</v>
      </c>
      <c r="D1547" s="2" t="str">
        <f t="shared" si="23"/>
        <v>Error?</v>
      </c>
    </row>
    <row r="1548" spans="1:4" x14ac:dyDescent="0.2">
      <c r="A1548" s="5">
        <v>1487</v>
      </c>
      <c r="B1548" s="1832">
        <f>'Expenditures 15-22'!G312</f>
        <v>423591</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428628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428628</v>
      </c>
      <c r="C1559" s="2" t="s">
        <v>569</v>
      </c>
      <c r="D1559" s="2" t="str">
        <f t="shared" si="23"/>
        <v>Error?</v>
      </c>
    </row>
    <row r="1560" spans="1:4" x14ac:dyDescent="0.2">
      <c r="A1560" s="5">
        <v>1499</v>
      </c>
      <c r="B1560" s="1832">
        <f>'Expenditures 15-22'!K312</f>
        <v>428628</v>
      </c>
      <c r="C1560" s="2" t="s">
        <v>569</v>
      </c>
      <c r="D1560" s="2" t="str">
        <f t="shared" si="23"/>
        <v>Error?</v>
      </c>
    </row>
    <row r="1561" spans="1:4" x14ac:dyDescent="0.2">
      <c r="A1561" s="5">
        <v>1500</v>
      </c>
      <c r="B1561" s="1832">
        <f>'Expenditures 15-22'!K313</f>
        <v>-179564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1898358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1928651</v>
      </c>
      <c r="C1630" s="2" t="s">
        <v>569</v>
      </c>
      <c r="D1630" s="2" t="str">
        <f t="shared" si="24"/>
        <v>Error?</v>
      </c>
    </row>
    <row r="1631" spans="1:4" x14ac:dyDescent="0.2">
      <c r="A1631" s="5">
        <v>1570</v>
      </c>
      <c r="B1631" s="1832">
        <f>'Acct Summary 7-8'!D79</f>
        <v>554992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681267</v>
      </c>
      <c r="C1644" s="2" t="s">
        <v>569</v>
      </c>
      <c r="D1644" s="2" t="str">
        <f t="shared" si="24"/>
        <v>Error?</v>
      </c>
    </row>
    <row r="1645" spans="1:4" x14ac:dyDescent="0.2">
      <c r="A1645" s="5">
        <v>1584</v>
      </c>
      <c r="B1645" s="1832">
        <f>'Acct Summary 7-8'!E79</f>
        <v>176690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238840</v>
      </c>
      <c r="C1658" s="2" t="s">
        <v>569</v>
      </c>
      <c r="D1658" s="2" t="str">
        <f t="shared" si="24"/>
        <v>Error?</v>
      </c>
    </row>
    <row r="1659" spans="1:4" x14ac:dyDescent="0.2">
      <c r="A1659" s="5">
        <v>1598</v>
      </c>
      <c r="B1659" s="1832">
        <f>'Acct Summary 7-8'!F79</f>
        <v>582941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638227</v>
      </c>
      <c r="C1672" s="2" t="s">
        <v>569</v>
      </c>
      <c r="D1672" s="2" t="str">
        <f t="shared" si="25"/>
        <v>Error?</v>
      </c>
    </row>
    <row r="1673" spans="1:4" x14ac:dyDescent="0.2">
      <c r="A1673" s="5">
        <v>1612</v>
      </c>
      <c r="B1673" s="1832">
        <f>'Acct Summary 7-8'!G79</f>
        <v>67877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79798</v>
      </c>
      <c r="C1686" s="2" t="s">
        <v>569</v>
      </c>
      <c r="D1686" s="2" t="str">
        <f t="shared" si="25"/>
        <v>Error?</v>
      </c>
    </row>
    <row r="1687" spans="1:4" x14ac:dyDescent="0.2">
      <c r="A1687" s="5">
        <v>1626</v>
      </c>
      <c r="B1687" s="1832">
        <f>'Acct Summary 7-8'!H79</f>
        <v>263531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83967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1807333</v>
      </c>
      <c r="C1744" s="2" t="s">
        <v>569</v>
      </c>
      <c r="D1744" s="2" t="str">
        <f t="shared" si="26"/>
        <v>Error?</v>
      </c>
    </row>
    <row r="1745" spans="1:5" x14ac:dyDescent="0.2">
      <c r="A1745" s="5">
        <v>1684</v>
      </c>
      <c r="B1745" s="1832">
        <f>'Tax Sched 23'!B5</f>
        <v>320859</v>
      </c>
      <c r="C1745" s="2" t="s">
        <v>569</v>
      </c>
      <c r="D1745" s="2" t="str">
        <f t="shared" si="26"/>
        <v>Error?</v>
      </c>
    </row>
    <row r="1746" spans="1:5" x14ac:dyDescent="0.2">
      <c r="A1746" s="5">
        <v>1685</v>
      </c>
      <c r="B1746" s="1832">
        <f>'Tax Sched 23'!B6</f>
        <v>302171</v>
      </c>
      <c r="C1746" s="2" t="s">
        <v>569</v>
      </c>
      <c r="D1746" s="2" t="str">
        <f t="shared" si="26"/>
        <v>Error?</v>
      </c>
    </row>
    <row r="1747" spans="1:5" x14ac:dyDescent="0.2">
      <c r="A1747" s="5">
        <v>1686</v>
      </c>
      <c r="B1747" s="1832">
        <f>'Tax Sched 23'!B7</f>
        <v>176841</v>
      </c>
      <c r="C1747" s="2" t="s">
        <v>569</v>
      </c>
      <c r="D1747" s="2" t="str">
        <f t="shared" si="26"/>
        <v>Error?</v>
      </c>
    </row>
    <row r="1748" spans="1:5" x14ac:dyDescent="0.2">
      <c r="A1748" s="5">
        <v>1687</v>
      </c>
      <c r="B1748" s="1832">
        <f>'Tax Sched 23'!B8</f>
        <v>62559</v>
      </c>
      <c r="C1748" s="2" t="s">
        <v>569</v>
      </c>
      <c r="D1748" s="2" t="str">
        <f t="shared" si="26"/>
        <v>Error?</v>
      </c>
    </row>
    <row r="1749" spans="1:5" x14ac:dyDescent="0.2">
      <c r="A1749" s="5">
        <v>1688</v>
      </c>
      <c r="B1749" s="1832">
        <f>'Tax Sched 23'!B10</f>
        <v>21914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46371</v>
      </c>
      <c r="C1752" s="2" t="s">
        <v>569</v>
      </c>
      <c r="D1752" s="2" t="str">
        <f t="shared" si="26"/>
        <v>Error?</v>
      </c>
    </row>
    <row r="1753" spans="1:5" x14ac:dyDescent="0.2">
      <c r="A1753" s="5">
        <v>1692</v>
      </c>
      <c r="B1753" s="1832">
        <f>'Tax Sched 23'!B12</f>
        <v>25018</v>
      </c>
      <c r="C1753" s="2" t="s">
        <v>569</v>
      </c>
      <c r="D1753" s="2" t="str">
        <f t="shared" si="26"/>
        <v>Error?</v>
      </c>
    </row>
    <row r="1754" spans="1:5" x14ac:dyDescent="0.2">
      <c r="A1754" s="5">
        <v>1693</v>
      </c>
      <c r="B1754" s="1832">
        <f>'Tax Sched 23'!B14</f>
        <v>18208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2843833</v>
      </c>
      <c r="C1759" s="2" t="s">
        <v>569</v>
      </c>
      <c r="D1759" s="2" t="str">
        <f t="shared" si="26"/>
        <v>Error?</v>
      </c>
    </row>
    <row r="1760" spans="1:5" x14ac:dyDescent="0.2">
      <c r="A1760" s="5">
        <v>1699</v>
      </c>
      <c r="B1760" s="1832">
        <f>'Tax Sched 23'!D4</f>
        <v>1031782</v>
      </c>
      <c r="C1760" s="2" t="s">
        <v>569</v>
      </c>
      <c r="D1760" s="2" t="str">
        <f t="shared" si="26"/>
        <v>Error?</v>
      </c>
    </row>
    <row r="1761" spans="1:7" x14ac:dyDescent="0.2">
      <c r="A1761" s="5">
        <v>1700</v>
      </c>
      <c r="B1761" s="1832">
        <f>'Tax Sched 23'!D5</f>
        <v>183177</v>
      </c>
      <c r="C1761" s="2" t="s">
        <v>569</v>
      </c>
      <c r="D1761" s="2" t="str">
        <f t="shared" si="26"/>
        <v>Error?</v>
      </c>
    </row>
    <row r="1762" spans="1:7" s="8" customFormat="1" x14ac:dyDescent="0.2">
      <c r="A1762" s="5">
        <v>1701</v>
      </c>
      <c r="B1762" s="1832">
        <f>'Tax Sched 23'!D6</f>
        <v>174024</v>
      </c>
      <c r="C1762" s="2" t="s">
        <v>569</v>
      </c>
      <c r="D1762" s="2" t="str">
        <f t="shared" si="26"/>
        <v>Error?</v>
      </c>
      <c r="E1762" s="9"/>
      <c r="G1762"/>
    </row>
    <row r="1763" spans="1:7" x14ac:dyDescent="0.2">
      <c r="A1763" s="5">
        <v>1702</v>
      </c>
      <c r="B1763" s="1832">
        <f>'Tax Sched 23'!D7</f>
        <v>100954</v>
      </c>
      <c r="C1763" s="2" t="s">
        <v>569</v>
      </c>
      <c r="D1763" s="2" t="str">
        <f t="shared" si="26"/>
        <v>Error?</v>
      </c>
    </row>
    <row r="1764" spans="1:7" x14ac:dyDescent="0.2">
      <c r="A1764" s="5">
        <v>1703</v>
      </c>
      <c r="B1764" s="1832">
        <f>'Tax Sched 23'!D8</f>
        <v>35706</v>
      </c>
      <c r="C1764" s="2" t="s">
        <v>569</v>
      </c>
      <c r="D1764" s="2" t="str">
        <f t="shared" si="26"/>
        <v>Error?</v>
      </c>
    </row>
    <row r="1765" spans="1:7" x14ac:dyDescent="0.2">
      <c r="A1765" s="5">
        <v>1704</v>
      </c>
      <c r="B1765" s="1832">
        <f>'Tax Sched 23'!D10</f>
        <v>12512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26476</v>
      </c>
      <c r="C1768" s="2" t="s">
        <v>569</v>
      </c>
      <c r="D1768" s="2" t="str">
        <f t="shared" si="26"/>
        <v>Error?</v>
      </c>
    </row>
    <row r="1769" spans="1:7" x14ac:dyDescent="0.2">
      <c r="A1769" s="5">
        <v>1708</v>
      </c>
      <c r="B1769" s="1832">
        <f>'Tax Sched 23'!D12</f>
        <v>14282</v>
      </c>
      <c r="C1769" s="2" t="s">
        <v>569</v>
      </c>
      <c r="D1769" s="2" t="str">
        <f t="shared" si="26"/>
        <v>Error?</v>
      </c>
    </row>
    <row r="1770" spans="1:7" x14ac:dyDescent="0.2">
      <c r="A1770" s="5">
        <v>1709</v>
      </c>
      <c r="B1770" s="1832">
        <f>'Tax Sched 23'!D14</f>
        <v>10396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1625015</v>
      </c>
      <c r="C1775" s="2" t="s">
        <v>569</v>
      </c>
      <c r="D1775" s="2" t="str">
        <f t="shared" si="26"/>
        <v>Error?</v>
      </c>
    </row>
    <row r="1776" spans="1:7" x14ac:dyDescent="0.2">
      <c r="A1776" s="5">
        <v>1715</v>
      </c>
      <c r="B1776" s="1832">
        <f>'Tax Sched 23'!C4</f>
        <v>775551</v>
      </c>
      <c r="D1776" s="2" t="str">
        <f t="shared" si="26"/>
        <v>Error?</v>
      </c>
    </row>
    <row r="1777" spans="1:4" x14ac:dyDescent="0.2">
      <c r="A1777" s="5">
        <v>1716</v>
      </c>
      <c r="B1777" s="1832">
        <f>'Tax Sched 23'!C5</f>
        <v>137682</v>
      </c>
      <c r="D1777" s="2" t="str">
        <f t="shared" si="26"/>
        <v>Error?</v>
      </c>
    </row>
    <row r="1778" spans="1:4" x14ac:dyDescent="0.2">
      <c r="A1778" s="5">
        <v>1717</v>
      </c>
      <c r="B1778" s="1832">
        <f>'Tax Sched 23'!C6</f>
        <v>128147</v>
      </c>
      <c r="D1778" s="2" t="str">
        <f t="shared" si="26"/>
        <v>Error?</v>
      </c>
    </row>
    <row r="1779" spans="1:4" x14ac:dyDescent="0.2">
      <c r="A1779" s="5">
        <v>1718</v>
      </c>
      <c r="B1779" s="1832">
        <f>'Tax Sched 23'!C7</f>
        <v>75887</v>
      </c>
      <c r="D1779" s="2" t="str">
        <f t="shared" si="26"/>
        <v>Error?</v>
      </c>
    </row>
    <row r="1780" spans="1:4" x14ac:dyDescent="0.2">
      <c r="A1780" s="5">
        <v>1719</v>
      </c>
      <c r="B1780" s="1832">
        <f>'Tax Sched 23'!C8</f>
        <v>26853</v>
      </c>
      <c r="D1780" s="2" t="str">
        <f t="shared" si="26"/>
        <v>Error?</v>
      </c>
    </row>
    <row r="1781" spans="1:4" x14ac:dyDescent="0.2">
      <c r="A1781" s="5">
        <v>1720</v>
      </c>
      <c r="B1781" s="1832">
        <f>'Tax Sched 23'!C10</f>
        <v>9402</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19895</v>
      </c>
      <c r="D1784" s="2" t="str">
        <f t="shared" si="26"/>
        <v>Error?</v>
      </c>
    </row>
    <row r="1785" spans="1:4" x14ac:dyDescent="0.2">
      <c r="A1785" s="5">
        <v>1724</v>
      </c>
      <c r="B1785" s="1832">
        <f>'Tax Sched 23'!C12</f>
        <v>10736</v>
      </c>
      <c r="D1785" s="2" t="str">
        <f t="shared" si="26"/>
        <v>Error?</v>
      </c>
    </row>
    <row r="1786" spans="1:4" x14ac:dyDescent="0.2">
      <c r="A1786" s="5">
        <v>1725</v>
      </c>
      <c r="B1786" s="1832">
        <f>'Tax Sched 23'!C14</f>
        <v>7812</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1218818</v>
      </c>
      <c r="C1791" s="2" t="s">
        <v>569</v>
      </c>
      <c r="D1791" s="2" t="str">
        <f t="shared" ref="D1791:D1854" si="27">IF(ISBLANK(B1791),"OK",IF(A1791-B1791=0,"OK","Error?"))</f>
        <v>Error?</v>
      </c>
    </row>
    <row r="1792" spans="1:4" x14ac:dyDescent="0.2">
      <c r="A1792" s="5">
        <v>1731</v>
      </c>
      <c r="B1792" s="1832">
        <f>'Tax Sched 23'!F4</f>
        <v>1050586</v>
      </c>
      <c r="C1792" s="2" t="s">
        <v>569</v>
      </c>
      <c r="D1792" s="2" t="str">
        <f t="shared" si="27"/>
        <v>Error?</v>
      </c>
    </row>
    <row r="1793" spans="1:4" x14ac:dyDescent="0.2">
      <c r="A1793" s="5">
        <v>1732</v>
      </c>
      <c r="B1793" s="1832">
        <f>'Tax Sched 23'!F5</f>
        <v>186553</v>
      </c>
      <c r="C1793" s="2" t="s">
        <v>569</v>
      </c>
      <c r="D1793" s="2" t="str">
        <f t="shared" si="27"/>
        <v>Error?</v>
      </c>
    </row>
    <row r="1794" spans="1:4" x14ac:dyDescent="0.2">
      <c r="A1794" s="5">
        <v>1733</v>
      </c>
      <c r="B1794" s="1832">
        <f>'Tax Sched 23'!F6</f>
        <v>173608</v>
      </c>
      <c r="C1794" s="2" t="s">
        <v>569</v>
      </c>
      <c r="D1794" s="2" t="str">
        <f t="shared" si="27"/>
        <v>Error?</v>
      </c>
    </row>
    <row r="1795" spans="1:4" x14ac:dyDescent="0.2">
      <c r="A1795" s="5">
        <v>1734</v>
      </c>
      <c r="B1795" s="1832">
        <f>'Tax Sched 23'!F7</f>
        <v>102822</v>
      </c>
      <c r="C1795" s="2" t="s">
        <v>569</v>
      </c>
      <c r="D1795" s="2" t="str">
        <f t="shared" si="27"/>
        <v>Error?</v>
      </c>
    </row>
    <row r="1796" spans="1:4" x14ac:dyDescent="0.2">
      <c r="A1796" s="5">
        <v>1735</v>
      </c>
      <c r="B1796" s="1832">
        <f>'Tax Sched 23'!F8</f>
        <v>36416</v>
      </c>
      <c r="C1796" s="2" t="s">
        <v>569</v>
      </c>
      <c r="D1796" s="2" t="str">
        <f t="shared" si="27"/>
        <v>Error?</v>
      </c>
    </row>
    <row r="1797" spans="1:4" x14ac:dyDescent="0.2">
      <c r="A1797" s="5">
        <v>1736</v>
      </c>
      <c r="B1797" s="1832">
        <f>'Tax Sched 23'!F10</f>
        <v>12739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26980</v>
      </c>
      <c r="C1800" s="2" t="s">
        <v>569</v>
      </c>
      <c r="D1800" s="2" t="str">
        <f t="shared" si="27"/>
        <v>Error?</v>
      </c>
    </row>
    <row r="1801" spans="1:4" x14ac:dyDescent="0.2">
      <c r="A1801" s="5">
        <v>1740</v>
      </c>
      <c r="B1801" s="1832">
        <f>'Tax Sched 23'!F12</f>
        <v>14561</v>
      </c>
      <c r="C1801" s="2" t="s">
        <v>569</v>
      </c>
      <c r="D1801" s="2" t="str">
        <f t="shared" si="27"/>
        <v>Error?</v>
      </c>
    </row>
    <row r="1802" spans="1:4" x14ac:dyDescent="0.2">
      <c r="A1802" s="5">
        <v>1741</v>
      </c>
      <c r="B1802" s="1832">
        <f>'Tax Sched 23'!F14</f>
        <v>10611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1651292</v>
      </c>
      <c r="C1807" s="2" t="s">
        <v>569</v>
      </c>
      <c r="D1807" s="2" t="str">
        <f t="shared" si="27"/>
        <v>Error?</v>
      </c>
    </row>
    <row r="1808" spans="1:4" x14ac:dyDescent="0.2">
      <c r="A1808" s="5">
        <v>1747</v>
      </c>
      <c r="B1808" s="1832">
        <f>'Tax Sched 23'!E4</f>
        <v>1826137</v>
      </c>
      <c r="D1808" s="2" t="str">
        <f t="shared" si="27"/>
        <v>Error?</v>
      </c>
    </row>
    <row r="1809" spans="1:4" x14ac:dyDescent="0.2">
      <c r="A1809" s="5">
        <v>1748</v>
      </c>
      <c r="B1809" s="1832">
        <f>'Tax Sched 23'!E5</f>
        <v>324235</v>
      </c>
      <c r="D1809" s="2" t="str">
        <f t="shared" si="27"/>
        <v>Error?</v>
      </c>
    </row>
    <row r="1810" spans="1:4" x14ac:dyDescent="0.2">
      <c r="A1810" s="5">
        <v>1749</v>
      </c>
      <c r="B1810" s="1832">
        <f>'Tax Sched 23'!E6</f>
        <v>301755</v>
      </c>
      <c r="D1810" s="2" t="str">
        <f t="shared" si="27"/>
        <v>Error?</v>
      </c>
    </row>
    <row r="1811" spans="1:4" x14ac:dyDescent="0.2">
      <c r="A1811" s="5">
        <v>1750</v>
      </c>
      <c r="B1811" s="1832">
        <f>'Tax Sched 23'!E7</f>
        <v>178709</v>
      </c>
      <c r="D1811" s="2" t="str">
        <f t="shared" si="27"/>
        <v>Error?</v>
      </c>
    </row>
    <row r="1812" spans="1:4" x14ac:dyDescent="0.2">
      <c r="A1812" s="5">
        <v>1751</v>
      </c>
      <c r="B1812" s="1832">
        <f>'Tax Sched 23'!E8</f>
        <v>63269</v>
      </c>
      <c r="D1812" s="2" t="str">
        <f t="shared" si="27"/>
        <v>Error?</v>
      </c>
    </row>
    <row r="1813" spans="1:4" x14ac:dyDescent="0.2">
      <c r="A1813" s="5">
        <v>1752</v>
      </c>
      <c r="B1813" s="1832">
        <f>'Tax Sched 23'!E10</f>
        <v>22141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46875</v>
      </c>
      <c r="D1816" s="2" t="str">
        <f t="shared" si="27"/>
        <v>Error?</v>
      </c>
    </row>
    <row r="1817" spans="1:4" x14ac:dyDescent="0.2">
      <c r="A1817" s="5">
        <v>1756</v>
      </c>
      <c r="B1817" s="1832">
        <f>'Tax Sched 23'!E12</f>
        <v>25297</v>
      </c>
      <c r="D1817" s="2" t="str">
        <f t="shared" si="27"/>
        <v>Error?</v>
      </c>
    </row>
    <row r="1818" spans="1:4" x14ac:dyDescent="0.2">
      <c r="A1818" s="5">
        <v>1757</v>
      </c>
      <c r="B1818" s="1832">
        <f>'Tax Sched 23'!E14</f>
        <v>18423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2870110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2985000</v>
      </c>
      <c r="C1939" s="2" t="s">
        <v>569</v>
      </c>
      <c r="D1939" s="2" t="str">
        <f t="shared" si="29"/>
        <v>Error?</v>
      </c>
    </row>
    <row r="1940" spans="1:5" x14ac:dyDescent="0.2">
      <c r="A1940" s="5">
        <v>1879</v>
      </c>
      <c r="B1940" s="1832">
        <f>'Short-Term Long-Term Debt 24'!F49</f>
        <v>1695000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18208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18208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18208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25161</v>
      </c>
      <c r="D2008" s="2" t="str">
        <f t="shared" si="30"/>
        <v>Error?</v>
      </c>
    </row>
    <row r="2009" spans="1:4" x14ac:dyDescent="0.2">
      <c r="A2009" s="5">
        <v>1948</v>
      </c>
      <c r="B2009" s="1832">
        <f>'Cap Outlay Deprec 26'!C8</f>
        <v>8439365</v>
      </c>
      <c r="D2009" s="2" t="str">
        <f t="shared" si="30"/>
        <v>Error?</v>
      </c>
    </row>
    <row r="2010" spans="1:4" x14ac:dyDescent="0.2">
      <c r="A2010" s="5">
        <v>1949</v>
      </c>
      <c r="B2010" s="1832">
        <f>'Cap Outlay Deprec 26'!C10</f>
        <v>214641</v>
      </c>
      <c r="D2010" s="2" t="str">
        <f t="shared" si="30"/>
        <v>Error?</v>
      </c>
    </row>
    <row r="2011" spans="1:4" x14ac:dyDescent="0.2">
      <c r="A2011" s="5">
        <v>1950</v>
      </c>
      <c r="B2011" s="1832">
        <f>'Cap Outlay Deprec 26'!C12</f>
        <v>918712</v>
      </c>
      <c r="D2011" s="2" t="str">
        <f t="shared" si="30"/>
        <v>Error?</v>
      </c>
    </row>
    <row r="2012" spans="1:4" x14ac:dyDescent="0.2">
      <c r="A2012" s="5">
        <v>1951</v>
      </c>
      <c r="B2012" s="1832">
        <f>'Cap Outlay Deprec 26'!C13</f>
        <v>176324</v>
      </c>
      <c r="D2012" s="2" t="str">
        <f t="shared" si="30"/>
        <v>Error?</v>
      </c>
    </row>
    <row r="2013" spans="1:4" x14ac:dyDescent="0.2">
      <c r="A2013" s="5">
        <v>1952</v>
      </c>
      <c r="B2013" s="1832">
        <f>'Cap Outlay Deprec 26'!C16</f>
        <v>9774203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293772</v>
      </c>
      <c r="D2015" s="2" t="str">
        <f t="shared" si="30"/>
        <v>Error?</v>
      </c>
    </row>
    <row r="2016" spans="1:4" x14ac:dyDescent="0.2">
      <c r="A2016" s="5">
        <v>1955</v>
      </c>
      <c r="B2016" s="1832">
        <f>'Cap Outlay Deprec 26'!D10</f>
        <v>175030</v>
      </c>
      <c r="D2016" s="2" t="str">
        <f t="shared" si="30"/>
        <v>Error?</v>
      </c>
    </row>
    <row r="2017" spans="1:4" x14ac:dyDescent="0.2">
      <c r="A2017" s="5">
        <v>1956</v>
      </c>
      <c r="B2017" s="1832">
        <f>'Cap Outlay Deprec 26'!D12</f>
        <v>76390</v>
      </c>
      <c r="D2017" s="2" t="str">
        <f t="shared" si="30"/>
        <v>Error?</v>
      </c>
    </row>
    <row r="2018" spans="1:4" x14ac:dyDescent="0.2">
      <c r="A2018" s="5">
        <v>1957</v>
      </c>
      <c r="B2018" s="1832">
        <f>'Cap Outlay Deprec 26'!D13</f>
        <v>25575</v>
      </c>
      <c r="D2018" s="2" t="str">
        <f t="shared" si="30"/>
        <v>Error?</v>
      </c>
    </row>
    <row r="2019" spans="1:4" x14ac:dyDescent="0.2">
      <c r="A2019" s="5">
        <v>1958</v>
      </c>
      <c r="B2019" s="1832">
        <f>'Cap Outlay Deprec 26'!D16</f>
        <v>570767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25161</v>
      </c>
      <c r="C2026" s="2" t="s">
        <v>569</v>
      </c>
      <c r="D2026" s="2" t="str">
        <f t="shared" si="30"/>
        <v>Error?</v>
      </c>
    </row>
    <row r="2027" spans="1:4" x14ac:dyDescent="0.2">
      <c r="A2027" s="5">
        <v>1966</v>
      </c>
      <c r="B2027" s="1832">
        <f>'Cap Outlay Deprec 26'!F8</f>
        <v>8733137</v>
      </c>
      <c r="C2027" s="2" t="s">
        <v>569</v>
      </c>
      <c r="D2027" s="2" t="str">
        <f t="shared" si="30"/>
        <v>Error?</v>
      </c>
    </row>
    <row r="2028" spans="1:4" x14ac:dyDescent="0.2">
      <c r="A2028" s="5">
        <v>1967</v>
      </c>
      <c r="B2028" s="1832">
        <f>'Cap Outlay Deprec 26'!F10</f>
        <v>389671</v>
      </c>
      <c r="C2028" s="2" t="s">
        <v>569</v>
      </c>
      <c r="D2028" s="2" t="str">
        <f t="shared" si="30"/>
        <v>Error?</v>
      </c>
    </row>
    <row r="2029" spans="1:4" x14ac:dyDescent="0.2">
      <c r="A2029" s="5">
        <v>1968</v>
      </c>
      <c r="B2029" s="1832">
        <f>'Cap Outlay Deprec 26'!F12</f>
        <v>995102</v>
      </c>
      <c r="C2029" s="2" t="s">
        <v>569</v>
      </c>
      <c r="D2029" s="2" t="str">
        <f t="shared" si="30"/>
        <v>Error?</v>
      </c>
    </row>
    <row r="2030" spans="1:4" x14ac:dyDescent="0.2">
      <c r="A2030" s="5">
        <v>1969</v>
      </c>
      <c r="B2030" s="1832">
        <f>'Cap Outlay Deprec 26'!F13</f>
        <v>201899</v>
      </c>
      <c r="C2030" s="2" t="s">
        <v>569</v>
      </c>
      <c r="D2030" s="2" t="str">
        <f t="shared" si="30"/>
        <v>Error?</v>
      </c>
    </row>
    <row r="2031" spans="1:4" x14ac:dyDescent="0.2">
      <c r="A2031" s="5">
        <v>1970</v>
      </c>
      <c r="B2031" s="1832">
        <f>'Cap Outlay Deprec 26'!F16</f>
        <v>10344970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3224643</v>
      </c>
      <c r="D2033" s="2" t="str">
        <f t="shared" si="30"/>
        <v>Error?</v>
      </c>
    </row>
    <row r="2034" spans="1:4" x14ac:dyDescent="0.2">
      <c r="A2034" s="5">
        <v>1973</v>
      </c>
      <c r="B2034" s="1832">
        <f>'Cap Outlay Deprec 26'!H10</f>
        <v>91999</v>
      </c>
      <c r="D2034" s="2" t="str">
        <f t="shared" si="30"/>
        <v>Error?</v>
      </c>
    </row>
    <row r="2035" spans="1:4" x14ac:dyDescent="0.2">
      <c r="A2035" s="5">
        <v>1974</v>
      </c>
      <c r="B2035" s="1832">
        <f>'Cap Outlay Deprec 26'!H12</f>
        <v>698088</v>
      </c>
      <c r="D2035" s="2" t="str">
        <f t="shared" si="30"/>
        <v>Error?</v>
      </c>
    </row>
    <row r="2036" spans="1:4" x14ac:dyDescent="0.2">
      <c r="A2036" s="5">
        <v>1975</v>
      </c>
      <c r="B2036" s="1832">
        <f>'Cap Outlay Deprec 26'!H13</f>
        <v>129014</v>
      </c>
      <c r="D2036" s="2" t="str">
        <f t="shared" si="30"/>
        <v>Error?</v>
      </c>
    </row>
    <row r="2037" spans="1:4" x14ac:dyDescent="0.2">
      <c r="A2037" s="5">
        <v>1976</v>
      </c>
      <c r="B2037" s="1832">
        <f>'Cap Outlay Deprec 26'!H16</f>
        <v>4143744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174663</v>
      </c>
      <c r="D2039" s="2" t="str">
        <f t="shared" si="30"/>
        <v>Error?</v>
      </c>
    </row>
    <row r="2040" spans="1:4" x14ac:dyDescent="0.2">
      <c r="A2040" s="5">
        <v>1979</v>
      </c>
      <c r="B2040" s="1832">
        <f>'Cap Outlay Deprec 26'!I10</f>
        <v>18116</v>
      </c>
      <c r="D2040" s="2" t="str">
        <f t="shared" si="30"/>
        <v>Error?</v>
      </c>
    </row>
    <row r="2041" spans="1:4" x14ac:dyDescent="0.2">
      <c r="A2041" s="5">
        <v>1980</v>
      </c>
      <c r="B2041" s="1832">
        <f>'Cap Outlay Deprec 26'!I12</f>
        <v>44607</v>
      </c>
      <c r="D2041" s="2" t="str">
        <f t="shared" si="30"/>
        <v>Error?</v>
      </c>
    </row>
    <row r="2042" spans="1:4" x14ac:dyDescent="0.2">
      <c r="A2042" s="5">
        <v>1981</v>
      </c>
      <c r="B2042" s="1832">
        <f>'Cap Outlay Deprec 26'!I13</f>
        <v>16943</v>
      </c>
      <c r="D2042" s="2" t="str">
        <f t="shared" si="30"/>
        <v>Error?</v>
      </c>
    </row>
    <row r="2043" spans="1:4" x14ac:dyDescent="0.2">
      <c r="A2043" s="5">
        <v>1982</v>
      </c>
      <c r="B2043" s="1832">
        <f>'Cap Outlay Deprec 26'!I16</f>
        <v>254329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3399306</v>
      </c>
      <c r="C2051" s="2" t="s">
        <v>569</v>
      </c>
      <c r="D2051" s="2" t="str">
        <f t="shared" si="31"/>
        <v>Error?</v>
      </c>
    </row>
    <row r="2052" spans="1:4" x14ac:dyDescent="0.2">
      <c r="A2052" s="5">
        <v>1991</v>
      </c>
      <c r="B2052" s="1832">
        <f>'Cap Outlay Deprec 26'!K10</f>
        <v>110115</v>
      </c>
      <c r="C2052" s="2" t="s">
        <v>569</v>
      </c>
      <c r="D2052" s="2" t="str">
        <f t="shared" si="31"/>
        <v>Error?</v>
      </c>
    </row>
    <row r="2053" spans="1:4" x14ac:dyDescent="0.2">
      <c r="A2053" s="5">
        <v>1992</v>
      </c>
      <c r="B2053" s="1832">
        <f>'Cap Outlay Deprec 26'!K12</f>
        <v>742695</v>
      </c>
      <c r="C2053" s="2" t="s">
        <v>569</v>
      </c>
      <c r="D2053" s="2" t="str">
        <f t="shared" si="31"/>
        <v>Error?</v>
      </c>
    </row>
    <row r="2054" spans="1:4" x14ac:dyDescent="0.2">
      <c r="A2054" s="5">
        <v>1993</v>
      </c>
      <c r="B2054" s="1832">
        <f>'Cap Outlay Deprec 26'!K13</f>
        <v>145957</v>
      </c>
      <c r="C2054" s="2" t="s">
        <v>569</v>
      </c>
      <c r="D2054" s="2" t="str">
        <f t="shared" si="31"/>
        <v>Error?</v>
      </c>
    </row>
    <row r="2055" spans="1:4" x14ac:dyDescent="0.2">
      <c r="A2055" s="5">
        <v>1994</v>
      </c>
      <c r="B2055" s="1832">
        <f>'Cap Outlay Deprec 26'!K16</f>
        <v>4398073</v>
      </c>
      <c r="C2055" s="2" t="s">
        <v>569</v>
      </c>
      <c r="D2055" s="2" t="str">
        <f t="shared" si="31"/>
        <v>Error?</v>
      </c>
    </row>
    <row r="2056" spans="1:4" x14ac:dyDescent="0.2">
      <c r="A2056" s="5">
        <v>1995</v>
      </c>
      <c r="B2056" s="1832">
        <f>'Cap Outlay Deprec 26'!L5</f>
        <v>25161</v>
      </c>
      <c r="C2056" s="2" t="s">
        <v>569</v>
      </c>
      <c r="D2056" s="2" t="str">
        <f t="shared" si="31"/>
        <v>Error?</v>
      </c>
    </row>
    <row r="2057" spans="1:4" x14ac:dyDescent="0.2">
      <c r="A2057" s="5">
        <v>1996</v>
      </c>
      <c r="B2057" s="1832">
        <f>'Cap Outlay Deprec 26'!L8</f>
        <v>5333831</v>
      </c>
      <c r="C2057" s="2" t="s">
        <v>569</v>
      </c>
      <c r="D2057" s="2" t="str">
        <f t="shared" si="31"/>
        <v>Error?</v>
      </c>
    </row>
    <row r="2058" spans="1:4" x14ac:dyDescent="0.2">
      <c r="A2058" s="5">
        <v>1997</v>
      </c>
      <c r="B2058" s="1832">
        <f>'Cap Outlay Deprec 26'!L10</f>
        <v>279556</v>
      </c>
      <c r="C2058" s="2" t="s">
        <v>569</v>
      </c>
      <c r="D2058" s="2" t="str">
        <f t="shared" si="31"/>
        <v>Error?</v>
      </c>
    </row>
    <row r="2059" spans="1:4" x14ac:dyDescent="0.2">
      <c r="A2059" s="5">
        <v>1998</v>
      </c>
      <c r="B2059" s="1832">
        <f>'Cap Outlay Deprec 26'!L12</f>
        <v>252407</v>
      </c>
      <c r="C2059" s="2" t="s">
        <v>569</v>
      </c>
      <c r="D2059" s="2" t="str">
        <f t="shared" si="31"/>
        <v>Error?</v>
      </c>
    </row>
    <row r="2060" spans="1:4" x14ac:dyDescent="0.2">
      <c r="A2060" s="5">
        <v>1999</v>
      </c>
      <c r="B2060" s="1832">
        <f>'Cap Outlay Deprec 26'!L13</f>
        <v>55942</v>
      </c>
      <c r="C2060" s="2" t="s">
        <v>569</v>
      </c>
      <c r="D2060" s="2" t="str">
        <f t="shared" si="31"/>
        <v>Error?</v>
      </c>
    </row>
    <row r="2061" spans="1:4" x14ac:dyDescent="0.2">
      <c r="A2061" s="5">
        <v>2000</v>
      </c>
      <c r="B2061" s="1832">
        <f>'Cap Outlay Deprec 26'!L16</f>
        <v>5946897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355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355</v>
      </c>
      <c r="C2088" s="2" t="s">
        <v>569</v>
      </c>
      <c r="D2088" s="2" t="str">
        <f t="shared" si="31"/>
        <v>Error?</v>
      </c>
    </row>
    <row r="2089" spans="1:4" x14ac:dyDescent="0.2">
      <c r="A2089" s="5">
        <v>2028</v>
      </c>
      <c r="B2089" s="1832">
        <f>'Expenditures 15-22'!K92</f>
        <v>97352</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61080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2070457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1089314</v>
      </c>
      <c r="C2553" s="2" t="s">
        <v>569</v>
      </c>
      <c r="D2553" s="2" t="str">
        <f t="shared" si="38"/>
        <v>Error?</v>
      </c>
    </row>
    <row r="2554" spans="1:4" x14ac:dyDescent="0.2">
      <c r="A2554" s="5">
        <v>2493</v>
      </c>
      <c r="B2554" s="1832">
        <f>'Acct Summary 7-8'!C7</f>
        <v>247482</v>
      </c>
      <c r="C2554" s="2" t="s">
        <v>569</v>
      </c>
      <c r="D2554" s="2" t="str">
        <f t="shared" si="38"/>
        <v>Error?</v>
      </c>
    </row>
    <row r="2555" spans="1:4" x14ac:dyDescent="0.2">
      <c r="A2555" s="5">
        <v>2494</v>
      </c>
      <c r="B2555" s="1832">
        <f>'Acct Summary 7-8'!C8</f>
        <v>3407253</v>
      </c>
      <c r="C2555" s="2" t="s">
        <v>569</v>
      </c>
      <c r="D2555" s="2" t="str">
        <f t="shared" si="38"/>
        <v>Error?</v>
      </c>
    </row>
    <row r="2556" spans="1:4" x14ac:dyDescent="0.2">
      <c r="A2556" s="5">
        <v>2495</v>
      </c>
      <c r="B2556" s="1832">
        <f>'Acct Summary 7-8'!C12</f>
        <v>2332922</v>
      </c>
      <c r="C2556" s="2" t="s">
        <v>569</v>
      </c>
      <c r="D2556" s="2" t="str">
        <f t="shared" si="38"/>
        <v>Error?</v>
      </c>
    </row>
    <row r="2557" spans="1:4" x14ac:dyDescent="0.2">
      <c r="A2557" s="5">
        <v>2496</v>
      </c>
      <c r="B2557" s="1832">
        <f>'Acct Summary 7-8'!C13</f>
        <v>944918</v>
      </c>
      <c r="C2557" s="2" t="s">
        <v>569</v>
      </c>
      <c r="D2557" s="2" t="str">
        <f t="shared" si="38"/>
        <v>Error?</v>
      </c>
    </row>
    <row r="2558" spans="1:4" x14ac:dyDescent="0.2">
      <c r="A2558" s="5">
        <v>2497</v>
      </c>
      <c r="B2558" s="1832">
        <f>'Acct Summary 7-8'!C14</f>
        <v>1413</v>
      </c>
      <c r="C2558" s="2" t="s">
        <v>569</v>
      </c>
      <c r="D2558" s="2" t="str">
        <f t="shared" si="38"/>
        <v>Error?</v>
      </c>
    </row>
    <row r="2559" spans="1:4" x14ac:dyDescent="0.2">
      <c r="A2559" s="5">
        <v>2498</v>
      </c>
      <c r="B2559" s="1832">
        <f>'Acct Summary 7-8'!C15</f>
        <v>97707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3376960</v>
      </c>
      <c r="C2561" s="2" t="s">
        <v>569</v>
      </c>
      <c r="D2561" s="2" t="str">
        <f t="shared" si="39"/>
        <v>Error?</v>
      </c>
    </row>
    <row r="2562" spans="1:4" x14ac:dyDescent="0.2">
      <c r="A2562" s="5">
        <v>2501</v>
      </c>
      <c r="B2562" s="1832">
        <f>'Acct Summary 7-8'!C20</f>
        <v>30293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375693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425693</v>
      </c>
      <c r="C2568" s="2" t="s">
        <v>569</v>
      </c>
      <c r="D2568" s="2" t="str">
        <f t="shared" si="39"/>
        <v>Error?</v>
      </c>
    </row>
    <row r="2569" spans="1:4" x14ac:dyDescent="0.2">
      <c r="A2569" s="5">
        <v>2508</v>
      </c>
      <c r="B2569" s="1832">
        <f>'Acct Summary 7-8'!D13</f>
        <v>299418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299418</v>
      </c>
      <c r="C2573" s="2" t="s">
        <v>569</v>
      </c>
      <c r="D2573" s="2" t="str">
        <f t="shared" si="39"/>
        <v>Error?</v>
      </c>
    </row>
    <row r="2574" spans="1:4" x14ac:dyDescent="0.2">
      <c r="A2574" s="5">
        <v>2513</v>
      </c>
      <c r="B2574" s="1832">
        <f>'Acct Summary 7-8'!D20</f>
        <v>126275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186780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134600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321380</v>
      </c>
      <c r="C2595" s="2" t="s">
        <v>569</v>
      </c>
      <c r="D2595" s="2" t="str">
        <f t="shared" si="39"/>
        <v>Error?</v>
      </c>
    </row>
    <row r="2596" spans="1:4" x14ac:dyDescent="0.2">
      <c r="A2596" s="5">
        <v>2535</v>
      </c>
      <c r="B2596" s="1832">
        <f>'Acct Summary 7-8'!F13</f>
        <v>170535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95559</v>
      </c>
      <c r="C2599" s="2" t="s">
        <v>569</v>
      </c>
      <c r="D2599" s="2" t="str">
        <f t="shared" si="39"/>
        <v>Error?</v>
      </c>
    </row>
    <row r="2600" spans="1:4" x14ac:dyDescent="0.2">
      <c r="A2600" s="5">
        <v>2539</v>
      </c>
      <c r="B2600" s="1832">
        <f>'Acct Summary 7-8'!F17</f>
        <v>266094</v>
      </c>
      <c r="C2600" s="2" t="s">
        <v>569</v>
      </c>
      <c r="D2600" s="2" t="str">
        <f t="shared" si="39"/>
        <v>Error?</v>
      </c>
    </row>
    <row r="2601" spans="1:4" x14ac:dyDescent="0.2">
      <c r="A2601" s="5">
        <v>2540</v>
      </c>
      <c r="B2601" s="1832">
        <f>'Acct Summary 7-8'!F20</f>
        <v>55286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140281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140281</v>
      </c>
      <c r="C2606" s="2" t="s">
        <v>569</v>
      </c>
      <c r="D2606" s="2" t="str">
        <f t="shared" si="39"/>
        <v>Error?</v>
      </c>
    </row>
    <row r="2607" spans="1:4" x14ac:dyDescent="0.2">
      <c r="A2607" s="5">
        <v>2546</v>
      </c>
      <c r="B2607" s="1832">
        <f>'Acct Summary 7-8'!G12</f>
        <v>60153</v>
      </c>
      <c r="C2607" s="2" t="s">
        <v>569</v>
      </c>
      <c r="D2607" s="2" t="str">
        <f t="shared" si="39"/>
        <v>Error?</v>
      </c>
    </row>
    <row r="2608" spans="1:4" x14ac:dyDescent="0.2">
      <c r="A2608" s="5">
        <v>2547</v>
      </c>
      <c r="B2608" s="1832">
        <f>'Acct Summary 7-8'!G13</f>
        <v>68161</v>
      </c>
      <c r="C2608" s="2" t="s">
        <v>569</v>
      </c>
      <c r="D2608" s="2" t="str">
        <f t="shared" si="39"/>
        <v>Error?</v>
      </c>
    </row>
    <row r="2609" spans="1:4" x14ac:dyDescent="0.2">
      <c r="A2609" s="5">
        <v>2548</v>
      </c>
      <c r="B2609" s="1832">
        <f>'Acct Summary 7-8'!G14</f>
        <v>46</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128360</v>
      </c>
      <c r="C2612" s="2" t="s">
        <v>569</v>
      </c>
      <c r="D2612" s="2" t="str">
        <f t="shared" si="39"/>
        <v>Error?</v>
      </c>
    </row>
    <row r="2613" spans="1:4" x14ac:dyDescent="0.2">
      <c r="A2613" s="5">
        <v>2552</v>
      </c>
      <c r="B2613" s="1832">
        <f>'Acct Summary 7-8'!G20</f>
        <v>11921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303215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303215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359793</v>
      </c>
      <c r="C2634" s="2" t="s">
        <v>569</v>
      </c>
      <c r="D2634" s="2" t="str">
        <f t="shared" si="40"/>
        <v>Error?</v>
      </c>
    </row>
    <row r="2635" spans="1:4" x14ac:dyDescent="0.2">
      <c r="A2635" s="5">
        <v>2574</v>
      </c>
      <c r="B2635" s="1832">
        <f>'Acct Summary 7-8'!E17</f>
        <v>359793</v>
      </c>
      <c r="C2635" s="2" t="s">
        <v>569</v>
      </c>
      <c r="D2635" s="2" t="str">
        <f t="shared" si="40"/>
        <v>Error?</v>
      </c>
    </row>
    <row r="2636" spans="1:4" x14ac:dyDescent="0.2">
      <c r="A2636" s="5">
        <v>2575</v>
      </c>
      <c r="B2636" s="1832">
        <f>'Acct Summary 7-8'!E20</f>
        <v>-56578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249064</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249064</v>
      </c>
      <c r="C2658" s="2" t="s">
        <v>569</v>
      </c>
      <c r="D2658" s="2" t="str">
        <f t="shared" si="40"/>
        <v>Error?</v>
      </c>
    </row>
    <row r="2659" spans="1:4" x14ac:dyDescent="0.2">
      <c r="A2659" s="5">
        <v>2598</v>
      </c>
      <c r="B2659" s="1832">
        <f>'Acct Summary 7-8'!H13</f>
        <v>428628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428628</v>
      </c>
      <c r="C2661" s="2" t="s">
        <v>569</v>
      </c>
      <c r="D2661" s="2" t="str">
        <f t="shared" si="40"/>
        <v>Error?</v>
      </c>
    </row>
    <row r="2662" spans="1:4" x14ac:dyDescent="0.2">
      <c r="A2662" s="5">
        <v>2601</v>
      </c>
      <c r="B2662" s="1832">
        <f>'Acct Summary 7-8'!H20</f>
        <v>-179564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64735</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2056054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343113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2056054</v>
      </c>
      <c r="D2912" s="2" t="str">
        <f t="shared" si="44"/>
        <v>Error?</v>
      </c>
    </row>
    <row r="2913" spans="1:4" x14ac:dyDescent="0.2">
      <c r="A2913" s="5">
        <v>2852</v>
      </c>
      <c r="B2913" s="1832">
        <f>'Assets-Liab 5-6'!I41</f>
        <v>2056054</v>
      </c>
      <c r="C2913" s="2" t="s">
        <v>569</v>
      </c>
      <c r="D2913" s="2" t="str">
        <f t="shared" si="44"/>
        <v>Error?</v>
      </c>
    </row>
    <row r="2914" spans="1:4" x14ac:dyDescent="0.2">
      <c r="A2914" s="5">
        <v>2853</v>
      </c>
      <c r="B2914" s="1832">
        <f>'Assets-Liab 5-6'!L33</f>
        <v>343113</v>
      </c>
      <c r="D2914" s="2" t="str">
        <f t="shared" si="44"/>
        <v>Error?</v>
      </c>
    </row>
    <row r="2915" spans="1:4" x14ac:dyDescent="0.2">
      <c r="A2915" s="10">
        <v>2854</v>
      </c>
      <c r="B2915" s="1832"/>
      <c r="D2915" s="2" t="str">
        <f t="shared" si="44"/>
        <v>OK</v>
      </c>
    </row>
    <row r="2916" spans="1:4" x14ac:dyDescent="0.2">
      <c r="A2916" s="5">
        <v>2855</v>
      </c>
      <c r="B2916" s="1832">
        <f>'Assets-Liab 5-6'!L34</f>
        <v>343113</v>
      </c>
      <c r="C2916" s="2" t="s">
        <v>569</v>
      </c>
      <c r="D2916" s="2" t="str">
        <f t="shared" si="44"/>
        <v>Error?</v>
      </c>
    </row>
    <row r="2917" spans="1:4" x14ac:dyDescent="0.2">
      <c r="A2917" s="5">
        <v>2856</v>
      </c>
      <c r="B2917" s="1832">
        <f>'Assets-Liab 5-6'!L41</f>
        <v>343113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355</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355</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54246</v>
      </c>
      <c r="D3055" s="2" t="str">
        <f t="shared" si="46"/>
        <v>Error?</v>
      </c>
    </row>
    <row r="3056" spans="1:4" x14ac:dyDescent="0.2">
      <c r="A3056" s="5">
        <v>2995</v>
      </c>
      <c r="B3056" s="1832">
        <f>'Expenditures 15-22'!D10</f>
        <v>5809</v>
      </c>
      <c r="D3056" s="2" t="str">
        <f t="shared" si="46"/>
        <v>Error?</v>
      </c>
    </row>
    <row r="3057" spans="1:4" x14ac:dyDescent="0.2">
      <c r="A3057" s="5">
        <v>2996</v>
      </c>
      <c r="B3057" s="1832">
        <f>'Expenditures 15-22'!E10</f>
        <v>5358</v>
      </c>
      <c r="D3057" s="2" t="str">
        <f t="shared" si="46"/>
        <v>Error?</v>
      </c>
    </row>
    <row r="3058" spans="1:4" x14ac:dyDescent="0.2">
      <c r="A3058" s="5">
        <v>2997</v>
      </c>
      <c r="B3058" s="1832">
        <f>'Expenditures 15-22'!F10</f>
        <v>10598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76011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22957</v>
      </c>
      <c r="C3225" s="2" t="s">
        <v>569</v>
      </c>
      <c r="D3225" s="2" t="str">
        <f t="shared" si="49"/>
        <v>Error?</v>
      </c>
    </row>
    <row r="3226" spans="1:4" x14ac:dyDescent="0.2">
      <c r="A3226" s="5">
        <v>3165</v>
      </c>
      <c r="B3226" s="1832">
        <f>'Acct Summary 7-8'!I8</f>
        <v>22957</v>
      </c>
      <c r="C3226" s="2" t="s">
        <v>569</v>
      </c>
      <c r="D3226" s="2" t="str">
        <f t="shared" si="49"/>
        <v>Error?</v>
      </c>
    </row>
    <row r="3227" spans="1:4" x14ac:dyDescent="0.2">
      <c r="A3227" s="5">
        <v>3166</v>
      </c>
      <c r="B3227" s="1832">
        <f>'Acct Summary 7-8'!I20</f>
        <v>22957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30293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126275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55286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11921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118728</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118728</v>
      </c>
      <c r="C3277" s="2" t="s">
        <v>569</v>
      </c>
      <c r="D3277" s="2" t="str">
        <f t="shared" si="50"/>
        <v>Error?</v>
      </c>
    </row>
    <row r="3278" spans="1:4" x14ac:dyDescent="0.2">
      <c r="A3278" s="5">
        <v>3217</v>
      </c>
      <c r="B3278" s="1832">
        <f>'Acct Summary 7-8'!E78</f>
        <v>62150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-179564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1725000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1725000</v>
      </c>
      <c r="C3319" s="2" t="s">
        <v>569</v>
      </c>
      <c r="D3319" s="2" t="str">
        <f t="shared" si="50"/>
        <v>Error?</v>
      </c>
    </row>
    <row r="3320" spans="1:4" x14ac:dyDescent="0.2">
      <c r="A3320" s="5">
        <v>3259</v>
      </c>
      <c r="B3320" s="1832">
        <f>'Acct Summary 7-8'!I78</f>
        <v>1747957</v>
      </c>
      <c r="C3320" s="2" t="s">
        <v>569</v>
      </c>
      <c r="D3320" s="2" t="str">
        <f t="shared" si="50"/>
        <v>Error?</v>
      </c>
    </row>
    <row r="3321" spans="1:4" x14ac:dyDescent="0.2">
      <c r="A3321" s="5">
        <v>3260</v>
      </c>
      <c r="B3321" s="1832">
        <f>'Acct Summary 7-8'!I79</f>
        <v>308097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2056054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281951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36732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77198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395881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29314</v>
      </c>
      <c r="D3387" s="2" t="str">
        <f t="shared" si="51"/>
        <v>Error?</v>
      </c>
    </row>
    <row r="3388" spans="1:4" x14ac:dyDescent="0.2">
      <c r="A3388" s="5">
        <v>3327</v>
      </c>
      <c r="B3388" s="1832">
        <f>'Expenditures 15-22'!D217</f>
        <v>15441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29314</v>
      </c>
      <c r="C3390" s="2" t="s">
        <v>569</v>
      </c>
      <c r="D3390" s="2" t="str">
        <f t="shared" si="51"/>
        <v>Error?</v>
      </c>
    </row>
    <row r="3391" spans="1:4" x14ac:dyDescent="0.2">
      <c r="A3391" s="5">
        <v>3330</v>
      </c>
      <c r="B3391" s="1832">
        <f>'Expenditures 15-22'!K217</f>
        <v>15441</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1302474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551254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197681</v>
      </c>
      <c r="D3417" s="2" t="str">
        <f t="shared" si="52"/>
        <v>Error?</v>
      </c>
    </row>
    <row r="3418" spans="1:4" x14ac:dyDescent="0.2">
      <c r="A3418" s="10">
        <v>3357</v>
      </c>
      <c r="B3418" s="1832"/>
      <c r="D3418" s="2" t="str">
        <f t="shared" si="52"/>
        <v>OK</v>
      </c>
    </row>
    <row r="3419" spans="1:4" x14ac:dyDescent="0.2">
      <c r="A3419" s="5">
        <v>3358</v>
      </c>
      <c r="B3419" s="1832">
        <f>'Assets-Liab 5-6'!F4</f>
        <v>544801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79732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83967</v>
      </c>
      <c r="D3425" s="2" t="str">
        <f t="shared" si="52"/>
        <v>Error?</v>
      </c>
    </row>
    <row r="3426" spans="1:4" x14ac:dyDescent="0.2">
      <c r="A3426" s="10">
        <v>3365</v>
      </c>
      <c r="B3426" s="1832"/>
      <c r="D3426" s="2" t="str">
        <f t="shared" si="52"/>
        <v>OK</v>
      </c>
    </row>
    <row r="3427" spans="1:4" x14ac:dyDescent="0.2">
      <c r="A3427" s="5">
        <v>3366</v>
      </c>
      <c r="B3427" s="1832">
        <f>'Assets-Liab 5-6'!I4</f>
        <v>1991319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343113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62559</v>
      </c>
      <c r="C3446" s="2" t="s">
        <v>569</v>
      </c>
      <c r="D3446" s="2" t="str">
        <f t="shared" si="52"/>
        <v>Error?</v>
      </c>
    </row>
    <row r="3447" spans="1:4" x14ac:dyDescent="0.2">
      <c r="A3447" s="5">
        <v>3386</v>
      </c>
      <c r="B3447" s="1832">
        <f>'Tax Sched 23'!D16</f>
        <v>35706</v>
      </c>
      <c r="C3447" s="2" t="s">
        <v>569</v>
      </c>
      <c r="D3447" s="2" t="str">
        <f t="shared" si="52"/>
        <v>Error?</v>
      </c>
    </row>
    <row r="3448" spans="1:4" x14ac:dyDescent="0.2">
      <c r="A3448" s="5">
        <v>3387</v>
      </c>
      <c r="B3448" s="1832">
        <f>'Tax Sched 23'!C16</f>
        <v>26853</v>
      </c>
      <c r="D3448" s="2" t="str">
        <f t="shared" si="52"/>
        <v>Error?</v>
      </c>
    </row>
    <row r="3449" spans="1:4" x14ac:dyDescent="0.2">
      <c r="A3449" s="5">
        <v>3388</v>
      </c>
      <c r="B3449" s="1832">
        <f>'Tax Sched 23'!F16</f>
        <v>36416</v>
      </c>
      <c r="C3449" s="2" t="s">
        <v>569</v>
      </c>
      <c r="D3449" s="2" t="str">
        <f t="shared" si="52"/>
        <v>Error?</v>
      </c>
    </row>
    <row r="3450" spans="1:4" x14ac:dyDescent="0.2">
      <c r="A3450" s="5">
        <v>3389</v>
      </c>
      <c r="B3450" s="1832">
        <f>'Tax Sched 23'!E16</f>
        <v>63269</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63826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63826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63826</v>
      </c>
      <c r="D3567" s="2" t="str">
        <f t="shared" si="54"/>
        <v>Error?</v>
      </c>
    </row>
    <row r="3568" spans="1:4" x14ac:dyDescent="0.2">
      <c r="A3568" s="5">
        <v>3507</v>
      </c>
      <c r="B3568" s="1832">
        <f>'Assets-Liab 5-6'!K41</f>
        <v>63826</v>
      </c>
      <c r="C3568" s="2" t="s">
        <v>569</v>
      </c>
      <c r="D3568" s="2" t="str">
        <f t="shared" si="54"/>
        <v>Error?</v>
      </c>
    </row>
    <row r="3569" spans="1:4" x14ac:dyDescent="0.2">
      <c r="A3569" s="5">
        <v>3508</v>
      </c>
      <c r="B3569" s="1832">
        <f>'Acct Summary 7-8'!K4</f>
        <v>25050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25050</v>
      </c>
      <c r="C3571" s="2" t="s">
        <v>569</v>
      </c>
      <c r="D3571" s="2" t="str">
        <f t="shared" si="54"/>
        <v>Error?</v>
      </c>
    </row>
    <row r="3572" spans="1:4" x14ac:dyDescent="0.2">
      <c r="A3572" s="5">
        <v>3511</v>
      </c>
      <c r="B3572" s="1832">
        <f>'Acct Summary 7-8'!K13</f>
        <v>92566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92566</v>
      </c>
      <c r="C3575" s="2" t="s">
        <v>569</v>
      </c>
      <c r="D3575" s="2" t="str">
        <f t="shared" si="54"/>
        <v>Error?</v>
      </c>
    </row>
    <row r="3576" spans="1:4" x14ac:dyDescent="0.2">
      <c r="A3576" s="5">
        <v>3515</v>
      </c>
      <c r="B3576" s="1832">
        <f>'Acct Summary 7-8'!K20</f>
        <v>-67516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-67516</v>
      </c>
      <c r="C3588" s="2" t="s">
        <v>569</v>
      </c>
      <c r="D3588" s="2" t="str">
        <f t="shared" si="55"/>
        <v>Error?</v>
      </c>
    </row>
    <row r="3589" spans="1:4" x14ac:dyDescent="0.2">
      <c r="A3589" s="5">
        <v>3528</v>
      </c>
      <c r="B3589" s="1832">
        <f>'Acct Summary 7-8'!K79</f>
        <v>131342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63826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92566</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92566</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92566</v>
      </c>
      <c r="C3649" s="2" t="s">
        <v>569</v>
      </c>
      <c r="D3649" s="2" t="str">
        <f t="shared" si="56"/>
        <v>Error?</v>
      </c>
    </row>
    <row r="3650" spans="1:4" x14ac:dyDescent="0.2">
      <c r="A3650" s="5">
        <v>3589</v>
      </c>
      <c r="B3650" s="1832">
        <f>'Expenditures 15-22'!G367</f>
        <v>92566</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92566</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92566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92566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92566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-67516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252288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3659541</v>
      </c>
      <c r="C4122" s="2" t="s">
        <v>569</v>
      </c>
      <c r="D4122" s="2" t="str">
        <f t="shared" si="63"/>
        <v>Error?</v>
      </c>
    </row>
    <row r="4123" spans="1:4" x14ac:dyDescent="0.2">
      <c r="A4123" s="5">
        <v>4062</v>
      </c>
      <c r="B4123" s="1832">
        <f>'Acct Summary 7-8'!D10</f>
        <v>425693</v>
      </c>
      <c r="C4123" s="2" t="s">
        <v>569</v>
      </c>
      <c r="D4123" s="2" t="str">
        <f t="shared" si="63"/>
        <v>Error?</v>
      </c>
    </row>
    <row r="4124" spans="1:4" x14ac:dyDescent="0.2">
      <c r="A4124" s="5">
        <v>4063</v>
      </c>
      <c r="B4124" s="1832">
        <f>'Acct Summary 7-8'!E10</f>
        <v>303215</v>
      </c>
      <c r="C4124" s="2" t="s">
        <v>569</v>
      </c>
      <c r="D4124" s="2" t="str">
        <f t="shared" si="63"/>
        <v>Error?</v>
      </c>
    </row>
    <row r="4125" spans="1:4" x14ac:dyDescent="0.2">
      <c r="A4125" s="5">
        <v>4064</v>
      </c>
      <c r="B4125" s="1832">
        <f>'Acct Summary 7-8'!F10</f>
        <v>321380</v>
      </c>
      <c r="C4125" s="2" t="s">
        <v>569</v>
      </c>
      <c r="D4125" s="2" t="str">
        <f t="shared" si="63"/>
        <v>Error?</v>
      </c>
    </row>
    <row r="4126" spans="1:4" x14ac:dyDescent="0.2">
      <c r="A4126" s="5">
        <v>4065</v>
      </c>
      <c r="B4126" s="1832">
        <f>'Acct Summary 7-8'!G10</f>
        <v>140281</v>
      </c>
      <c r="C4126" s="2" t="s">
        <v>569</v>
      </c>
      <c r="D4126" s="2" t="str">
        <f t="shared" si="63"/>
        <v>Error?</v>
      </c>
    </row>
    <row r="4127" spans="1:4" x14ac:dyDescent="0.2">
      <c r="A4127" s="5">
        <v>4066</v>
      </c>
      <c r="B4127" s="1832">
        <f>'Acct Summary 7-8'!H10</f>
        <v>249064</v>
      </c>
      <c r="C4127" s="2" t="s">
        <v>569</v>
      </c>
      <c r="D4127" s="2" t="str">
        <f t="shared" si="63"/>
        <v>Error?</v>
      </c>
    </row>
    <row r="4128" spans="1:4" x14ac:dyDescent="0.2">
      <c r="A4128" s="5">
        <v>4067</v>
      </c>
      <c r="B4128" s="1832">
        <f>'Acct Summary 7-8'!I10</f>
        <v>22957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25050</v>
      </c>
      <c r="C4130" s="2" t="s">
        <v>569</v>
      </c>
      <c r="D4130" s="2" t="str">
        <f t="shared" si="63"/>
        <v>Error?</v>
      </c>
    </row>
    <row r="4131" spans="1:4" x14ac:dyDescent="0.2">
      <c r="A4131" s="5">
        <v>4070</v>
      </c>
      <c r="B4131" s="1832">
        <f>'Acct Summary 7-8'!C18</f>
        <v>252288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3629248</v>
      </c>
      <c r="C4136" s="2" t="s">
        <v>569</v>
      </c>
      <c r="D4136" s="2" t="str">
        <f t="shared" si="63"/>
        <v>Error?</v>
      </c>
    </row>
    <row r="4137" spans="1:4" x14ac:dyDescent="0.2">
      <c r="A4137" s="5">
        <v>4076</v>
      </c>
      <c r="B4137" s="1832">
        <f>'Acct Summary 7-8'!D19</f>
        <v>299418</v>
      </c>
      <c r="C4137" s="2" t="s">
        <v>569</v>
      </c>
      <c r="D4137" s="2" t="str">
        <f t="shared" si="63"/>
        <v>Error?</v>
      </c>
    </row>
    <row r="4138" spans="1:4" x14ac:dyDescent="0.2">
      <c r="A4138" s="5">
        <v>4077</v>
      </c>
      <c r="B4138" s="1832">
        <f>'Acct Summary 7-8'!E19</f>
        <v>359793</v>
      </c>
      <c r="C4138" s="2" t="s">
        <v>569</v>
      </c>
      <c r="D4138" s="2" t="str">
        <f t="shared" si="63"/>
        <v>Error?</v>
      </c>
    </row>
    <row r="4139" spans="1:4" x14ac:dyDescent="0.2">
      <c r="A4139" s="5">
        <v>4078</v>
      </c>
      <c r="B4139" s="1832">
        <f>'Acct Summary 7-8'!F19</f>
        <v>266094</v>
      </c>
      <c r="C4139" s="2" t="s">
        <v>569</v>
      </c>
      <c r="D4139" s="2" t="str">
        <f t="shared" si="63"/>
        <v>Error?</v>
      </c>
    </row>
    <row r="4140" spans="1:4" x14ac:dyDescent="0.2">
      <c r="A4140" s="5">
        <v>4079</v>
      </c>
      <c r="B4140" s="1832">
        <f>'Acct Summary 7-8'!G19</f>
        <v>128360</v>
      </c>
      <c r="C4140" s="2" t="s">
        <v>569</v>
      </c>
      <c r="D4140" s="2" t="str">
        <f t="shared" si="63"/>
        <v>Error?</v>
      </c>
    </row>
    <row r="4141" spans="1:4" x14ac:dyDescent="0.2">
      <c r="A4141" s="5">
        <v>4080</v>
      </c>
      <c r="B4141" s="1832">
        <f>'Acct Summary 7-8'!H19</f>
        <v>428628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92566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4490000</v>
      </c>
      <c r="C4171" s="2" t="s">
        <v>569</v>
      </c>
      <c r="D4171" s="2" t="str">
        <f t="shared" si="64"/>
        <v>Error?</v>
      </c>
    </row>
    <row r="4172" spans="1:4" x14ac:dyDescent="0.2">
      <c r="A4172" s="5">
        <v>4111</v>
      </c>
      <c r="B4172" s="1832">
        <f>'Short-Term Long-Term Debt 24'!J49</f>
        <v>4251160</v>
      </c>
      <c r="C4172" s="2" t="s">
        <v>569</v>
      </c>
      <c r="D4172" s="2" t="str">
        <f t="shared" si="64"/>
        <v>Error?</v>
      </c>
    </row>
    <row r="4173" spans="1:4" x14ac:dyDescent="0.2">
      <c r="A4173" s="5">
        <v>4112</v>
      </c>
      <c r="B4173" s="1832">
        <f>'Short-Term Long-Term Debt 24'!H49</f>
        <v>190000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95559</v>
      </c>
      <c r="D4210" s="2" t="str">
        <f t="shared" si="64"/>
        <v>Error?</v>
      </c>
    </row>
    <row r="4211" spans="1:4" x14ac:dyDescent="0.2">
      <c r="A4211" s="5">
        <v>4150</v>
      </c>
      <c r="B4211" s="1832">
        <f>'Expenditures 15-22'!K206</f>
        <v>95559</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3361.9</v>
      </c>
      <c r="C4265" s="2" t="s">
        <v>569</v>
      </c>
      <c r="D4265" s="2" t="str">
        <f t="shared" si="65"/>
        <v>Error?</v>
      </c>
      <c r="E4265" s="125"/>
    </row>
    <row r="4266" spans="1:5" x14ac:dyDescent="0.2">
      <c r="A4266" s="12">
        <v>4205</v>
      </c>
      <c r="B4266" s="1832">
        <f>('FP Info 3'!F10)*100000</f>
        <v>591</v>
      </c>
      <c r="C4266" s="2" t="s">
        <v>569</v>
      </c>
      <c r="D4266" s="2" t="str">
        <f t="shared" si="65"/>
        <v>Error?</v>
      </c>
      <c r="E4266" s="125"/>
    </row>
    <row r="4267" spans="1:5" x14ac:dyDescent="0.2">
      <c r="A4267" s="12">
        <v>4206</v>
      </c>
      <c r="B4267" s="1832">
        <f>('FP Info 3'!H10)*100000</f>
        <v>325.7</v>
      </c>
      <c r="C4267" s="2" t="s">
        <v>569</v>
      </c>
      <c r="D4267" s="2" t="str">
        <f t="shared" si="65"/>
        <v>Error?</v>
      </c>
      <c r="E4267" s="125"/>
    </row>
    <row r="4268" spans="1:5" x14ac:dyDescent="0.2">
      <c r="A4268" s="12">
        <v>4207</v>
      </c>
      <c r="B4268" s="1832">
        <f>('FP Info 3'!J10)*100000</f>
        <v>4279</v>
      </c>
      <c r="C4268" s="2" t="s">
        <v>569</v>
      </c>
      <c r="D4268" s="2" t="str">
        <f t="shared" si="65"/>
        <v>Error?</v>
      </c>
    </row>
    <row r="4269" spans="1:5" x14ac:dyDescent="0.2">
      <c r="A4269" s="12">
        <v>4208</v>
      </c>
      <c r="B4269" s="1832">
        <f>'FP Info 3'!J16</f>
        <v>5304199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24906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15648</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15648</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7167</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11150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40.4</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249064</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53735621</v>
      </c>
      <c r="D4995" s="2" t="str">
        <f t="shared" si="77"/>
        <v>Error?</v>
      </c>
    </row>
    <row r="4996" spans="1:4" x14ac:dyDescent="0.2">
      <c r="A4996" s="12">
        <v>4935</v>
      </c>
      <c r="B4996" s="1832">
        <f>'FP Info 3'!H31</f>
        <v>7415515.6980000008</v>
      </c>
      <c r="D4996" s="2" t="str">
        <f t="shared" si="77"/>
        <v>Error?</v>
      </c>
    </row>
    <row r="4997" spans="1:4" x14ac:dyDescent="0.2">
      <c r="A4997" s="12">
        <v>4936</v>
      </c>
      <c r="B4997" s="1832">
        <f>'FP Info 3'!H37</f>
        <v>4490000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1807333</v>
      </c>
      <c r="D5061" s="2" t="str">
        <f t="shared" si="78"/>
        <v>Error?</v>
      </c>
    </row>
    <row r="5062" spans="1:4" x14ac:dyDescent="0.2">
      <c r="A5062" s="10">
        <v>5001</v>
      </c>
      <c r="B5062" s="1832"/>
      <c r="D5062" s="2" t="str">
        <f t="shared" si="78"/>
        <v>OK</v>
      </c>
    </row>
    <row r="5063" spans="1:4" x14ac:dyDescent="0.2">
      <c r="A5063" s="5">
        <v>5002</v>
      </c>
      <c r="B5063" s="1832">
        <f>'Revenues 9-14'!C7</f>
        <v>18208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1825541</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104196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104196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995</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995</v>
      </c>
      <c r="C5087" s="2" t="s">
        <v>569</v>
      </c>
      <c r="D5087" s="2" t="str">
        <f t="shared" si="78"/>
        <v>Error?</v>
      </c>
    </row>
    <row r="5088" spans="1:4" x14ac:dyDescent="0.2">
      <c r="A5088" s="5">
        <v>5027</v>
      </c>
      <c r="B5088" s="1832">
        <f>'Revenues 9-14'!C65</f>
        <v>12156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12156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27116</v>
      </c>
      <c r="C5096" s="2" t="s">
        <v>569</v>
      </c>
      <c r="D5096" s="2" t="str">
        <f t="shared" si="78"/>
        <v>Error?</v>
      </c>
    </row>
    <row r="5097" spans="1:4" x14ac:dyDescent="0.2">
      <c r="A5097" s="5">
        <v>5036</v>
      </c>
      <c r="B5097" s="1832">
        <f>'Revenues 9-14'!C77</f>
        <v>10999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3422</v>
      </c>
      <c r="D5101" s="2" t="str">
        <f t="shared" si="78"/>
        <v>Error?</v>
      </c>
    </row>
    <row r="5102" spans="1:4" x14ac:dyDescent="0.2">
      <c r="A5102" s="5">
        <v>5041</v>
      </c>
      <c r="B5102" s="1832">
        <f>'Revenues 9-14'!C82</f>
        <v>14421</v>
      </c>
      <c r="C5102" s="2" t="s">
        <v>569</v>
      </c>
      <c r="D5102" s="2" t="str">
        <f t="shared" si="78"/>
        <v>Error?</v>
      </c>
    </row>
    <row r="5103" spans="1:4" x14ac:dyDescent="0.2">
      <c r="A5103" s="5">
        <v>5042</v>
      </c>
      <c r="B5103" s="1832">
        <f>'Revenues 9-14'!C84</f>
        <v>10710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10710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31689</v>
      </c>
      <c r="D5114" s="2" t="str">
        <f t="shared" si="78"/>
        <v>Error?</v>
      </c>
    </row>
    <row r="5115" spans="1:4" x14ac:dyDescent="0.2">
      <c r="A5115" s="5">
        <v>5054</v>
      </c>
      <c r="B5115" s="1832">
        <f>'Revenues 9-14'!C98</f>
        <v>34712</v>
      </c>
      <c r="D5115" s="2" t="str">
        <f t="shared" si="78"/>
        <v>Error?</v>
      </c>
    </row>
    <row r="5116" spans="1:4" x14ac:dyDescent="0.2">
      <c r="A5116" s="5">
        <v>5055</v>
      </c>
      <c r="B5116" s="1832">
        <f>'Revenues 9-14'!C99</f>
        <v>7946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75322</v>
      </c>
      <c r="C5120" s="2" t="s">
        <v>569</v>
      </c>
      <c r="D5120" s="2" t="str">
        <f t="shared" si="79"/>
        <v>Error?</v>
      </c>
    </row>
    <row r="5121" spans="1:4" x14ac:dyDescent="0.2">
      <c r="A5121" s="5">
        <v>5060</v>
      </c>
      <c r="B5121" s="1832">
        <f>'Revenues 9-14'!C109</f>
        <v>2070457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965976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965976</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20343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20343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663</v>
      </c>
      <c r="D5167" s="2" t="str">
        <f t="shared" si="79"/>
        <v>Error?</v>
      </c>
    </row>
    <row r="5168" spans="1:4" x14ac:dyDescent="0.2">
      <c r="A5168" s="5">
        <v>5107</v>
      </c>
      <c r="B5168" s="1832">
        <f>'Revenues 9-14'!C148</f>
        <v>4509</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97073</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123338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1089314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42138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13553</v>
      </c>
      <c r="D5241" s="2" t="str">
        <f t="shared" si="80"/>
        <v>Error?</v>
      </c>
    </row>
    <row r="5242" spans="1:4" x14ac:dyDescent="0.2">
      <c r="A5242" s="5">
        <v>5181</v>
      </c>
      <c r="B5242" s="1832">
        <f>'Revenues 9-14'!C194</f>
        <v>44355</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100046</v>
      </c>
      <c r="C5246" s="2" t="s">
        <v>569</v>
      </c>
      <c r="D5246" s="2" t="str">
        <f t="shared" si="80"/>
        <v>Error?</v>
      </c>
    </row>
    <row r="5247" spans="1:4" x14ac:dyDescent="0.2">
      <c r="A5247" s="5">
        <v>5186</v>
      </c>
      <c r="B5247" s="1832">
        <f>'Revenues 9-14'!C200</f>
        <v>88565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7167</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88565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247482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247482</v>
      </c>
      <c r="C5326" s="2" t="s">
        <v>569</v>
      </c>
      <c r="D5326" s="2" t="str">
        <f t="shared" si="82"/>
        <v>Error?</v>
      </c>
    </row>
    <row r="5327" spans="1:5" x14ac:dyDescent="0.2">
      <c r="A5327" s="5">
        <v>5266</v>
      </c>
      <c r="B5327" s="1832">
        <f>'Revenues 9-14'!C268</f>
        <v>3407253</v>
      </c>
      <c r="C5327" s="2" t="s">
        <v>569</v>
      </c>
      <c r="D5327" s="2" t="str">
        <f t="shared" si="82"/>
        <v>Error?</v>
      </c>
    </row>
    <row r="5328" spans="1:5" x14ac:dyDescent="0.2">
      <c r="A5328" s="5">
        <v>5267</v>
      </c>
      <c r="B5328" s="1832">
        <f>'Revenues 9-14'!D5</f>
        <v>320859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320859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45947</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45947</v>
      </c>
      <c r="C5339" s="2" t="s">
        <v>569</v>
      </c>
      <c r="D5339" s="2" t="str">
        <f t="shared" si="82"/>
        <v>Error?</v>
      </c>
    </row>
    <row r="5340" spans="1:4" x14ac:dyDescent="0.2">
      <c r="A5340" s="5">
        <v>5279</v>
      </c>
      <c r="B5340" s="1832">
        <f>'Revenues 9-14'!D65</f>
        <v>2323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2323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3117</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3447</v>
      </c>
      <c r="D5354" s="2" t="str">
        <f t="shared" si="82"/>
        <v>Error?</v>
      </c>
    </row>
    <row r="5355" spans="1:4" x14ac:dyDescent="0.2">
      <c r="A5355" s="5">
        <v>5294</v>
      </c>
      <c r="B5355" s="1832">
        <f>'Revenues 9-14'!D108</f>
        <v>6564</v>
      </c>
      <c r="C5355" s="2" t="s">
        <v>569</v>
      </c>
      <c r="D5355" s="2" t="str">
        <f t="shared" si="82"/>
        <v>Error?</v>
      </c>
    </row>
    <row r="5356" spans="1:4" x14ac:dyDescent="0.2">
      <c r="A5356" s="5">
        <v>5295</v>
      </c>
      <c r="B5356" s="1832">
        <f>'Revenues 9-14'!D109</f>
        <v>375693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425693</v>
      </c>
      <c r="C5508" s="2" t="s">
        <v>569</v>
      </c>
      <c r="D5508" s="2" t="str">
        <f t="shared" si="85"/>
        <v>Error?</v>
      </c>
    </row>
    <row r="5509" spans="1:4" x14ac:dyDescent="0.2">
      <c r="A5509" s="5">
        <v>5448</v>
      </c>
      <c r="B5509" s="1832">
        <f>'Revenues 9-14'!E5</f>
        <v>302171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302171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1044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1044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303215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303215</v>
      </c>
      <c r="C5552" s="2" t="s">
        <v>569</v>
      </c>
      <c r="D5552" s="2" t="str">
        <f t="shared" si="85"/>
        <v>Error?</v>
      </c>
    </row>
    <row r="5553" spans="1:4" x14ac:dyDescent="0.2">
      <c r="A5553" s="5">
        <v>5492</v>
      </c>
      <c r="B5553" s="1832">
        <f>'Revenues 9-14'!F5</f>
        <v>176841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176841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1661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1661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4</v>
      </c>
      <c r="D5585" s="2" t="str">
        <f t="shared" si="86"/>
        <v>Error?</v>
      </c>
    </row>
    <row r="5586" spans="1:4" x14ac:dyDescent="0.2">
      <c r="A5586" s="5">
        <v>5525</v>
      </c>
      <c r="B5586" s="1832">
        <f>'Revenues 9-14'!F107</f>
        <v>8274</v>
      </c>
      <c r="D5586" s="2" t="str">
        <f t="shared" si="86"/>
        <v>Error?</v>
      </c>
    </row>
    <row r="5587" spans="1:4" x14ac:dyDescent="0.2">
      <c r="A5587" s="5">
        <v>5526</v>
      </c>
      <c r="B5587" s="1832">
        <f>'Revenues 9-14'!F108</f>
        <v>8278</v>
      </c>
      <c r="C5587" s="2" t="s">
        <v>569</v>
      </c>
      <c r="D5587" s="2" t="str">
        <f t="shared" si="86"/>
        <v>Error?</v>
      </c>
    </row>
    <row r="5588" spans="1:4" x14ac:dyDescent="0.2">
      <c r="A5588" s="5">
        <v>5527</v>
      </c>
      <c r="B5588" s="1832">
        <f>'Revenues 9-14'!F109</f>
        <v>186780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100130</v>
      </c>
      <c r="D5615" s="2" t="str">
        <f t="shared" si="86"/>
        <v>Error?</v>
      </c>
    </row>
    <row r="5616" spans="1:4" x14ac:dyDescent="0.2">
      <c r="A5616" s="10">
        <v>5555</v>
      </c>
      <c r="B5616" s="1832"/>
      <c r="D5616" s="2" t="str">
        <f t="shared" si="86"/>
        <v>OK</v>
      </c>
    </row>
    <row r="5617" spans="1:5" x14ac:dyDescent="0.2">
      <c r="A5617" s="5">
        <v>5556</v>
      </c>
      <c r="B5617" s="1832">
        <f>'Revenues 9-14'!F153</f>
        <v>34470</v>
      </c>
      <c r="D5617" s="2" t="str">
        <f t="shared" si="86"/>
        <v>Error?</v>
      </c>
    </row>
    <row r="5618" spans="1:5" x14ac:dyDescent="0.2">
      <c r="A5618" s="5">
        <v>5557</v>
      </c>
      <c r="B5618" s="1832">
        <f>'Revenues 9-14'!F155</f>
        <v>134600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134600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134600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321380</v>
      </c>
      <c r="C5720" s="2" t="s">
        <v>569</v>
      </c>
      <c r="D5720" s="2" t="str">
        <f t="shared" si="88"/>
        <v>Error?</v>
      </c>
    </row>
    <row r="5721" spans="1:4" x14ac:dyDescent="0.2">
      <c r="A5721" s="5">
        <v>5660</v>
      </c>
      <c r="B5721" s="1832">
        <f>'Revenues 9-14'!G5</f>
        <v>62559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62559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125118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15000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15000</v>
      </c>
      <c r="C5730" s="2" t="s">
        <v>569</v>
      </c>
      <c r="D5730" s="2" t="str">
        <f t="shared" si="88"/>
        <v>Error?</v>
      </c>
    </row>
    <row r="5731" spans="1:4" x14ac:dyDescent="0.2">
      <c r="A5731" s="5">
        <v>5670</v>
      </c>
      <c r="B5731" s="1832">
        <f>'Revenues 9-14'!G65</f>
        <v>163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163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140281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249064</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249064</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249064</v>
      </c>
      <c r="C5915" s="2" t="s">
        <v>569</v>
      </c>
      <c r="D5915" s="2" t="str">
        <f t="shared" si="91"/>
        <v>Error?</v>
      </c>
    </row>
    <row r="5916" spans="1:4" x14ac:dyDescent="0.2">
      <c r="A5916" s="5">
        <v>5855</v>
      </c>
      <c r="B5916" s="1832">
        <f>'Revenues 9-14'!I5</f>
        <v>21914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21914</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1043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1043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22957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25018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25018</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32</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25050</v>
      </c>
      <c r="C6023" s="2" t="s">
        <v>569</v>
      </c>
      <c r="D6023" s="2" t="str">
        <f t="shared" si="93"/>
        <v>Error?</v>
      </c>
    </row>
    <row r="6024" spans="1:5" x14ac:dyDescent="0.2">
      <c r="A6024" s="5">
        <v>5963</v>
      </c>
      <c r="B6024" s="1832">
        <f>'Revenues 9-14'!G109</f>
        <v>140281</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22957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25050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27116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11277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306.60000000000002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42950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42950</v>
      </c>
      <c r="D6215" s="2" t="str">
        <f t="shared" si="96"/>
        <v>Error?</v>
      </c>
      <c r="E6215" s="2" t="s">
        <v>189</v>
      </c>
    </row>
    <row r="6216" spans="1:5" x14ac:dyDescent="0.2">
      <c r="A6216">
        <v>6155</v>
      </c>
      <c r="B6216" s="1832">
        <f>'Assets-Liab 5-6'!J41</f>
        <v>42950</v>
      </c>
      <c r="D6216" s="2" t="str">
        <f t="shared" si="96"/>
        <v>Error?</v>
      </c>
      <c r="E6216" s="2" t="s">
        <v>189</v>
      </c>
    </row>
    <row r="6217" spans="1:5" x14ac:dyDescent="0.2">
      <c r="A6217">
        <v>6156</v>
      </c>
      <c r="B6217" s="1832">
        <f>'Assets-Liab 5-6'!J4</f>
        <v>42950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50700</v>
      </c>
      <c r="D6220" s="2" t="str">
        <f t="shared" si="96"/>
        <v>Error?</v>
      </c>
      <c r="E6220" s="2" t="s">
        <v>189</v>
      </c>
    </row>
    <row r="6221" spans="1:5" x14ac:dyDescent="0.2">
      <c r="A6221">
        <v>6160</v>
      </c>
      <c r="B6221" s="1832">
        <f>'Acct Summary 7-8'!J6</f>
        <v>11161</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61861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61861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59914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59914</v>
      </c>
      <c r="D6229" s="2" t="str">
        <f t="shared" si="96"/>
        <v>Error?</v>
      </c>
      <c r="E6229" s="2" t="s">
        <v>189</v>
      </c>
    </row>
    <row r="6230" spans="1:5" x14ac:dyDescent="0.2">
      <c r="A6230">
        <v>6169</v>
      </c>
      <c r="B6230" s="1832">
        <f>'Acct Summary 7-8'!J20</f>
        <v>1947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1947</v>
      </c>
      <c r="D6263" s="2" t="str">
        <f t="shared" si="96"/>
        <v>Error?</v>
      </c>
      <c r="E6263" s="2" t="s">
        <v>189</v>
      </c>
    </row>
    <row r="6264" spans="1:5" x14ac:dyDescent="0.2">
      <c r="A6264">
        <v>6203</v>
      </c>
      <c r="B6264" s="1832">
        <f>'Acct Summary 7-8'!J79</f>
        <v>41003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42950</v>
      </c>
      <c r="D6266" s="2" t="str">
        <f t="shared" si="96"/>
        <v>Error?</v>
      </c>
      <c r="E6266" s="2" t="s">
        <v>189</v>
      </c>
    </row>
    <row r="6267" spans="1:5" x14ac:dyDescent="0.2">
      <c r="A6267">
        <v>6206</v>
      </c>
      <c r="B6267" s="1832">
        <f>'Acct Summary 7-8'!C82</f>
        <v>30293</v>
      </c>
      <c r="D6267" s="2" t="str">
        <f t="shared" si="96"/>
        <v>Error?</v>
      </c>
      <c r="E6267" s="2" t="s">
        <v>189</v>
      </c>
    </row>
    <row r="6268" spans="1:5" x14ac:dyDescent="0.2">
      <c r="A6268">
        <v>6207</v>
      </c>
      <c r="B6268" s="1832">
        <f>'Acct Summary 7-8'!D82</f>
        <v>126275</v>
      </c>
      <c r="D6268" s="2" t="str">
        <f t="shared" si="96"/>
        <v>Error?</v>
      </c>
      <c r="E6268" s="2" t="s">
        <v>189</v>
      </c>
    </row>
    <row r="6269" spans="1:5" x14ac:dyDescent="0.2">
      <c r="A6269">
        <v>6208</v>
      </c>
      <c r="B6269" s="1832">
        <f>'Acct Summary 7-8'!E82</f>
        <v>62150</v>
      </c>
      <c r="D6269" s="2" t="str">
        <f t="shared" si="96"/>
        <v>Error?</v>
      </c>
      <c r="E6269" s="2" t="s">
        <v>189</v>
      </c>
    </row>
    <row r="6270" spans="1:5" x14ac:dyDescent="0.2">
      <c r="A6270">
        <v>6209</v>
      </c>
      <c r="B6270" s="1832">
        <f>'Acct Summary 7-8'!F82</f>
        <v>55286</v>
      </c>
      <c r="D6270" s="2" t="str">
        <f t="shared" si="96"/>
        <v>Error?</v>
      </c>
      <c r="E6270" s="2" t="s">
        <v>189</v>
      </c>
    </row>
    <row r="6271" spans="1:5" x14ac:dyDescent="0.2">
      <c r="A6271">
        <v>6210</v>
      </c>
      <c r="B6271" s="1832">
        <f>'Acct Summary 7-8'!G82</f>
        <v>11921</v>
      </c>
      <c r="D6271" s="2" t="str">
        <f t="shared" ref="D6271:D6334" si="97">IF(ISBLANK(B6271),"OK",IF(A6271-B6271=0,"OK","Error?"))</f>
        <v>Error?</v>
      </c>
      <c r="E6271" s="2" t="s">
        <v>189</v>
      </c>
    </row>
    <row r="6272" spans="1:5" x14ac:dyDescent="0.2">
      <c r="A6272">
        <v>6211</v>
      </c>
      <c r="B6272" s="1832">
        <f>'Acct Summary 7-8'!H82</f>
        <v>-179564</v>
      </c>
      <c r="D6272" s="2" t="str">
        <f t="shared" si="97"/>
        <v>Error?</v>
      </c>
      <c r="E6272" s="2" t="s">
        <v>189</v>
      </c>
    </row>
    <row r="6273" spans="1:5" x14ac:dyDescent="0.2">
      <c r="A6273">
        <v>6212</v>
      </c>
      <c r="B6273" s="1832">
        <f>'Acct Summary 7-8'!I82</f>
        <v>1747957</v>
      </c>
      <c r="D6273" s="2" t="str">
        <f t="shared" si="97"/>
        <v>Error?</v>
      </c>
      <c r="E6273" s="2" t="s">
        <v>189</v>
      </c>
    </row>
    <row r="6274" spans="1:5" x14ac:dyDescent="0.2">
      <c r="A6274">
        <v>6213</v>
      </c>
      <c r="B6274" s="1832">
        <f>'Acct Summary 7-8'!J82</f>
        <v>1947</v>
      </c>
      <c r="D6274" s="2" t="str">
        <f t="shared" si="97"/>
        <v>Error?</v>
      </c>
      <c r="E6274" s="2" t="s">
        <v>189</v>
      </c>
    </row>
    <row r="6275" spans="1:5" x14ac:dyDescent="0.2">
      <c r="A6275">
        <v>6214</v>
      </c>
      <c r="B6275" s="1832">
        <f>'Acct Summary 7-8'!K82</f>
        <v>-67516</v>
      </c>
      <c r="D6275" s="2" t="str">
        <f t="shared" si="97"/>
        <v>Error?</v>
      </c>
      <c r="E6275" s="2" t="s">
        <v>189</v>
      </c>
    </row>
    <row r="6276" spans="1:5" x14ac:dyDescent="0.2">
      <c r="A6276">
        <v>6215</v>
      </c>
      <c r="B6276" s="1832">
        <f>'Acct Summary 7-8'!C83</f>
        <v>1.5706833429168884E-2</v>
      </c>
      <c r="D6276" s="2" t="str">
        <f t="shared" si="97"/>
        <v>Error?</v>
      </c>
      <c r="E6276" s="2" t="s">
        <v>189</v>
      </c>
    </row>
    <row r="6277" spans="1:5" x14ac:dyDescent="0.2">
      <c r="A6277">
        <v>6216</v>
      </c>
      <c r="B6277" s="1832">
        <f>'Acct Summary 7-8'!D83</f>
        <v>0.18535317283825578</v>
      </c>
      <c r="D6277" s="2" t="str">
        <f t="shared" si="97"/>
        <v>Error?</v>
      </c>
      <c r="E6277" s="2" t="s">
        <v>189</v>
      </c>
    </row>
    <row r="6278" spans="1:5" x14ac:dyDescent="0.2">
      <c r="A6278">
        <v>6217</v>
      </c>
      <c r="B6278" s="1832">
        <f>'Acct Summary 7-8'!E83</f>
        <v>0.26021604421369954</v>
      </c>
      <c r="D6278" s="2" t="str">
        <f t="shared" si="97"/>
        <v>Error?</v>
      </c>
      <c r="E6278" s="2" t="s">
        <v>189</v>
      </c>
    </row>
    <row r="6279" spans="1:5" x14ac:dyDescent="0.2">
      <c r="A6279">
        <v>6218</v>
      </c>
      <c r="B6279" s="1832">
        <f>'Acct Summary 7-8'!F83</f>
        <v>8.6624351523830856E-2</v>
      </c>
      <c r="D6279" s="2" t="str">
        <f t="shared" si="97"/>
        <v>Error?</v>
      </c>
      <c r="E6279" s="2" t="s">
        <v>189</v>
      </c>
    </row>
    <row r="6280" spans="1:5" x14ac:dyDescent="0.2">
      <c r="A6280">
        <v>6219</v>
      </c>
      <c r="B6280" s="1832">
        <f>'Acct Summary 7-8'!G83</f>
        <v>0.14938970901526355</v>
      </c>
      <c r="D6280" s="2" t="str">
        <f t="shared" si="97"/>
        <v>Error?</v>
      </c>
      <c r="E6280" s="2" t="s">
        <v>189</v>
      </c>
    </row>
    <row r="6281" spans="1:5" x14ac:dyDescent="0.2">
      <c r="A6281">
        <v>6220</v>
      </c>
      <c r="B6281" s="1832">
        <f>'Acct Summary 7-8'!H83</f>
        <v>-2.13850679433587</v>
      </c>
      <c r="D6281" s="2" t="str">
        <f t="shared" si="97"/>
        <v>Error?</v>
      </c>
      <c r="E6281" s="2" t="s">
        <v>189</v>
      </c>
    </row>
    <row r="6282" spans="1:5" x14ac:dyDescent="0.2">
      <c r="A6282">
        <v>6221</v>
      </c>
      <c r="B6282" s="1832">
        <f>'Acct Summary 7-8'!I83</f>
        <v>0.8501513092554962</v>
      </c>
      <c r="D6282" s="2" t="str">
        <f t="shared" si="97"/>
        <v>Error?</v>
      </c>
      <c r="E6282" s="2" t="s">
        <v>189</v>
      </c>
    </row>
    <row r="6283" spans="1:5" x14ac:dyDescent="0.2">
      <c r="A6283">
        <v>6222</v>
      </c>
      <c r="B6283" s="1832">
        <f>'Acct Summary 7-8'!J83</f>
        <v>4.533178114086147E-2</v>
      </c>
      <c r="D6283" s="2" t="str">
        <f t="shared" si="97"/>
        <v>Error?</v>
      </c>
      <c r="E6283" s="2" t="s">
        <v>189</v>
      </c>
    </row>
    <row r="6284" spans="1:5" x14ac:dyDescent="0.2">
      <c r="A6284">
        <v>6223</v>
      </c>
      <c r="B6284" s="1832">
        <f>'Acct Summary 7-8'!K83</f>
        <v>-1.0578134302635289</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46371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46371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975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4269</v>
      </c>
      <c r="D6350" s="2" t="str">
        <f t="shared" si="98"/>
        <v>Error?</v>
      </c>
      <c r="E6350" s="2" t="s">
        <v>189</v>
      </c>
    </row>
    <row r="6351" spans="1:5" x14ac:dyDescent="0.2">
      <c r="A6351">
        <v>6290</v>
      </c>
      <c r="B6351" s="1832">
        <f>'Revenues 9-14'!J108</f>
        <v>4269</v>
      </c>
      <c r="D6351" s="2" t="str">
        <f t="shared" si="98"/>
        <v>Error?</v>
      </c>
      <c r="E6351" s="2" t="s">
        <v>189</v>
      </c>
    </row>
    <row r="6352" spans="1:5" x14ac:dyDescent="0.2">
      <c r="A6352">
        <v>6291</v>
      </c>
      <c r="B6352" s="1832">
        <f>'Revenues 9-14'!J109</f>
        <v>50700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11161</v>
      </c>
      <c r="D6356" s="2" t="str">
        <f t="shared" si="98"/>
        <v>Error?</v>
      </c>
      <c r="E6356" s="2" t="s">
        <v>189</v>
      </c>
    </row>
    <row r="6357" spans="1:5" x14ac:dyDescent="0.2">
      <c r="A6357">
        <v>6296</v>
      </c>
      <c r="B6357" s="1832">
        <f>'Revenues 9-14'!J122</f>
        <v>11161</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11161</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57576</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82648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35069</v>
      </c>
      <c r="D6981" s="2" t="str">
        <f t="shared" si="108"/>
        <v>Error?</v>
      </c>
    </row>
    <row r="6982" spans="1:4" x14ac:dyDescent="0.2">
      <c r="A6982">
        <v>6921</v>
      </c>
      <c r="B6982" s="1832">
        <f>'Expenditures 15-22'!K85</f>
        <v>35069</v>
      </c>
      <c r="D6982" s="2" t="str">
        <f t="shared" si="108"/>
        <v>Error?</v>
      </c>
    </row>
    <row r="6983" spans="1:4" x14ac:dyDescent="0.2">
      <c r="A6983">
        <v>6922</v>
      </c>
      <c r="B6983" s="1832">
        <f>'Expenditures 15-22'!H86</f>
        <v>25584</v>
      </c>
      <c r="D6983" s="2" t="str">
        <f t="shared" si="108"/>
        <v>Error?</v>
      </c>
    </row>
    <row r="6984" spans="1:4" x14ac:dyDescent="0.2">
      <c r="A6984">
        <v>6923</v>
      </c>
      <c r="B6984" s="1832">
        <f>'Expenditures 15-22'!K86</f>
        <v>25584</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36699</v>
      </c>
      <c r="D6987" s="2" t="str">
        <f t="shared" si="108"/>
        <v>Error?</v>
      </c>
    </row>
    <row r="6988" spans="1:4" x14ac:dyDescent="0.2">
      <c r="A6988">
        <v>6927</v>
      </c>
      <c r="B6988" s="1832">
        <f>'Expenditures 15-22'!K88</f>
        <v>36699</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97352</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59914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61861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11914</v>
      </c>
      <c r="D7073" s="2" t="str">
        <f t="shared" si="109"/>
        <v>Error?</v>
      </c>
    </row>
    <row r="7074" spans="1:4" x14ac:dyDescent="0.2">
      <c r="A7074">
        <v>7013</v>
      </c>
      <c r="B7074" s="1832">
        <f>'Expenditures 15-22'!K216</f>
        <v>11914</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56002</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56002</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3912</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3912</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59914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59914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59914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59914</v>
      </c>
      <c r="D7224" s="2" t="str">
        <f t="shared" si="111"/>
        <v>Error?</v>
      </c>
    </row>
    <row r="7225" spans="1:4" x14ac:dyDescent="0.2">
      <c r="A7225">
        <v>7164</v>
      </c>
      <c r="B7225" s="1832">
        <f>'Expenditures 15-22'!K343</f>
        <v>1947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5399</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19673</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254329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4509</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975</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5484</v>
      </c>
      <c r="D7719" s="2" t="str">
        <f t="shared" si="126"/>
        <v>Error?</v>
      </c>
      <c r="E7719" s="2" t="s">
        <v>822</v>
      </c>
    </row>
    <row r="7720" spans="1:6" x14ac:dyDescent="0.2">
      <c r="A7720">
        <v>7659</v>
      </c>
      <c r="B7720" s="1832">
        <f>'Rest Tax Levies-Tort Im 25'!H14</f>
        <v>18208</v>
      </c>
      <c r="D7720" s="2" t="str">
        <f t="shared" si="126"/>
        <v>Error?</v>
      </c>
      <c r="E7720" s="2" t="s">
        <v>822</v>
      </c>
    </row>
    <row r="7721" spans="1:6" x14ac:dyDescent="0.2">
      <c r="A7721">
        <v>7660</v>
      </c>
      <c r="B7721" s="1832">
        <f>'Rest Tax Levies-Tort Im 25'!K14</f>
        <v>5484</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5484</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3500000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4490539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82648</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1413</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526255</v>
      </c>
      <c r="D7834" s="2" t="str">
        <f t="shared" si="129"/>
        <v>Error?</v>
      </c>
      <c r="E7834" s="4" t="s">
        <v>1998</v>
      </c>
    </row>
    <row r="7835" spans="1:5" x14ac:dyDescent="0.2">
      <c r="A7835">
        <v>7774</v>
      </c>
      <c r="B7835" s="1832">
        <f>'PCTC-OEPP 27-28'!F78</f>
        <v>3964284</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12929.823874755381</v>
      </c>
      <c r="D7837" s="2" t="str">
        <f t="shared" si="129"/>
        <v>Error?</v>
      </c>
      <c r="E7837" s="4" t="s">
        <v>1998</v>
      </c>
    </row>
    <row r="7838" spans="1:5" x14ac:dyDescent="0.2">
      <c r="A7838">
        <v>7777</v>
      </c>
      <c r="B7838" s="1832">
        <f>'PCTC-OEPP 27-28'!F96</f>
        <v>14421</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34712</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20343</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4509</v>
      </c>
      <c r="D7846" s="2" t="str">
        <f t="shared" si="129"/>
        <v>Error?</v>
      </c>
      <c r="E7846" s="4" t="s">
        <v>1998</v>
      </c>
    </row>
    <row r="7847" spans="1:5" x14ac:dyDescent="0.2">
      <c r="A7847">
        <v>7786</v>
      </c>
      <c r="B7847" s="1832">
        <f>'PCTC-OEPP 27-28'!F112</f>
        <v>134600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15648</v>
      </c>
      <c r="D7857" s="2" t="str">
        <f t="shared" si="129"/>
        <v>Error?</v>
      </c>
      <c r="E7857" s="4" t="s">
        <v>1998</v>
      </c>
    </row>
    <row r="7858" spans="1:5" x14ac:dyDescent="0.2">
      <c r="A7858">
        <v>7797</v>
      </c>
      <c r="B7858" s="1832">
        <f>'PCTC-OEPP 27-28'!F126</f>
        <v>100046</v>
      </c>
      <c r="D7858" s="2" t="str">
        <f t="shared" si="129"/>
        <v>Error?</v>
      </c>
      <c r="E7858" s="4" t="s">
        <v>1998</v>
      </c>
    </row>
    <row r="7859" spans="1:5" x14ac:dyDescent="0.2">
      <c r="A7859">
        <v>7798</v>
      </c>
      <c r="B7859" s="1832">
        <f>'PCTC-OEPP 27-28'!F127</f>
        <v>88565</v>
      </c>
      <c r="D7859" s="2" t="str">
        <f t="shared" si="129"/>
        <v>Error?</v>
      </c>
      <c r="E7859" s="4" t="s">
        <v>1998</v>
      </c>
    </row>
    <row r="7860" spans="1:5" x14ac:dyDescent="0.2">
      <c r="A7860">
        <v>7799</v>
      </c>
      <c r="B7860" s="1832">
        <f>'PCTC-OEPP 27-28'!F128</f>
        <v>7167</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11150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24906</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545306</v>
      </c>
      <c r="D7877" s="2" t="str">
        <f t="shared" si="129"/>
        <v>Error?</v>
      </c>
      <c r="E7877" s="4" t="s">
        <v>1998</v>
      </c>
    </row>
    <row r="7878" spans="1:5" x14ac:dyDescent="0.2">
      <c r="A7878">
        <v>7817</v>
      </c>
      <c r="B7878" s="1832">
        <f>'PCTC-OEPP 27-28'!F176</f>
        <v>3418978</v>
      </c>
      <c r="D7878" s="2" t="str">
        <f t="shared" si="129"/>
        <v>Error?</v>
      </c>
      <c r="E7878" s="4" t="s">
        <v>1998</v>
      </c>
    </row>
    <row r="7879" spans="1:5" x14ac:dyDescent="0.2">
      <c r="A7879">
        <v>7818</v>
      </c>
      <c r="B7879" s="1832">
        <f>'PCTC-OEPP 27-28'!F178</f>
        <v>3673307</v>
      </c>
      <c r="D7879" s="2" t="str">
        <f t="shared" si="129"/>
        <v>Error?</v>
      </c>
      <c r="E7879" s="4" t="s">
        <v>1998</v>
      </c>
    </row>
    <row r="7880" spans="1:5" x14ac:dyDescent="0.2">
      <c r="A7880">
        <v>7819</v>
      </c>
      <c r="B7880" s="1832">
        <f>'PCTC-OEPP 27-28'!F180</f>
        <v>11980.779517286366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Waverly CUSD 6</v>
      </c>
      <c r="B7" s="2516"/>
      <c r="C7" s="2516"/>
      <c r="D7" s="2554"/>
      <c r="E7" s="2555">
        <f>COVER!A13</f>
        <v>1069006026</v>
      </c>
      <c r="F7" s="2556"/>
      <c r="G7" s="2522" t="str">
        <f>COVER!T23</f>
        <v>066-004750</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Hughes, Cameron &amp; Company, LLC</v>
      </c>
      <c r="H9" s="2529"/>
      <c r="I9" s="2529"/>
      <c r="J9" s="2529"/>
      <c r="K9" s="2529"/>
      <c r="L9" s="2530"/>
    </row>
    <row r="10" spans="1:29" ht="13.5" customHeight="1" x14ac:dyDescent="0.2">
      <c r="A10" s="2512">
        <f>COVER!A38</f>
        <v>0</v>
      </c>
      <c r="B10" s="2513"/>
      <c r="C10" s="2513"/>
      <c r="D10" s="2513"/>
      <c r="E10" s="2513"/>
      <c r="F10" s="2514"/>
      <c r="G10" s="2528" t="str">
        <f>COVER!T17</f>
        <v>386 S. Koke Mill RD.</v>
      </c>
      <c r="H10" s="2541"/>
      <c r="I10" s="2541"/>
      <c r="J10" s="2541"/>
      <c r="K10" s="2541"/>
      <c r="L10" s="2542"/>
    </row>
    <row r="11" spans="1:29" ht="13.5" customHeight="1" x14ac:dyDescent="0.2">
      <c r="A11" s="963" t="s">
        <v>1502</v>
      </c>
      <c r="B11" s="964"/>
      <c r="C11" s="965"/>
      <c r="D11" s="970"/>
      <c r="E11" s="965"/>
      <c r="F11" s="969"/>
      <c r="G11" s="2528" t="str">
        <f>COVER!T19</f>
        <v>Springfield</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apranaitis@hughescpas.com</v>
      </c>
      <c r="J13" s="2550"/>
      <c r="K13" s="2550"/>
      <c r="L13" s="2551"/>
    </row>
    <row r="14" spans="1:29" ht="13.5" customHeight="1" x14ac:dyDescent="0.2">
      <c r="A14" s="2528" t="str">
        <f>COVER!A19</f>
        <v>201 North Miller</v>
      </c>
      <c r="B14" s="2541"/>
      <c r="C14" s="2541"/>
      <c r="D14" s="2541"/>
      <c r="E14" s="2541"/>
      <c r="F14" s="2542"/>
      <c r="G14" s="974" t="s">
        <v>1175</v>
      </c>
      <c r="H14" s="972"/>
      <c r="I14" s="972"/>
      <c r="J14" s="972"/>
      <c r="K14" s="972"/>
      <c r="L14" s="973"/>
    </row>
    <row r="15" spans="1:29" ht="13.5" customHeight="1" x14ac:dyDescent="0.2">
      <c r="A15" s="2528" t="str">
        <f>COVER!A21</f>
        <v>Waverly</v>
      </c>
      <c r="B15" s="2541"/>
      <c r="C15" s="2541"/>
      <c r="D15" s="2541"/>
      <c r="E15" s="2541"/>
      <c r="F15" s="2542"/>
      <c r="G15" s="2538" t="str">
        <f>COVER!T15</f>
        <v>Amie Pranaitis</v>
      </c>
      <c r="H15" s="2539"/>
      <c r="I15" s="2539"/>
      <c r="J15" s="2539"/>
      <c r="K15" s="2539"/>
      <c r="L15" s="2540"/>
    </row>
    <row r="16" spans="1:29" ht="12.2" customHeight="1" x14ac:dyDescent="0.2">
      <c r="A16" s="2518">
        <f>COVER!A25</f>
        <v>62692</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(217) 787-8822</v>
      </c>
      <c r="H18" s="2516"/>
      <c r="I18" s="2516"/>
      <c r="J18" s="2516"/>
      <c r="K18" s="2515" t="str">
        <f>COVER!X21</f>
        <v>(217) 787-8823</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Waverly CUSD 6</v>
      </c>
      <c r="B1" s="2558"/>
      <c r="C1" s="2558"/>
      <c r="D1" s="2558"/>
    </row>
    <row r="2" spans="1:11" s="991" customFormat="1" ht="12.75" x14ac:dyDescent="0.2">
      <c r="A2" s="2559">
        <f>'Single Audit Cover'!E7</f>
        <v>1069006026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Waverly CUSD 6</v>
      </c>
      <c r="B1" s="2562"/>
      <c r="C1" s="2562"/>
      <c r="D1" s="2562"/>
      <c r="E1" s="2562"/>
    </row>
    <row r="2" spans="1:5" x14ac:dyDescent="0.2">
      <c r="A2" s="2563">
        <f>'Single Audit Cover'!E7</f>
        <v>1069006026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247482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11277</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-24906</v>
      </c>
    </row>
    <row r="19" spans="1:4" ht="13.5" thickBot="1" x14ac:dyDescent="0.25">
      <c r="A19" s="1041" t="s">
        <v>1224</v>
      </c>
      <c r="D19" s="1042">
        <f>SUM(D10:D17)</f>
        <v>233853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233853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233853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Waverly CUSD 6</v>
      </c>
      <c r="C1" s="2566"/>
      <c r="D1" s="2566"/>
      <c r="E1" s="2566"/>
      <c r="F1" s="2566"/>
      <c r="G1" s="2566"/>
      <c r="H1" s="2566"/>
      <c r="I1" s="2566"/>
      <c r="J1" s="2566"/>
      <c r="K1" s="2566"/>
      <c r="L1" s="2566"/>
      <c r="M1" s="2566"/>
    </row>
    <row r="2" spans="2:14" ht="15" x14ac:dyDescent="0.2">
      <c r="B2" s="2567">
        <f>'Single Audit Cover'!E7</f>
        <v>1069006026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Waverly CUSD 6</v>
      </c>
      <c r="B1" s="2571"/>
      <c r="C1" s="2571"/>
      <c r="D1" s="2571"/>
      <c r="E1" s="2571"/>
      <c r="F1" s="2571"/>
    </row>
    <row r="2" spans="1:7" ht="13.5" customHeight="1" x14ac:dyDescent="0.2">
      <c r="A2" s="2567">
        <f>'Single Audit Cover'!E7</f>
        <v>1069006026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37622</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2065</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Waverly CUSD 6</v>
      </c>
      <c r="C1" s="2587"/>
      <c r="D1" s="2587"/>
      <c r="E1" s="2587"/>
      <c r="F1" s="2587"/>
      <c r="G1" s="2587"/>
      <c r="H1" s="2587"/>
      <c r="I1" s="2587"/>
      <c r="J1" s="1178"/>
    </row>
    <row r="2" spans="2:10" s="295" customFormat="1" ht="12.75" customHeight="1" x14ac:dyDescent="0.2">
      <c r="B2" s="2588">
        <f>'Single Audit Cover'!E7</f>
        <v>1069006026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Waverly CUSD 6</v>
      </c>
      <c r="C1" s="2586"/>
      <c r="D1" s="2586"/>
      <c r="E1" s="2586"/>
      <c r="F1" s="2586"/>
      <c r="G1" s="2586"/>
      <c r="H1" s="2586"/>
      <c r="I1" s="2586"/>
      <c r="J1" s="2586"/>
      <c r="K1" s="2586"/>
      <c r="L1" s="1144"/>
      <c r="M1" s="1144"/>
    </row>
    <row r="2" spans="1:13" ht="12" customHeight="1" x14ac:dyDescent="0.2">
      <c r="B2" s="2588">
        <f>'Single Audit Cover'!E7</f>
        <v>1069006026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Waverly CUSD 6</v>
      </c>
      <c r="C1" s="2613"/>
      <c r="D1" s="2613"/>
      <c r="E1" s="2613"/>
      <c r="F1" s="2613"/>
      <c r="G1" s="2613"/>
      <c r="H1" s="2613"/>
      <c r="I1" s="2613"/>
      <c r="J1" s="2613"/>
      <c r="K1" s="2613"/>
      <c r="L1" s="1221"/>
    </row>
    <row r="2" spans="1:12" ht="12.75" customHeight="1" x14ac:dyDescent="0.2">
      <c r="B2" s="2614">
        <f>'Single Audit Cover'!E7</f>
        <v>1069006026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Waverly CUSD 6</v>
      </c>
      <c r="C1" s="2586"/>
      <c r="D1" s="2586"/>
      <c r="E1" s="1240"/>
    </row>
    <row r="2" spans="2:5" s="1058" customFormat="1" ht="12.75" customHeight="1" x14ac:dyDescent="0.2">
      <c r="B2" s="2588">
        <f>'Single Audit Cover'!E7</f>
        <v>1069006026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H37" sqref="H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53735621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3.3619000000000003E-2</v>
      </c>
      <c r="E10" s="333" t="s">
        <v>998</v>
      </c>
      <c r="F10" s="332">
        <v>5.9100000000000003E-3</v>
      </c>
      <c r="G10" s="333" t="s">
        <v>998</v>
      </c>
      <c r="H10" s="332">
        <v>3.2569999999999999E-3</v>
      </c>
      <c r="I10" s="333" t="s">
        <v>999</v>
      </c>
      <c r="J10" s="1424">
        <f>ROUND(D10+F10+H10,5)</f>
        <v>4.2790000000000002E-2</v>
      </c>
      <c r="K10" s="217"/>
      <c r="L10" s="332">
        <v>4.0400000000000001E-4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4177283</v>
      </c>
      <c r="E16" s="1547"/>
      <c r="F16" s="1546">
        <f>SUM('Acct Summary 7-8'!C17,'Acct Summary 7-8'!D17,'Acct Summary 7-8'!F17)</f>
        <v>3942472</v>
      </c>
      <c r="G16" s="1547"/>
      <c r="H16" s="1546">
        <f>SUM(D16-F16)</f>
        <v>234811</v>
      </c>
      <c r="I16" s="1548"/>
      <c r="J16" s="1546">
        <f>SUM('Acct Summary 7-8'!C81,'Acct Summary 7-8'!D81,'Acct Summary 7-8'!F81,'Acct Summary 7-8'!I81)</f>
        <v>5304199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7415515.6980000008</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4490000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Waverly CUSD 6</v>
      </c>
      <c r="E7" s="368"/>
      <c r="G7" s="247"/>
      <c r="H7" s="364"/>
      <c r="I7" s="364"/>
      <c r="J7" s="364"/>
      <c r="K7" s="364"/>
      <c r="L7" s="307"/>
      <c r="M7" s="307"/>
      <c r="N7" s="307"/>
      <c r="O7" s="307"/>
      <c r="P7" s="307"/>
    </row>
    <row r="8" spans="1:18" ht="12.75" x14ac:dyDescent="0.2">
      <c r="A8" s="307"/>
      <c r="B8" s="307"/>
      <c r="C8" s="366" t="s">
        <v>1115</v>
      </c>
      <c r="D8" s="369">
        <f>COVER!A13</f>
        <v>1069006026</v>
      </c>
      <c r="E8" s="370"/>
      <c r="G8" s="307"/>
      <c r="H8" s="307"/>
      <c r="I8" s="307"/>
      <c r="J8" s="307"/>
      <c r="K8" s="307"/>
      <c r="L8" s="307"/>
      <c r="M8" s="307"/>
      <c r="N8" s="307"/>
      <c r="O8" s="307"/>
      <c r="P8" s="307"/>
    </row>
    <row r="9" spans="1:18" ht="12.75" x14ac:dyDescent="0.2">
      <c r="A9" s="307"/>
      <c r="B9" s="307"/>
      <c r="C9" s="366" t="s">
        <v>708</v>
      </c>
      <c r="D9" s="371" t="str">
        <f>COVER!A15</f>
        <v>Morgan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5304199</v>
      </c>
      <c r="I12" s="380"/>
      <c r="J12" s="380"/>
      <c r="K12" s="1559">
        <f>TRUNC((H12/H13*100000),5)/100000</f>
        <v>1.2697724812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4177283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3942472</v>
      </c>
      <c r="I17" s="380"/>
      <c r="J17" s="389"/>
      <c r="K17" s="1559">
        <f>TRUNC((H17/H18*100000),5)/100000</f>
        <v>0.94378858210000005</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4177283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5292748</v>
      </c>
      <c r="I24" s="394"/>
      <c r="J24" s="394"/>
      <c r="K24" s="1555">
        <f>TRUNC(((H24/H25*100000)/100000),2)</f>
        <v>483.29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10951.311110000001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1954445.1392000001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4490000</v>
      </c>
      <c r="I32" s="392"/>
      <c r="J32" s="392"/>
      <c r="K32" s="1555">
        <f>TRUNC(100-((((H32/H33*100))*100)/100),2)</f>
        <v>39.450000000000003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7415515.6980000008</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E38" sqref="E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1302474</v>
      </c>
      <c r="D4" s="1573">
        <v>551254</v>
      </c>
      <c r="E4" s="1573">
        <v>197681</v>
      </c>
      <c r="F4" s="1573">
        <v>544801</v>
      </c>
      <c r="G4" s="1573">
        <v>79732</v>
      </c>
      <c r="H4" s="1573">
        <v>83967</v>
      </c>
      <c r="I4" s="1573">
        <v>1991319</v>
      </c>
      <c r="J4" s="1574">
        <v>42950</v>
      </c>
      <c r="K4" s="1573">
        <v>63826</v>
      </c>
      <c r="L4" s="1573">
        <v>343113</v>
      </c>
      <c r="M4" s="1575"/>
      <c r="N4" s="1576"/>
    </row>
    <row r="5" spans="1:14" x14ac:dyDescent="0.2">
      <c r="A5" s="427" t="s">
        <v>985</v>
      </c>
      <c r="B5" s="429">
        <v>120</v>
      </c>
      <c r="C5" s="1572">
        <v>624976</v>
      </c>
      <c r="D5" s="1573">
        <v>121763</v>
      </c>
      <c r="E5" s="1573">
        <v>41159</v>
      </c>
      <c r="F5" s="1573">
        <v>91426</v>
      </c>
      <c r="G5" s="1573"/>
      <c r="H5" s="1573"/>
      <c r="I5" s="1573">
        <v>64735</v>
      </c>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1927450</v>
      </c>
      <c r="D13" s="1587">
        <f t="shared" ref="D13:L13" si="0">SUM(D4:D12)</f>
        <v>673017</v>
      </c>
      <c r="E13" s="1587">
        <f t="shared" si="0"/>
        <v>238840</v>
      </c>
      <c r="F13" s="1587">
        <f t="shared" si="0"/>
        <v>636227</v>
      </c>
      <c r="G13" s="1587">
        <f t="shared" si="0"/>
        <v>79732</v>
      </c>
      <c r="H13" s="1587">
        <f t="shared" si="0"/>
        <v>83967</v>
      </c>
      <c r="I13" s="1587">
        <f t="shared" si="0"/>
        <v>2056054</v>
      </c>
      <c r="J13" s="1587">
        <f t="shared" si="0"/>
        <v>42950</v>
      </c>
      <c r="K13" s="1587">
        <f t="shared" si="0"/>
        <v>63826</v>
      </c>
      <c r="L13" s="1587">
        <f t="shared" si="0"/>
        <v>343113</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25161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8733137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389670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1197002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238840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4251160</v>
      </c>
    </row>
    <row r="23" spans="1:14" ht="13.5" customHeight="1" thickBot="1" x14ac:dyDescent="0.25">
      <c r="A23" s="1426" t="s">
        <v>638</v>
      </c>
      <c r="B23" s="1429"/>
      <c r="C23" s="1575"/>
      <c r="D23" s="1575"/>
      <c r="E23" s="1575"/>
      <c r="F23" s="1575"/>
      <c r="G23" s="1575"/>
      <c r="H23" s="1575"/>
      <c r="I23" s="1575"/>
      <c r="J23" s="1575"/>
      <c r="K23" s="1575"/>
      <c r="L23" s="1575"/>
      <c r="M23" s="1594">
        <f>SUM(M15:M22)</f>
        <v>10344970</v>
      </c>
      <c r="N23" s="1594">
        <f>SUM(N21:N22)</f>
        <v>4490000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-1201</v>
      </c>
      <c r="D31" s="1574">
        <v>-8250</v>
      </c>
      <c r="E31" s="1574"/>
      <c r="F31" s="1573">
        <v>-2000</v>
      </c>
      <c r="G31" s="1574">
        <v>-66</v>
      </c>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343113</v>
      </c>
      <c r="M33" s="1575"/>
      <c r="N33" s="1576"/>
    </row>
    <row r="34" spans="1:14" ht="13.5" customHeight="1" thickBot="1" x14ac:dyDescent="0.25">
      <c r="A34" s="1427" t="s">
        <v>649</v>
      </c>
      <c r="B34" s="1428"/>
      <c r="C34" s="1600">
        <f>SUM(C25:C33)</f>
        <v>-1201</v>
      </c>
      <c r="D34" s="1600">
        <f t="shared" ref="D34:K34" si="1">SUM(D25:D33)</f>
        <v>-8250</v>
      </c>
      <c r="E34" s="1600">
        <f t="shared" si="1"/>
        <v>0</v>
      </c>
      <c r="F34" s="1600">
        <f t="shared" si="1"/>
        <v>-2000</v>
      </c>
      <c r="G34" s="1600">
        <f t="shared" si="1"/>
        <v>-66</v>
      </c>
      <c r="H34" s="1600">
        <f t="shared" si="1"/>
        <v>0</v>
      </c>
      <c r="I34" s="1600">
        <f t="shared" si="1"/>
        <v>0</v>
      </c>
      <c r="J34" s="1600">
        <f t="shared" si="1"/>
        <v>0</v>
      </c>
      <c r="K34" s="1600">
        <f t="shared" si="1"/>
        <v>0</v>
      </c>
      <c r="L34" s="1601">
        <f>SUM(L33)</f>
        <v>343113</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4490000</v>
      </c>
    </row>
    <row r="37" spans="1:14" ht="13.5" thickBot="1" x14ac:dyDescent="0.25">
      <c r="A37" s="1426" t="s">
        <v>648</v>
      </c>
      <c r="B37" s="1429"/>
      <c r="C37" s="1582"/>
      <c r="D37" s="1582"/>
      <c r="E37" s="1582"/>
      <c r="F37" s="1582"/>
      <c r="G37" s="1582"/>
      <c r="H37" s="1582"/>
      <c r="I37" s="1582"/>
      <c r="J37" s="1582"/>
      <c r="K37" s="1582"/>
      <c r="L37" s="1585"/>
      <c r="M37" s="1575"/>
      <c r="N37" s="1594">
        <f>SUM(N36:N36)</f>
        <v>4490000</v>
      </c>
    </row>
    <row r="38" spans="1:14" s="307" customFormat="1" ht="13.5" customHeight="1" thickTop="1" x14ac:dyDescent="0.2">
      <c r="A38" s="438" t="s">
        <v>417</v>
      </c>
      <c r="B38" s="432">
        <v>714</v>
      </c>
      <c r="C38" s="1573"/>
      <c r="D38" s="1573"/>
      <c r="E38" s="1573">
        <v>61080</v>
      </c>
      <c r="F38" s="1573"/>
      <c r="G38" s="1573"/>
      <c r="H38" s="1573"/>
      <c r="I38" s="1573"/>
      <c r="J38" s="1574"/>
      <c r="K38" s="1573"/>
      <c r="L38" s="1586"/>
      <c r="M38" s="1604"/>
      <c r="N38" s="1604"/>
    </row>
    <row r="39" spans="1:14" s="307" customFormat="1" ht="13.5" customHeight="1" x14ac:dyDescent="0.2">
      <c r="A39" s="438" t="s">
        <v>339</v>
      </c>
      <c r="B39" s="432">
        <v>730</v>
      </c>
      <c r="C39" s="1573">
        <v>1928651</v>
      </c>
      <c r="D39" s="1573">
        <v>681267</v>
      </c>
      <c r="E39" s="1573">
        <v>177760</v>
      </c>
      <c r="F39" s="1573">
        <v>638227</v>
      </c>
      <c r="G39" s="1573">
        <v>79798</v>
      </c>
      <c r="H39" s="1573">
        <v>83967</v>
      </c>
      <c r="I39" s="1573">
        <v>2056054</v>
      </c>
      <c r="J39" s="1574">
        <v>42950</v>
      </c>
      <c r="K39" s="1573">
        <v>63826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10344970</v>
      </c>
      <c r="N40" s="1604"/>
    </row>
    <row r="41" spans="1:14" ht="13.5" customHeight="1" thickBot="1" x14ac:dyDescent="0.25">
      <c r="A41" s="1426" t="s">
        <v>650</v>
      </c>
      <c r="B41" s="1405"/>
      <c r="C41" s="1594">
        <f>(SUM(C34,C37,C38,C39))</f>
        <v>1927450</v>
      </c>
      <c r="D41" s="1594">
        <f t="shared" ref="D41:L41" si="2">SUM(D34,D37,D38:D39)</f>
        <v>673017</v>
      </c>
      <c r="E41" s="1594">
        <f t="shared" si="2"/>
        <v>238840</v>
      </c>
      <c r="F41" s="1594">
        <f t="shared" si="2"/>
        <v>636227</v>
      </c>
      <c r="G41" s="1594">
        <f t="shared" si="2"/>
        <v>79732</v>
      </c>
      <c r="H41" s="1594">
        <f t="shared" si="2"/>
        <v>83967</v>
      </c>
      <c r="I41" s="1594">
        <f t="shared" si="2"/>
        <v>2056054</v>
      </c>
      <c r="J41" s="1594">
        <f t="shared" si="2"/>
        <v>42950</v>
      </c>
      <c r="K41" s="1594">
        <f t="shared" si="2"/>
        <v>63826</v>
      </c>
      <c r="L41" s="1594">
        <f t="shared" si="2"/>
        <v>343113</v>
      </c>
      <c r="M41" s="1594">
        <f>SUM(M40)</f>
        <v>10344970</v>
      </c>
      <c r="N41" s="1594">
        <f>SUM(N37)</f>
        <v>4490000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4" activePane="bottomLeft" state="frozen"/>
      <selection pane="bottomLeft" activeCell="E28" sqref="E2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2070457</v>
      </c>
      <c r="D4" s="1606">
        <f>'Revenues 9-14'!D109</f>
        <v>375693</v>
      </c>
      <c r="E4" s="1606">
        <f>'Revenues 9-14'!E109</f>
        <v>303215</v>
      </c>
      <c r="F4" s="1606">
        <f>'Revenues 9-14'!F109</f>
        <v>186780</v>
      </c>
      <c r="G4" s="1606">
        <f>'Revenues 9-14'!G109</f>
        <v>140281</v>
      </c>
      <c r="H4" s="1606">
        <f>'Revenues 9-14'!H109</f>
        <v>0</v>
      </c>
      <c r="I4" s="1606">
        <f>'Revenues 9-14'!I109</f>
        <v>22957</v>
      </c>
      <c r="J4" s="1606">
        <f>'Revenues 9-14'!J109</f>
        <v>50700</v>
      </c>
      <c r="K4" s="1606">
        <f>'Revenues 9-14'!K109</f>
        <v>25050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1089314</v>
      </c>
      <c r="D6" s="1607">
        <f>'Revenues 9-14'!D170</f>
        <v>50000</v>
      </c>
      <c r="E6" s="1607">
        <f>'Revenues 9-14'!E170</f>
        <v>0</v>
      </c>
      <c r="F6" s="1607">
        <f>'Revenues 9-14'!F170</f>
        <v>134600</v>
      </c>
      <c r="G6" s="1607">
        <f>'Revenues 9-14'!G170</f>
        <v>0</v>
      </c>
      <c r="H6" s="1607">
        <f>'Revenues 9-14'!H170</f>
        <v>249064</v>
      </c>
      <c r="I6" s="1607">
        <f>'Revenues 9-14'!I170</f>
        <v>0</v>
      </c>
      <c r="J6" s="1607">
        <f>'Revenues 9-14'!J170</f>
        <v>11161</v>
      </c>
      <c r="K6" s="1607">
        <f>'Revenues 9-14'!K170</f>
        <v>0</v>
      </c>
      <c r="L6" s="325"/>
      <c r="M6" s="448"/>
    </row>
    <row r="7" spans="1:13" ht="15.75" customHeight="1" x14ac:dyDescent="0.2">
      <c r="A7" s="1314" t="s">
        <v>1485</v>
      </c>
      <c r="B7" s="1316">
        <v>4000</v>
      </c>
      <c r="C7" s="1607">
        <f>'Revenues 9-14'!C267</f>
        <v>247482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3407253</v>
      </c>
      <c r="D8" s="1594">
        <f t="shared" ref="D8:K8" si="0">SUM(D4:D7)</f>
        <v>425693</v>
      </c>
      <c r="E8" s="1594">
        <f t="shared" si="0"/>
        <v>303215</v>
      </c>
      <c r="F8" s="1594">
        <f t="shared" si="0"/>
        <v>321380</v>
      </c>
      <c r="G8" s="1594">
        <f t="shared" si="0"/>
        <v>140281</v>
      </c>
      <c r="H8" s="1594">
        <f t="shared" si="0"/>
        <v>249064</v>
      </c>
      <c r="I8" s="1594">
        <f t="shared" si="0"/>
        <v>22957</v>
      </c>
      <c r="J8" s="1594">
        <f t="shared" si="0"/>
        <v>61861</v>
      </c>
      <c r="K8" s="1594">
        <f t="shared" si="0"/>
        <v>25050</v>
      </c>
      <c r="L8" s="325"/>
    </row>
    <row r="9" spans="1:13" ht="15.75" thickTop="1" x14ac:dyDescent="0.2">
      <c r="A9" s="449" t="s">
        <v>1634</v>
      </c>
      <c r="B9" s="450">
        <v>3998</v>
      </c>
      <c r="C9" s="1586">
        <v>252288</v>
      </c>
      <c r="D9" s="1613"/>
      <c r="E9" s="1586"/>
      <c r="F9" s="1586"/>
      <c r="G9" s="1614"/>
      <c r="H9" s="1586"/>
      <c r="I9" s="1609" t="s">
        <v>1159</v>
      </c>
      <c r="J9" s="1583"/>
      <c r="K9" s="1586"/>
      <c r="L9" s="325"/>
    </row>
    <row r="10" spans="1:13" s="452" customFormat="1" ht="13.5" thickBot="1" x14ac:dyDescent="0.25">
      <c r="A10" s="1426" t="s">
        <v>1163</v>
      </c>
      <c r="B10" s="1407"/>
      <c r="C10" s="1594">
        <f>SUM(C8:C9)</f>
        <v>3659541</v>
      </c>
      <c r="D10" s="1594">
        <f t="shared" ref="D10:K10" si="1">SUM(D8:D9)</f>
        <v>425693</v>
      </c>
      <c r="E10" s="1594">
        <f t="shared" si="1"/>
        <v>303215</v>
      </c>
      <c r="F10" s="1594">
        <f t="shared" si="1"/>
        <v>321380</v>
      </c>
      <c r="G10" s="1594">
        <f t="shared" si="1"/>
        <v>140281</v>
      </c>
      <c r="H10" s="1594">
        <f t="shared" si="1"/>
        <v>249064</v>
      </c>
      <c r="I10" s="1594">
        <f t="shared" si="1"/>
        <v>22957</v>
      </c>
      <c r="J10" s="1594">
        <f t="shared" si="1"/>
        <v>61861</v>
      </c>
      <c r="K10" s="1594">
        <f t="shared" si="1"/>
        <v>25050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2332922</v>
      </c>
      <c r="D12" s="1616" t="s">
        <v>1159</v>
      </c>
      <c r="E12" s="1575" t="s">
        <v>1159</v>
      </c>
      <c r="F12" s="1575" t="s">
        <v>1159</v>
      </c>
      <c r="G12" s="1606">
        <f>'Expenditures 15-22'!K229</f>
        <v>60153</v>
      </c>
      <c r="H12" s="1617"/>
      <c r="I12" s="1575" t="s">
        <v>1159</v>
      </c>
      <c r="J12" s="1575" t="s">
        <v>1159</v>
      </c>
      <c r="K12" s="1617" t="s">
        <v>1159</v>
      </c>
      <c r="L12" s="325"/>
    </row>
    <row r="13" spans="1:13" ht="15.75" customHeight="1" x14ac:dyDescent="0.2">
      <c r="A13" s="1314" t="s">
        <v>454</v>
      </c>
      <c r="B13" s="1316">
        <v>2000</v>
      </c>
      <c r="C13" s="1607">
        <f>'Expenditures 15-22'!K74</f>
        <v>944918</v>
      </c>
      <c r="D13" s="1607">
        <f>'Expenditures 15-22'!K129</f>
        <v>299418</v>
      </c>
      <c r="E13" s="1576" t="s">
        <v>1159</v>
      </c>
      <c r="F13" s="1607">
        <f>'Expenditures 15-22'!K184</f>
        <v>170535</v>
      </c>
      <c r="G13" s="1607">
        <f>'Expenditures 15-22'!K279</f>
        <v>68161</v>
      </c>
      <c r="H13" s="1607">
        <f>'Expenditures 15-22'!K303</f>
        <v>428628</v>
      </c>
      <c r="I13" s="1575" t="s">
        <v>1159</v>
      </c>
      <c r="J13" s="1607">
        <f>'Expenditures 15-22'!K330</f>
        <v>59914</v>
      </c>
      <c r="K13" s="1618">
        <f>'Expenditures 15-22'!K352</f>
        <v>92566</v>
      </c>
      <c r="L13" s="325"/>
    </row>
    <row r="14" spans="1:13" ht="15.75" customHeight="1" x14ac:dyDescent="0.2">
      <c r="A14" s="1314" t="s">
        <v>446</v>
      </c>
      <c r="B14" s="1316">
        <v>3000</v>
      </c>
      <c r="C14" s="1607">
        <f>'Expenditures 15-22'!K75</f>
        <v>1413</v>
      </c>
      <c r="D14" s="1607">
        <f>'Expenditures 15-22'!K130</f>
        <v>0</v>
      </c>
      <c r="E14" s="1616" t="s">
        <v>1159</v>
      </c>
      <c r="F14" s="1607">
        <f>'Expenditures 15-22'!K185</f>
        <v>0</v>
      </c>
      <c r="G14" s="1607">
        <f>'Expenditures 15-22'!K280</f>
        <v>46</v>
      </c>
      <c r="H14" s="1612"/>
      <c r="I14" s="1575" t="s">
        <v>1159</v>
      </c>
      <c r="J14" s="1575" t="s">
        <v>1159</v>
      </c>
      <c r="K14" s="1612" t="s">
        <v>1159</v>
      </c>
      <c r="L14" s="325"/>
    </row>
    <row r="15" spans="1:13" ht="15.75" customHeight="1" x14ac:dyDescent="0.2">
      <c r="A15" s="1314" t="s">
        <v>107</v>
      </c>
      <c r="B15" s="1316">
        <v>4000</v>
      </c>
      <c r="C15" s="1607">
        <f>'Expenditures 15-22'!K102</f>
        <v>97707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359793</v>
      </c>
      <c r="F16" s="1607">
        <f>'Expenditures 15-22'!K208</f>
        <v>95559</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3376960</v>
      </c>
      <c r="D17" s="1594">
        <f t="shared" si="2"/>
        <v>299418</v>
      </c>
      <c r="E17" s="1594">
        <f t="shared" si="2"/>
        <v>359793</v>
      </c>
      <c r="F17" s="1594">
        <f t="shared" si="2"/>
        <v>266094</v>
      </c>
      <c r="G17" s="1594">
        <f t="shared" si="2"/>
        <v>128360</v>
      </c>
      <c r="H17" s="1594">
        <f t="shared" si="2"/>
        <v>428628</v>
      </c>
      <c r="I17" s="1575"/>
      <c r="J17" s="1594">
        <f>SUM(J12:J16)</f>
        <v>59914</v>
      </c>
      <c r="K17" s="1594">
        <f>SUM(K12:K16)</f>
        <v>92566</v>
      </c>
      <c r="L17" s="325"/>
    </row>
    <row r="18" spans="1:12" ht="15" customHeight="1" thickTop="1" x14ac:dyDescent="0.2">
      <c r="A18" s="1430" t="s">
        <v>1635</v>
      </c>
      <c r="B18" s="1431">
        <v>4180</v>
      </c>
      <c r="C18" s="1606">
        <f t="shared" ref="C18:H18" si="3">C9</f>
        <v>252288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3629248</v>
      </c>
      <c r="D19" s="1594">
        <f t="shared" si="4"/>
        <v>299418</v>
      </c>
      <c r="E19" s="1594">
        <f t="shared" si="4"/>
        <v>359793</v>
      </c>
      <c r="F19" s="1594">
        <f t="shared" si="4"/>
        <v>266094</v>
      </c>
      <c r="G19" s="1594">
        <f t="shared" si="4"/>
        <v>128360</v>
      </c>
      <c r="H19" s="1594">
        <f t="shared" si="4"/>
        <v>428628</v>
      </c>
      <c r="I19" s="1575"/>
      <c r="J19" s="1594">
        <f>SUM(J17:J18)</f>
        <v>59914</v>
      </c>
      <c r="K19" s="1594">
        <f>SUM(K17:K18)</f>
        <v>92566</v>
      </c>
      <c r="L19" s="325"/>
    </row>
    <row r="20" spans="1:12" ht="16.5" thickTop="1" thickBot="1" x14ac:dyDescent="0.25">
      <c r="A20" s="2231" t="s">
        <v>1636</v>
      </c>
      <c r="B20" s="2232"/>
      <c r="C20" s="1622">
        <f>C8-C17</f>
        <v>30293</v>
      </c>
      <c r="D20" s="1622">
        <f t="shared" ref="D20:K20" si="5">D8-D17</f>
        <v>126275</v>
      </c>
      <c r="E20" s="1622">
        <f t="shared" si="5"/>
        <v>-56578</v>
      </c>
      <c r="F20" s="1622">
        <f t="shared" si="5"/>
        <v>55286</v>
      </c>
      <c r="G20" s="1622">
        <f t="shared" si="5"/>
        <v>11921</v>
      </c>
      <c r="H20" s="1622">
        <f t="shared" si="5"/>
        <v>-179564</v>
      </c>
      <c r="I20" s="1622">
        <f t="shared" si="5"/>
        <v>22957</v>
      </c>
      <c r="J20" s="1622">
        <f t="shared" si="5"/>
        <v>1947</v>
      </c>
      <c r="K20" s="1622">
        <f t="shared" si="5"/>
        <v>-67516</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1695000</v>
      </c>
      <c r="J33" s="1574"/>
      <c r="K33" s="1574"/>
      <c r="L33" s="453"/>
    </row>
    <row r="34" spans="1:12" s="433" customFormat="1" x14ac:dyDescent="0.2">
      <c r="A34" s="1260" t="s">
        <v>994</v>
      </c>
      <c r="B34" s="454">
        <v>7220</v>
      </c>
      <c r="C34" s="1574"/>
      <c r="D34" s="1574"/>
      <c r="E34" s="1574">
        <v>118728</v>
      </c>
      <c r="F34" s="1574"/>
      <c r="G34" s="1582"/>
      <c r="H34" s="1583"/>
      <c r="I34" s="1583">
        <v>30000</v>
      </c>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118728</v>
      </c>
      <c r="F44" s="1624">
        <f t="shared" si="6"/>
        <v>0</v>
      </c>
      <c r="G44" s="1624">
        <f t="shared" si="6"/>
        <v>0</v>
      </c>
      <c r="H44" s="1624">
        <f t="shared" si="6"/>
        <v>0</v>
      </c>
      <c r="I44" s="1624">
        <f t="shared" si="6"/>
        <v>1725000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118728</v>
      </c>
      <c r="F77" s="1624">
        <f t="shared" si="8"/>
        <v>0</v>
      </c>
      <c r="G77" s="1624">
        <f t="shared" si="8"/>
        <v>0</v>
      </c>
      <c r="H77" s="1624">
        <f t="shared" si="8"/>
        <v>0</v>
      </c>
      <c r="I77" s="1624">
        <f t="shared" si="8"/>
        <v>1725000</v>
      </c>
      <c r="J77" s="1624">
        <f t="shared" si="8"/>
        <v>0</v>
      </c>
      <c r="K77" s="1624">
        <f t="shared" si="8"/>
        <v>0</v>
      </c>
      <c r="L77" s="325"/>
    </row>
    <row r="78" spans="1:12" ht="21.75" customHeight="1" thickTop="1" thickBot="1" x14ac:dyDescent="0.25">
      <c r="A78" s="2227" t="s">
        <v>593</v>
      </c>
      <c r="B78" s="2228"/>
      <c r="C78" s="1629">
        <f t="shared" ref="C78:K78" si="9">C20+C77</f>
        <v>30293</v>
      </c>
      <c r="D78" s="1629">
        <f t="shared" si="9"/>
        <v>126275</v>
      </c>
      <c r="E78" s="1629">
        <f t="shared" si="9"/>
        <v>62150</v>
      </c>
      <c r="F78" s="1629">
        <f t="shared" si="9"/>
        <v>55286</v>
      </c>
      <c r="G78" s="1629">
        <f t="shared" si="9"/>
        <v>11921</v>
      </c>
      <c r="H78" s="1629">
        <f t="shared" si="9"/>
        <v>-179564</v>
      </c>
      <c r="I78" s="1629">
        <f t="shared" si="9"/>
        <v>1747957</v>
      </c>
      <c r="J78" s="1629">
        <f t="shared" si="9"/>
        <v>1947</v>
      </c>
      <c r="K78" s="1629">
        <f t="shared" si="9"/>
        <v>-67516</v>
      </c>
      <c r="L78" s="457"/>
    </row>
    <row r="79" spans="1:12" ht="13.5" thickTop="1" x14ac:dyDescent="0.2">
      <c r="A79" s="1844" t="str">
        <f>"Fund Balances - July 1, "&amp;'AFR20'!E2-1</f>
        <v>Fund Balances - July 1, 2019</v>
      </c>
      <c r="B79" s="458"/>
      <c r="C79" s="1583">
        <v>1898358</v>
      </c>
      <c r="D79" s="1630">
        <v>554992</v>
      </c>
      <c r="E79" s="1630">
        <v>176690</v>
      </c>
      <c r="F79" s="1630">
        <v>582941</v>
      </c>
      <c r="G79" s="1630">
        <v>67877</v>
      </c>
      <c r="H79" s="1630">
        <v>263531</v>
      </c>
      <c r="I79" s="1630">
        <v>308097</v>
      </c>
      <c r="J79" s="1630">
        <v>41003</v>
      </c>
      <c r="K79" s="1630">
        <v>131342</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1928651</v>
      </c>
      <c r="D81" s="1594">
        <f>SUM(D78:D80)</f>
        <v>681267</v>
      </c>
      <c r="E81" s="1594">
        <f t="shared" ref="E81:K81" si="10">SUM(E78:E80)</f>
        <v>238840</v>
      </c>
      <c r="F81" s="1594">
        <f t="shared" si="10"/>
        <v>638227</v>
      </c>
      <c r="G81" s="1594">
        <f t="shared" si="10"/>
        <v>79798</v>
      </c>
      <c r="H81" s="1594">
        <f t="shared" si="10"/>
        <v>83967</v>
      </c>
      <c r="I81" s="1594">
        <f t="shared" si="10"/>
        <v>2056054</v>
      </c>
      <c r="J81" s="1594">
        <f t="shared" si="10"/>
        <v>42950</v>
      </c>
      <c r="K81" s="1594">
        <f t="shared" si="10"/>
        <v>63826</v>
      </c>
      <c r="L81" s="325"/>
    </row>
    <row r="82" spans="1:12" ht="0.75" customHeight="1" thickTop="1" thickBot="1" x14ac:dyDescent="0.25">
      <c r="A82" s="459" t="s">
        <v>340</v>
      </c>
      <c r="B82" s="460"/>
      <c r="C82" s="461">
        <f>(C81-C79)</f>
        <v>30293</v>
      </c>
      <c r="D82" s="461">
        <f t="shared" ref="D82:K82" si="11">(D81-D79)</f>
        <v>126275</v>
      </c>
      <c r="E82" s="461">
        <f t="shared" si="11"/>
        <v>62150</v>
      </c>
      <c r="F82" s="461">
        <f t="shared" si="11"/>
        <v>55286</v>
      </c>
      <c r="G82" s="461">
        <f t="shared" si="11"/>
        <v>11921</v>
      </c>
      <c r="H82" s="461">
        <f t="shared" si="11"/>
        <v>-179564</v>
      </c>
      <c r="I82" s="461">
        <f t="shared" si="11"/>
        <v>1747957</v>
      </c>
      <c r="J82" s="461">
        <f t="shared" si="11"/>
        <v>1947</v>
      </c>
      <c r="K82" s="461">
        <f t="shared" si="11"/>
        <v>-67516</v>
      </c>
    </row>
    <row r="83" spans="1:12" ht="14.25" hidden="1" thickTop="1" thickBot="1" x14ac:dyDescent="0.25">
      <c r="A83" s="462" t="s">
        <v>341</v>
      </c>
      <c r="B83" s="428"/>
      <c r="C83" s="463">
        <f>C82/C81</f>
        <v>1.5706833429168884E-2</v>
      </c>
      <c r="D83" s="463">
        <f t="shared" ref="D83:K83" si="12">D82/D81</f>
        <v>0.18535317283825578</v>
      </c>
      <c r="E83" s="463">
        <f t="shared" si="12"/>
        <v>0.26021604421369954</v>
      </c>
      <c r="F83" s="463">
        <f t="shared" si="12"/>
        <v>8.6624351523830856E-2</v>
      </c>
      <c r="G83" s="463">
        <f t="shared" si="12"/>
        <v>0.14938970901526355</v>
      </c>
      <c r="H83" s="463">
        <f t="shared" si="12"/>
        <v>-2.13850679433587</v>
      </c>
      <c r="I83" s="463">
        <f t="shared" si="12"/>
        <v>0.8501513092554962</v>
      </c>
      <c r="J83" s="463">
        <f t="shared" si="12"/>
        <v>4.533178114086147E-2</v>
      </c>
      <c r="K83" s="463">
        <f t="shared" si="12"/>
        <v>-1.0578134302635289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29" activePane="bottomLeft" state="frozen"/>
      <selection pane="bottomLeft" activeCell="C148" sqref="C14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1807333</v>
      </c>
      <c r="D5" s="1586">
        <v>320859</v>
      </c>
      <c r="E5" s="1573">
        <v>302171</v>
      </c>
      <c r="F5" s="1631">
        <v>176841</v>
      </c>
      <c r="G5" s="1573">
        <v>62559</v>
      </c>
      <c r="H5" s="1573"/>
      <c r="I5" s="1573">
        <v>21914</v>
      </c>
      <c r="J5" s="1574">
        <v>46371</v>
      </c>
      <c r="K5" s="1573">
        <v>25018</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18208</v>
      </c>
      <c r="D7" s="1573"/>
      <c r="E7" s="1575"/>
      <c r="F7" s="1574"/>
      <c r="G7" s="1574"/>
      <c r="H7" s="1574"/>
      <c r="I7" s="1575"/>
      <c r="J7" s="1575"/>
      <c r="K7" s="1575"/>
    </row>
    <row r="8" spans="1:12" x14ac:dyDescent="0.2">
      <c r="A8" s="427" t="s">
        <v>410</v>
      </c>
      <c r="B8" s="429">
        <v>1150</v>
      </c>
      <c r="C8" s="1580"/>
      <c r="D8" s="1580"/>
      <c r="E8" s="1582"/>
      <c r="F8" s="1582"/>
      <c r="G8" s="1586">
        <v>62559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1825541</v>
      </c>
      <c r="D12" s="1633">
        <f t="shared" si="0"/>
        <v>320859</v>
      </c>
      <c r="E12" s="1633">
        <f t="shared" si="0"/>
        <v>302171</v>
      </c>
      <c r="F12" s="1633">
        <f t="shared" si="0"/>
        <v>176841</v>
      </c>
      <c r="G12" s="1633">
        <f t="shared" si="0"/>
        <v>125118</v>
      </c>
      <c r="H12" s="1633">
        <f t="shared" si="0"/>
        <v>0</v>
      </c>
      <c r="I12" s="1633">
        <f t="shared" si="0"/>
        <v>21914</v>
      </c>
      <c r="J12" s="1633">
        <f t="shared" si="0"/>
        <v>46371</v>
      </c>
      <c r="K12" s="1594">
        <f t="shared" si="0"/>
        <v>25018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104196</v>
      </c>
      <c r="D16" s="1573">
        <v>45947</v>
      </c>
      <c r="E16" s="1573"/>
      <c r="F16" s="1573"/>
      <c r="G16" s="1573">
        <v>15000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104196</v>
      </c>
      <c r="D18" s="1635">
        <f t="shared" ref="D18:K18" si="1">SUM(D14:D17)</f>
        <v>45947</v>
      </c>
      <c r="E18" s="1635">
        <f t="shared" si="1"/>
        <v>0</v>
      </c>
      <c r="F18" s="1635">
        <f t="shared" si="1"/>
        <v>0</v>
      </c>
      <c r="G18" s="1635">
        <f t="shared" si="1"/>
        <v>15000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995</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995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12156</v>
      </c>
      <c r="D65" s="1573">
        <v>2323</v>
      </c>
      <c r="E65" s="1573">
        <v>1044</v>
      </c>
      <c r="F65" s="1574">
        <v>1661</v>
      </c>
      <c r="G65" s="1573">
        <v>163</v>
      </c>
      <c r="H65" s="1573"/>
      <c r="I65" s="1573">
        <v>1043</v>
      </c>
      <c r="J65" s="1574">
        <v>60</v>
      </c>
      <c r="K65" s="1573">
        <v>32</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12156</v>
      </c>
      <c r="D67" s="1594">
        <f t="shared" ref="D67:K67" si="2">SUM(D65:D66)</f>
        <v>2323</v>
      </c>
      <c r="E67" s="1594">
        <f t="shared" si="2"/>
        <v>1044</v>
      </c>
      <c r="F67" s="1594">
        <f t="shared" si="2"/>
        <v>1661</v>
      </c>
      <c r="G67" s="1594">
        <f t="shared" si="2"/>
        <v>163</v>
      </c>
      <c r="H67" s="1594">
        <f t="shared" si="2"/>
        <v>0</v>
      </c>
      <c r="I67" s="1594">
        <f t="shared" si="2"/>
        <v>1043</v>
      </c>
      <c r="J67" s="1594">
        <f t="shared" si="2"/>
        <v>60</v>
      </c>
      <c r="K67" s="1594">
        <f t="shared" si="2"/>
        <v>32</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27116</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27116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10999</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3422</v>
      </c>
      <c r="D81" s="1573"/>
      <c r="E81" s="1575"/>
      <c r="F81" s="1575"/>
      <c r="G81" s="1575"/>
      <c r="H81" s="1575"/>
      <c r="I81" s="1575"/>
      <c r="J81" s="1575"/>
      <c r="K81" s="1575"/>
    </row>
    <row r="82" spans="1:11" ht="12.75" customHeight="1" thickBot="1" x14ac:dyDescent="0.25">
      <c r="A82" s="1406" t="s">
        <v>239</v>
      </c>
      <c r="B82" s="1407"/>
      <c r="C82" s="1633">
        <f>SUM(C77:C81)</f>
        <v>14421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10710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10710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31689</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34712</v>
      </c>
      <c r="D98" s="1573"/>
      <c r="E98" s="1612"/>
      <c r="F98" s="1573"/>
      <c r="G98" s="1612"/>
      <c r="H98" s="1612"/>
      <c r="I98" s="1610"/>
      <c r="J98" s="1612"/>
      <c r="K98" s="1612"/>
    </row>
    <row r="99" spans="1:12" ht="12.75" customHeight="1" x14ac:dyDescent="0.2">
      <c r="A99" s="427" t="s">
        <v>816</v>
      </c>
      <c r="B99" s="429">
        <v>1950</v>
      </c>
      <c r="C99" s="1598">
        <v>7946</v>
      </c>
      <c r="D99" s="1573">
        <v>3117</v>
      </c>
      <c r="E99" s="1573"/>
      <c r="F99" s="1573">
        <v>4</v>
      </c>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975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v>3447</v>
      </c>
      <c r="E107" s="1573"/>
      <c r="F107" s="1573">
        <v>8274</v>
      </c>
      <c r="G107" s="1573"/>
      <c r="H107" s="1573"/>
      <c r="I107" s="1573"/>
      <c r="J107" s="1574">
        <v>4269</v>
      </c>
      <c r="K107" s="1573"/>
    </row>
    <row r="108" spans="1:12" ht="12.75" customHeight="1" thickBot="1" x14ac:dyDescent="0.25">
      <c r="A108" s="1406" t="s">
        <v>484</v>
      </c>
      <c r="B108" s="1408"/>
      <c r="C108" s="1633">
        <f>SUM(C95:C107)</f>
        <v>75322</v>
      </c>
      <c r="D108" s="1633">
        <f t="shared" ref="D108:K108" si="3">SUM(D95:D107)</f>
        <v>6564</v>
      </c>
      <c r="E108" s="1633">
        <f t="shared" si="3"/>
        <v>0</v>
      </c>
      <c r="F108" s="1633">
        <f t="shared" si="3"/>
        <v>8278</v>
      </c>
      <c r="G108" s="1633">
        <f t="shared" si="3"/>
        <v>0</v>
      </c>
      <c r="H108" s="1633">
        <f t="shared" si="3"/>
        <v>0</v>
      </c>
      <c r="I108" s="1633">
        <f t="shared" si="3"/>
        <v>0</v>
      </c>
      <c r="J108" s="1633">
        <f t="shared" si="3"/>
        <v>4269</v>
      </c>
      <c r="K108" s="1594">
        <f t="shared" si="3"/>
        <v>0</v>
      </c>
    </row>
    <row r="109" spans="1:12" ht="14.25" thickTop="1" thickBot="1" x14ac:dyDescent="0.25">
      <c r="A109" s="1409" t="s">
        <v>246</v>
      </c>
      <c r="B109" s="1410" t="s">
        <v>566</v>
      </c>
      <c r="C109" s="1641">
        <f t="shared" ref="C109:K109" si="4">SUM(C12,C18,C40,C63,C67,C75,C82,C93,C108,)</f>
        <v>2070457</v>
      </c>
      <c r="D109" s="1641">
        <f t="shared" si="4"/>
        <v>375693</v>
      </c>
      <c r="E109" s="1641">
        <f t="shared" si="4"/>
        <v>303215</v>
      </c>
      <c r="F109" s="1641">
        <f t="shared" si="4"/>
        <v>186780</v>
      </c>
      <c r="G109" s="1641">
        <f t="shared" si="4"/>
        <v>140281</v>
      </c>
      <c r="H109" s="1641">
        <f t="shared" si="4"/>
        <v>0</v>
      </c>
      <c r="I109" s="1641">
        <f t="shared" si="4"/>
        <v>22957</v>
      </c>
      <c r="J109" s="1641">
        <f t="shared" si="4"/>
        <v>50700</v>
      </c>
      <c r="K109" s="1629">
        <f t="shared" si="4"/>
        <v>25050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965976</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v>11161</v>
      </c>
      <c r="K121" s="1573"/>
    </row>
    <row r="122" spans="1:11" ht="12.6" customHeight="1" thickBot="1" x14ac:dyDescent="0.25">
      <c r="A122" s="1406" t="s">
        <v>485</v>
      </c>
      <c r="B122" s="1413"/>
      <c r="C122" s="1633">
        <f t="shared" ref="C122:H122" si="5">SUM(C117:C121)</f>
        <v>965976</v>
      </c>
      <c r="D122" s="1633">
        <f t="shared" si="5"/>
        <v>0</v>
      </c>
      <c r="E122" s="1633">
        <f t="shared" si="5"/>
        <v>0</v>
      </c>
      <c r="F122" s="1633">
        <f t="shared" si="5"/>
        <v>0</v>
      </c>
      <c r="G122" s="1633">
        <f t="shared" si="5"/>
        <v>0</v>
      </c>
      <c r="H122" s="1633">
        <f t="shared" si="5"/>
        <v>0</v>
      </c>
      <c r="I122" s="1575"/>
      <c r="J122" s="1633">
        <f>SUM(J117:J121)</f>
        <v>11161</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20343</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20343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663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4509</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100130</v>
      </c>
      <c r="G152" s="1574"/>
      <c r="H152" s="1575"/>
      <c r="I152" s="1575"/>
      <c r="J152" s="1575"/>
      <c r="K152" s="1575"/>
    </row>
    <row r="153" spans="1:11" ht="12.75" customHeight="1" x14ac:dyDescent="0.2">
      <c r="A153" s="427" t="s">
        <v>1048</v>
      </c>
      <c r="B153" s="478">
        <v>3510</v>
      </c>
      <c r="C153" s="1632"/>
      <c r="D153" s="1573"/>
      <c r="E153" s="1640"/>
      <c r="F153" s="1573">
        <v>34470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134600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97073</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v>249064</v>
      </c>
      <c r="I168" s="1656"/>
      <c r="J168" s="1656"/>
      <c r="K168" s="1657"/>
    </row>
    <row r="169" spans="1:11" ht="12.75" customHeight="1" thickTop="1" thickBot="1" x14ac:dyDescent="0.25">
      <c r="A169" s="2249" t="s">
        <v>395</v>
      </c>
      <c r="B169" s="2250"/>
      <c r="C169" s="1658">
        <f t="shared" ref="C169:K169" si="6">SUM(C132,C141,C145,C146:C150,C155,C156:C167,C168)</f>
        <v>123338</v>
      </c>
      <c r="D169" s="1658">
        <f t="shared" si="6"/>
        <v>50000</v>
      </c>
      <c r="E169" s="1658">
        <f t="shared" si="6"/>
        <v>0</v>
      </c>
      <c r="F169" s="1658">
        <f t="shared" si="6"/>
        <v>134600</v>
      </c>
      <c r="G169" s="1658">
        <f t="shared" si="6"/>
        <v>0</v>
      </c>
      <c r="H169" s="1658">
        <f t="shared" si="6"/>
        <v>249064</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1089314</v>
      </c>
      <c r="D170" s="1641">
        <f t="shared" si="7"/>
        <v>50000</v>
      </c>
      <c r="E170" s="1641">
        <f t="shared" si="7"/>
        <v>0</v>
      </c>
      <c r="F170" s="1641">
        <f t="shared" si="7"/>
        <v>134600</v>
      </c>
      <c r="G170" s="1641">
        <f t="shared" si="7"/>
        <v>0</v>
      </c>
      <c r="H170" s="1641">
        <f t="shared" si="7"/>
        <v>249064</v>
      </c>
      <c r="I170" s="1641">
        <f t="shared" si="7"/>
        <v>0</v>
      </c>
      <c r="J170" s="1641">
        <f t="shared" si="7"/>
        <v>11161</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15648</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15648</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42138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13553</v>
      </c>
      <c r="D193" s="1575"/>
      <c r="E193" s="1640"/>
      <c r="F193" s="1575"/>
      <c r="G193" s="1664"/>
      <c r="H193" s="1575"/>
      <c r="I193" s="1575"/>
      <c r="J193" s="1575"/>
      <c r="K193" s="1575"/>
    </row>
    <row r="194" spans="1:11" ht="12.75" customHeight="1" x14ac:dyDescent="0.2">
      <c r="A194" s="427" t="s">
        <v>1434</v>
      </c>
      <c r="B194" s="429">
        <v>4225</v>
      </c>
      <c r="C194" s="1632">
        <v>44355</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100046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88565</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88565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7167</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7167</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11150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24906</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247482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247482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3407253</v>
      </c>
      <c r="D268" s="1641">
        <f t="shared" si="12"/>
        <v>425693</v>
      </c>
      <c r="E268" s="1641">
        <f t="shared" si="12"/>
        <v>303215</v>
      </c>
      <c r="F268" s="1641">
        <f t="shared" si="12"/>
        <v>321380</v>
      </c>
      <c r="G268" s="1641">
        <f t="shared" si="12"/>
        <v>140281</v>
      </c>
      <c r="H268" s="1641">
        <f t="shared" si="12"/>
        <v>249064</v>
      </c>
      <c r="I268" s="1641">
        <f t="shared" si="12"/>
        <v>22957</v>
      </c>
      <c r="J268" s="1641">
        <f t="shared" si="12"/>
        <v>61861</v>
      </c>
      <c r="K268" s="1629">
        <f t="shared" si="12"/>
        <v>25050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4" activePane="bottomLeft" state="frozen"/>
      <selection pane="bottomLeft" activeCell="H171" sqref="H1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1545060</v>
      </c>
      <c r="D5" s="1573">
        <v>66987</v>
      </c>
      <c r="E5" s="1573">
        <v>3185</v>
      </c>
      <c r="F5" s="1573">
        <v>47183</v>
      </c>
      <c r="G5" s="1573">
        <v>5113</v>
      </c>
      <c r="H5" s="1573"/>
      <c r="I5" s="1574"/>
      <c r="J5" s="1574"/>
      <c r="K5" s="1672">
        <f>SUM(C5:J5)</f>
        <v>1667528</v>
      </c>
      <c r="L5" s="1573">
        <v>1664152</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57576</v>
      </c>
      <c r="D7" s="1574">
        <v>5399</v>
      </c>
      <c r="E7" s="1574"/>
      <c r="F7" s="1574">
        <v>19673</v>
      </c>
      <c r="G7" s="1574"/>
      <c r="H7" s="1574"/>
      <c r="I7" s="1574"/>
      <c r="J7" s="1574"/>
      <c r="K7" s="1672">
        <f t="shared" ref="K7:K32" si="0">SUM(C7:J7)</f>
        <v>82648</v>
      </c>
      <c r="L7" s="1573">
        <v>89299</v>
      </c>
    </row>
    <row r="8" spans="1:14" x14ac:dyDescent="0.2">
      <c r="A8" s="1274" t="s">
        <v>163</v>
      </c>
      <c r="B8" s="503">
        <v>1200</v>
      </c>
      <c r="C8" s="1573">
        <v>281951</v>
      </c>
      <c r="D8" s="1573">
        <v>36732</v>
      </c>
      <c r="E8" s="1573">
        <v>77198</v>
      </c>
      <c r="F8" s="1573"/>
      <c r="G8" s="1573"/>
      <c r="H8" s="1573"/>
      <c r="I8" s="1574"/>
      <c r="J8" s="1574"/>
      <c r="K8" s="1672">
        <f t="shared" si="0"/>
        <v>395881</v>
      </c>
      <c r="L8" s="1573">
        <v>396280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54246</v>
      </c>
      <c r="D10" s="1573">
        <v>5809</v>
      </c>
      <c r="E10" s="1573">
        <v>5358</v>
      </c>
      <c r="F10" s="1573">
        <v>10598</v>
      </c>
      <c r="G10" s="1573"/>
      <c r="H10" s="1573"/>
      <c r="I10" s="1574"/>
      <c r="J10" s="1574"/>
      <c r="K10" s="1672">
        <f t="shared" si="0"/>
        <v>76011</v>
      </c>
      <c r="L10" s="1573">
        <v>71353</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81142</v>
      </c>
      <c r="D14" s="1573">
        <v>2715</v>
      </c>
      <c r="E14" s="1573">
        <v>20104</v>
      </c>
      <c r="F14" s="1573"/>
      <c r="G14" s="1573"/>
      <c r="H14" s="1573">
        <v>6893</v>
      </c>
      <c r="I14" s="1574"/>
      <c r="J14" s="1574"/>
      <c r="K14" s="1672">
        <f t="shared" si="0"/>
        <v>110854</v>
      </c>
      <c r="L14" s="1573">
        <v>111000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2019975</v>
      </c>
      <c r="D33" s="1674">
        <f t="shared" ref="D33:L33" si="1">SUM(D5:D32)</f>
        <v>117642</v>
      </c>
      <c r="E33" s="1674">
        <f t="shared" si="1"/>
        <v>105845</v>
      </c>
      <c r="F33" s="1674">
        <f t="shared" si="1"/>
        <v>77454</v>
      </c>
      <c r="G33" s="1674">
        <f t="shared" si="1"/>
        <v>5113</v>
      </c>
      <c r="H33" s="1674">
        <f t="shared" si="1"/>
        <v>6893</v>
      </c>
      <c r="I33" s="1674">
        <f t="shared" si="1"/>
        <v>0</v>
      </c>
      <c r="J33" s="1674">
        <f t="shared" si="1"/>
        <v>0</v>
      </c>
      <c r="K33" s="1674">
        <f t="shared" si="1"/>
        <v>2332922</v>
      </c>
      <c r="L33" s="1674">
        <f t="shared" si="1"/>
        <v>2332084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43806</v>
      </c>
      <c r="D36" s="1586">
        <v>5391</v>
      </c>
      <c r="E36" s="1586"/>
      <c r="F36" s="1586"/>
      <c r="G36" s="1586"/>
      <c r="H36" s="1586"/>
      <c r="I36" s="1574"/>
      <c r="J36" s="1574"/>
      <c r="K36" s="1672">
        <f t="shared" ref="K36:K41" si="2">SUM(C36:J36)</f>
        <v>49197</v>
      </c>
      <c r="L36" s="1573">
        <v>49208</v>
      </c>
    </row>
    <row r="37" spans="1:14" x14ac:dyDescent="0.2">
      <c r="A37" s="1274" t="s">
        <v>1081</v>
      </c>
      <c r="B37" s="503">
        <v>2120</v>
      </c>
      <c r="C37" s="1573">
        <v>21458</v>
      </c>
      <c r="D37" s="1573"/>
      <c r="E37" s="1573"/>
      <c r="F37" s="1573"/>
      <c r="G37" s="1573"/>
      <c r="H37" s="1573"/>
      <c r="I37" s="1574"/>
      <c r="J37" s="1574"/>
      <c r="K37" s="1672">
        <f t="shared" si="2"/>
        <v>21458</v>
      </c>
      <c r="L37" s="1573">
        <v>21461</v>
      </c>
    </row>
    <row r="38" spans="1:14" x14ac:dyDescent="0.2">
      <c r="A38" s="1274" t="s">
        <v>196</v>
      </c>
      <c r="B38" s="503">
        <v>2130</v>
      </c>
      <c r="C38" s="1573">
        <v>43218</v>
      </c>
      <c r="D38" s="1573">
        <v>4227</v>
      </c>
      <c r="E38" s="1573"/>
      <c r="F38" s="1573"/>
      <c r="G38" s="1573"/>
      <c r="H38" s="1573"/>
      <c r="I38" s="1574"/>
      <c r="J38" s="1574"/>
      <c r="K38" s="1672">
        <f t="shared" si="2"/>
        <v>47445</v>
      </c>
      <c r="L38" s="1573">
        <v>47450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v>21034</v>
      </c>
      <c r="F40" s="1573"/>
      <c r="G40" s="1573"/>
      <c r="H40" s="1573"/>
      <c r="I40" s="1574"/>
      <c r="J40" s="1574"/>
      <c r="K40" s="1672">
        <f t="shared" si="2"/>
        <v>21034</v>
      </c>
      <c r="L40" s="1573">
        <v>21035</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108482</v>
      </c>
      <c r="D42" s="1674">
        <f t="shared" ref="D42:L42" si="3">SUM(D36:D41)</f>
        <v>9618</v>
      </c>
      <c r="E42" s="1674">
        <f t="shared" si="3"/>
        <v>21034</v>
      </c>
      <c r="F42" s="1674">
        <f t="shared" si="3"/>
        <v>0</v>
      </c>
      <c r="G42" s="1674">
        <f t="shared" si="3"/>
        <v>0</v>
      </c>
      <c r="H42" s="1674">
        <f t="shared" si="3"/>
        <v>0</v>
      </c>
      <c r="I42" s="1674">
        <f t="shared" si="3"/>
        <v>0</v>
      </c>
      <c r="J42" s="1674">
        <f t="shared" si="3"/>
        <v>0</v>
      </c>
      <c r="K42" s="1674">
        <f t="shared" si="3"/>
        <v>139134</v>
      </c>
      <c r="L42" s="1674">
        <f t="shared" si="3"/>
        <v>139154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9180</v>
      </c>
      <c r="D44" s="1586">
        <v>978</v>
      </c>
      <c r="E44" s="1586">
        <v>5991</v>
      </c>
      <c r="F44" s="1586">
        <v>22866</v>
      </c>
      <c r="G44" s="1586"/>
      <c r="H44" s="1586"/>
      <c r="I44" s="1574"/>
      <c r="J44" s="1574"/>
      <c r="K44" s="1678">
        <f>SUM(C44:J44)</f>
        <v>39015</v>
      </c>
      <c r="L44" s="1586">
        <v>39162</v>
      </c>
    </row>
    <row r="45" spans="1:14" x14ac:dyDescent="0.2">
      <c r="A45" s="1274" t="s">
        <v>810</v>
      </c>
      <c r="B45" s="503">
        <v>2220</v>
      </c>
      <c r="C45" s="1573"/>
      <c r="D45" s="1573"/>
      <c r="E45" s="1573"/>
      <c r="F45" s="1573">
        <v>1227</v>
      </c>
      <c r="G45" s="1573"/>
      <c r="H45" s="1573"/>
      <c r="I45" s="1574"/>
      <c r="J45" s="1574"/>
      <c r="K45" s="1678">
        <f>SUM(C45:J45)</f>
        <v>1227</v>
      </c>
      <c r="L45" s="1573">
        <v>1269</v>
      </c>
    </row>
    <row r="46" spans="1:14" x14ac:dyDescent="0.2">
      <c r="A46" s="1274" t="s">
        <v>811</v>
      </c>
      <c r="B46" s="503">
        <v>2230</v>
      </c>
      <c r="C46" s="1573"/>
      <c r="D46" s="1573"/>
      <c r="E46" s="1573">
        <v>1335</v>
      </c>
      <c r="F46" s="1573"/>
      <c r="G46" s="1573"/>
      <c r="H46" s="1573"/>
      <c r="I46" s="1574"/>
      <c r="J46" s="1574"/>
      <c r="K46" s="1678">
        <f>SUM(C46:J46)</f>
        <v>1335</v>
      </c>
      <c r="L46" s="1573">
        <v>1335</v>
      </c>
    </row>
    <row r="47" spans="1:14" ht="12.75" customHeight="1" thickBot="1" x14ac:dyDescent="0.25">
      <c r="A47" s="1380" t="s">
        <v>557</v>
      </c>
      <c r="B47" s="1381" t="s">
        <v>32</v>
      </c>
      <c r="C47" s="1674">
        <f>SUM(C44:C46)</f>
        <v>9180</v>
      </c>
      <c r="D47" s="1674">
        <f t="shared" ref="D47:K47" si="4">SUM(D44:D46)</f>
        <v>978</v>
      </c>
      <c r="E47" s="1674">
        <f t="shared" si="4"/>
        <v>7326</v>
      </c>
      <c r="F47" s="1674">
        <f t="shared" si="4"/>
        <v>24093</v>
      </c>
      <c r="G47" s="1674">
        <f t="shared" si="4"/>
        <v>0</v>
      </c>
      <c r="H47" s="1674">
        <f t="shared" si="4"/>
        <v>0</v>
      </c>
      <c r="I47" s="1674">
        <f t="shared" si="4"/>
        <v>0</v>
      </c>
      <c r="J47" s="1674">
        <f t="shared" si="4"/>
        <v>0</v>
      </c>
      <c r="K47" s="1674">
        <f t="shared" si="4"/>
        <v>41577</v>
      </c>
      <c r="L47" s="1674">
        <f>SUM(L44:L46)</f>
        <v>41766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3809</v>
      </c>
      <c r="D49" s="1586"/>
      <c r="E49" s="1586">
        <v>69881</v>
      </c>
      <c r="F49" s="1586"/>
      <c r="G49" s="1586"/>
      <c r="H49" s="1586"/>
      <c r="I49" s="1574"/>
      <c r="J49" s="1574"/>
      <c r="K49" s="1678">
        <f>SUM(C49:J49)</f>
        <v>73690</v>
      </c>
      <c r="L49" s="1586">
        <v>73721</v>
      </c>
    </row>
    <row r="50" spans="1:14" x14ac:dyDescent="0.2">
      <c r="A50" s="1274" t="s">
        <v>813</v>
      </c>
      <c r="B50" s="503">
        <v>2320</v>
      </c>
      <c r="C50" s="1573">
        <v>117474</v>
      </c>
      <c r="D50" s="1573">
        <v>3247</v>
      </c>
      <c r="E50" s="1573">
        <v>2161</v>
      </c>
      <c r="F50" s="1573">
        <v>180</v>
      </c>
      <c r="G50" s="1573"/>
      <c r="H50" s="1573"/>
      <c r="I50" s="1574"/>
      <c r="J50" s="1574"/>
      <c r="K50" s="1678">
        <f>SUM(C50:J50)</f>
        <v>123062</v>
      </c>
      <c r="L50" s="1573">
        <v>123075</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121283</v>
      </c>
      <c r="D53" s="1674">
        <f t="shared" ref="D53:L53" si="5">SUM(D49:D52)</f>
        <v>3247</v>
      </c>
      <c r="E53" s="1674">
        <f t="shared" si="5"/>
        <v>72042</v>
      </c>
      <c r="F53" s="1674">
        <f t="shared" si="5"/>
        <v>180</v>
      </c>
      <c r="G53" s="1674">
        <f t="shared" si="5"/>
        <v>0</v>
      </c>
      <c r="H53" s="1674">
        <f t="shared" si="5"/>
        <v>0</v>
      </c>
      <c r="I53" s="1674">
        <f t="shared" si="5"/>
        <v>0</v>
      </c>
      <c r="J53" s="1674">
        <f t="shared" si="5"/>
        <v>0</v>
      </c>
      <c r="K53" s="1674">
        <f t="shared" si="5"/>
        <v>196752</v>
      </c>
      <c r="L53" s="1674">
        <f t="shared" si="5"/>
        <v>196796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203818</v>
      </c>
      <c r="D55" s="1586">
        <v>23427</v>
      </c>
      <c r="E55" s="1586">
        <v>2112</v>
      </c>
      <c r="F55" s="1586">
        <v>249</v>
      </c>
      <c r="G55" s="1586"/>
      <c r="H55" s="1586"/>
      <c r="I55" s="1574"/>
      <c r="J55" s="1574"/>
      <c r="K55" s="1678">
        <f>SUM(C55:J55)</f>
        <v>229606</v>
      </c>
      <c r="L55" s="1586">
        <v>229611</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203818</v>
      </c>
      <c r="D57" s="1679">
        <f t="shared" ref="D57:K57" si="6">SUM(D55:D56)</f>
        <v>23427</v>
      </c>
      <c r="E57" s="1679">
        <f t="shared" si="6"/>
        <v>2112</v>
      </c>
      <c r="F57" s="1679">
        <f t="shared" si="6"/>
        <v>249</v>
      </c>
      <c r="G57" s="1679">
        <f t="shared" si="6"/>
        <v>0</v>
      </c>
      <c r="H57" s="1679">
        <f t="shared" si="6"/>
        <v>0</v>
      </c>
      <c r="I57" s="1679">
        <f t="shared" si="6"/>
        <v>0</v>
      </c>
      <c r="J57" s="1679">
        <f t="shared" si="6"/>
        <v>0</v>
      </c>
      <c r="K57" s="1679">
        <f t="shared" si="6"/>
        <v>229606</v>
      </c>
      <c r="L57" s="1674">
        <f>SUM(L55:L56)</f>
        <v>229611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40596</v>
      </c>
      <c r="D60" s="1573">
        <v>27</v>
      </c>
      <c r="E60" s="1573"/>
      <c r="F60" s="1573">
        <v>8263</v>
      </c>
      <c r="G60" s="1573"/>
      <c r="H60" s="1573"/>
      <c r="I60" s="1574"/>
      <c r="J60" s="1574"/>
      <c r="K60" s="1678">
        <f t="shared" si="7"/>
        <v>48886</v>
      </c>
      <c r="L60" s="1573">
        <v>48889</v>
      </c>
      <c r="M60" s="501"/>
      <c r="N60" s="501"/>
    </row>
    <row r="61" spans="1:14" s="321" customFormat="1" x14ac:dyDescent="0.2">
      <c r="A61" s="1274" t="s">
        <v>195</v>
      </c>
      <c r="B61" s="503">
        <v>2540</v>
      </c>
      <c r="C61" s="1573">
        <v>66145</v>
      </c>
      <c r="D61" s="1573">
        <v>4427</v>
      </c>
      <c r="E61" s="1573">
        <v>20199</v>
      </c>
      <c r="F61" s="1573">
        <v>14401</v>
      </c>
      <c r="G61" s="1573">
        <v>6383</v>
      </c>
      <c r="H61" s="1573"/>
      <c r="I61" s="1574"/>
      <c r="J61" s="1574"/>
      <c r="K61" s="1678">
        <f t="shared" si="7"/>
        <v>111555</v>
      </c>
      <c r="L61" s="1573">
        <v>111562</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57034</v>
      </c>
      <c r="D63" s="1573">
        <v>9710</v>
      </c>
      <c r="E63" s="1573"/>
      <c r="F63" s="1573">
        <v>82386</v>
      </c>
      <c r="G63" s="1573"/>
      <c r="H63" s="1573"/>
      <c r="I63" s="1574"/>
      <c r="J63" s="1574"/>
      <c r="K63" s="1678">
        <f t="shared" si="7"/>
        <v>149130</v>
      </c>
      <c r="L63" s="1573">
        <v>149175</v>
      </c>
    </row>
    <row r="64" spans="1:14" s="501" customFormat="1" x14ac:dyDescent="0.2">
      <c r="A64" s="1279" t="s">
        <v>101</v>
      </c>
      <c r="B64" s="513">
        <v>2570</v>
      </c>
      <c r="C64" s="1586"/>
      <c r="D64" s="1586"/>
      <c r="E64" s="1586"/>
      <c r="F64" s="1586">
        <v>3323</v>
      </c>
      <c r="G64" s="1586"/>
      <c r="H64" s="1586"/>
      <c r="I64" s="1574"/>
      <c r="J64" s="1574"/>
      <c r="K64" s="1678">
        <f t="shared" si="7"/>
        <v>3323</v>
      </c>
      <c r="L64" s="1586">
        <v>3324</v>
      </c>
    </row>
    <row r="65" spans="1:14" s="321" customFormat="1" ht="12.75" customHeight="1" thickBot="1" x14ac:dyDescent="0.25">
      <c r="A65" s="1380" t="s">
        <v>714</v>
      </c>
      <c r="B65" s="1381" t="s">
        <v>35</v>
      </c>
      <c r="C65" s="1674">
        <f>SUM(C59:C64)</f>
        <v>163775</v>
      </c>
      <c r="D65" s="1674">
        <f t="shared" ref="D65:L65" si="8">SUM(D59:D64)</f>
        <v>14164</v>
      </c>
      <c r="E65" s="1674">
        <f t="shared" si="8"/>
        <v>20199</v>
      </c>
      <c r="F65" s="1674">
        <f t="shared" si="8"/>
        <v>108373</v>
      </c>
      <c r="G65" s="1674">
        <f t="shared" si="8"/>
        <v>6383</v>
      </c>
      <c r="H65" s="1674">
        <f t="shared" si="8"/>
        <v>0</v>
      </c>
      <c r="I65" s="1674">
        <f t="shared" si="8"/>
        <v>0</v>
      </c>
      <c r="J65" s="1674">
        <f t="shared" si="8"/>
        <v>0</v>
      </c>
      <c r="K65" s="1674">
        <f t="shared" si="8"/>
        <v>312894</v>
      </c>
      <c r="L65" s="1674">
        <f t="shared" si="8"/>
        <v>312950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v>24955</v>
      </c>
      <c r="F70" s="1573"/>
      <c r="G70" s="1573"/>
      <c r="H70" s="1573"/>
      <c r="I70" s="1574"/>
      <c r="J70" s="1574"/>
      <c r="K70" s="1678">
        <f>SUM(C70:J70)</f>
        <v>24955</v>
      </c>
      <c r="L70" s="1573">
        <v>24955</v>
      </c>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24955</v>
      </c>
      <c r="F72" s="1674">
        <f t="shared" si="9"/>
        <v>0</v>
      </c>
      <c r="G72" s="1674">
        <f t="shared" si="9"/>
        <v>0</v>
      </c>
      <c r="H72" s="1674">
        <f t="shared" si="9"/>
        <v>0</v>
      </c>
      <c r="I72" s="1674">
        <f t="shared" si="9"/>
        <v>0</v>
      </c>
      <c r="J72" s="1674">
        <f t="shared" si="9"/>
        <v>0</v>
      </c>
      <c r="K72" s="1674">
        <f t="shared" si="9"/>
        <v>24955</v>
      </c>
      <c r="L72" s="1674">
        <f>SUM(L67:L71)</f>
        <v>24955</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606538</v>
      </c>
      <c r="D74" s="1681">
        <f t="shared" ref="D74:K74" si="10">SUM(D42,D47,D53,D57,D65,D72,D73)</f>
        <v>51434</v>
      </c>
      <c r="E74" s="1681">
        <f t="shared" si="10"/>
        <v>147668</v>
      </c>
      <c r="F74" s="1681">
        <f t="shared" si="10"/>
        <v>132895</v>
      </c>
      <c r="G74" s="1681">
        <f t="shared" si="10"/>
        <v>6383</v>
      </c>
      <c r="H74" s="1681">
        <f t="shared" si="10"/>
        <v>0</v>
      </c>
      <c r="I74" s="1681">
        <f t="shared" si="10"/>
        <v>0</v>
      </c>
      <c r="J74" s="1681">
        <f t="shared" si="10"/>
        <v>0</v>
      </c>
      <c r="K74" s="1681">
        <f t="shared" si="10"/>
        <v>944918</v>
      </c>
      <c r="L74" s="1681">
        <f>SUM(L42,L47,L53,L57,L65,L72,L73)</f>
        <v>945232</v>
      </c>
    </row>
    <row r="75" spans="1:14" s="254" customFormat="1" ht="15.75" customHeight="1" thickTop="1" thickBot="1" x14ac:dyDescent="0.25">
      <c r="A75" s="1348" t="s">
        <v>47</v>
      </c>
      <c r="B75" s="1349" t="s">
        <v>571</v>
      </c>
      <c r="C75" s="1649">
        <v>1013</v>
      </c>
      <c r="D75" s="1649"/>
      <c r="E75" s="1649"/>
      <c r="F75" s="1649">
        <v>400</v>
      </c>
      <c r="G75" s="1649"/>
      <c r="H75" s="1649"/>
      <c r="I75" s="1627"/>
      <c r="J75" s="1627"/>
      <c r="K75" s="1674">
        <f>SUM(C75:J75)</f>
        <v>1413</v>
      </c>
      <c r="L75" s="1651">
        <v>1400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v>355</v>
      </c>
      <c r="I83" s="1582"/>
      <c r="J83" s="1582"/>
      <c r="K83" s="1672">
        <f t="shared" si="11"/>
        <v>355</v>
      </c>
      <c r="L83" s="1573">
        <v>355</v>
      </c>
    </row>
    <row r="84" spans="1:12" ht="13.5" thickBot="1" x14ac:dyDescent="0.25">
      <c r="A84" s="1380" t="s">
        <v>1468</v>
      </c>
      <c r="B84" s="1385">
        <v>4100</v>
      </c>
      <c r="C84" s="1673"/>
      <c r="D84" s="1673"/>
      <c r="E84" s="1674">
        <f>SUM(E78:E83)</f>
        <v>0</v>
      </c>
      <c r="F84" s="1673"/>
      <c r="G84" s="1673"/>
      <c r="H84" s="1674">
        <f>SUM(H78:H83)</f>
        <v>355</v>
      </c>
      <c r="I84" s="1582"/>
      <c r="J84" s="1582"/>
      <c r="K84" s="1674">
        <f>SUM(K78:K83)</f>
        <v>355</v>
      </c>
      <c r="L84" s="1674">
        <f>SUM(L78:L83)</f>
        <v>355</v>
      </c>
    </row>
    <row r="85" spans="1:12" ht="12.75" customHeight="1" thickTop="1" thickBot="1" x14ac:dyDescent="0.25">
      <c r="A85" s="1281" t="s">
        <v>253</v>
      </c>
      <c r="B85" s="517">
        <v>4210</v>
      </c>
      <c r="C85" s="1673"/>
      <c r="D85" s="1673"/>
      <c r="E85" s="1683"/>
      <c r="F85" s="1673"/>
      <c r="G85" s="1673"/>
      <c r="H85" s="1630">
        <v>35069</v>
      </c>
      <c r="I85" s="1582"/>
      <c r="J85" s="1582"/>
      <c r="K85" s="1681">
        <f>H85</f>
        <v>35069</v>
      </c>
      <c r="L85" s="1626">
        <v>35070</v>
      </c>
    </row>
    <row r="86" spans="1:12" ht="12.75" customHeight="1" thickTop="1" thickBot="1" x14ac:dyDescent="0.25">
      <c r="A86" s="1282" t="s">
        <v>694</v>
      </c>
      <c r="B86" s="518">
        <v>4220</v>
      </c>
      <c r="C86" s="1673"/>
      <c r="D86" s="1673"/>
      <c r="E86" s="1684"/>
      <c r="F86" s="1673"/>
      <c r="G86" s="1673"/>
      <c r="H86" s="1574">
        <v>25584</v>
      </c>
      <c r="I86" s="1582"/>
      <c r="J86" s="1582"/>
      <c r="K86" s="1681">
        <f t="shared" ref="K86:K98" si="12">H86</f>
        <v>25584</v>
      </c>
      <c r="L86" s="1626">
        <v>25584</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v>36699</v>
      </c>
      <c r="I88" s="1582"/>
      <c r="J88" s="1582"/>
      <c r="K88" s="1681">
        <f t="shared" si="12"/>
        <v>36699</v>
      </c>
      <c r="L88" s="1626">
        <v>36699</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97352</v>
      </c>
      <c r="I92" s="1582"/>
      <c r="J92" s="1582"/>
      <c r="K92" s="1681">
        <f t="shared" si="12"/>
        <v>97352</v>
      </c>
      <c r="L92" s="1674">
        <f>SUM(L85:L91)</f>
        <v>97353</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97707</v>
      </c>
      <c r="I102" s="1582"/>
      <c r="J102" s="1582"/>
      <c r="K102" s="1681">
        <f>SUM(K84,K92,K100,K101)</f>
        <v>97707</v>
      </c>
      <c r="L102" s="1681">
        <f>SUM(L84,L92,L100,L101)</f>
        <v>97708</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2627526</v>
      </c>
      <c r="D114" s="1674">
        <f t="shared" ref="D114:K114" si="13">SUM(D33,D74,D75,D102,D112,D113)</f>
        <v>169076</v>
      </c>
      <c r="E114" s="1674">
        <f t="shared" si="13"/>
        <v>253513</v>
      </c>
      <c r="F114" s="1674">
        <f t="shared" si="13"/>
        <v>210749</v>
      </c>
      <c r="G114" s="1674">
        <f t="shared" si="13"/>
        <v>11496</v>
      </c>
      <c r="H114" s="1674">
        <f>SUM(H33,H74,H75,H102,H112,H113)</f>
        <v>104600</v>
      </c>
      <c r="I114" s="1674">
        <f t="shared" si="13"/>
        <v>0</v>
      </c>
      <c r="J114" s="1674">
        <f t="shared" si="13"/>
        <v>0</v>
      </c>
      <c r="K114" s="1674">
        <f t="shared" si="13"/>
        <v>3376960</v>
      </c>
      <c r="L114" s="1674">
        <f>SUM(L33,L74,L75,L102,L112,L113)</f>
        <v>3376424</v>
      </c>
    </row>
    <row r="115" spans="1:14" ht="13.5" thickTop="1" x14ac:dyDescent="0.2">
      <c r="A115" s="2261" t="s">
        <v>989</v>
      </c>
      <c r="B115" s="2262"/>
      <c r="C115" s="1675"/>
      <c r="D115" s="1675"/>
      <c r="E115" s="1675"/>
      <c r="F115" s="1675"/>
      <c r="G115" s="1675"/>
      <c r="H115" s="1675"/>
      <c r="I115" s="1675"/>
      <c r="J115" s="1675"/>
      <c r="K115" s="1689">
        <f>'Revenues 9-14'!C268-'Expenditures 15-22'!K114</f>
        <v>30293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90165</v>
      </c>
      <c r="D124" s="1573">
        <v>12660</v>
      </c>
      <c r="E124" s="1573">
        <v>67884</v>
      </c>
      <c r="F124" s="1573">
        <v>118812</v>
      </c>
      <c r="G124" s="1573">
        <v>9897</v>
      </c>
      <c r="H124" s="1573"/>
      <c r="I124" s="1574"/>
      <c r="J124" s="1574"/>
      <c r="K124" s="1674">
        <f>SUM(C124:J124)</f>
        <v>299418</v>
      </c>
      <c r="L124" s="1573">
        <v>306832</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90165</v>
      </c>
      <c r="D127" s="1674">
        <f t="shared" ref="D127:L127" si="14">SUM(D122:D126)</f>
        <v>12660</v>
      </c>
      <c r="E127" s="1674">
        <f t="shared" si="14"/>
        <v>67884</v>
      </c>
      <c r="F127" s="1674">
        <f t="shared" si="14"/>
        <v>118812</v>
      </c>
      <c r="G127" s="1674">
        <f t="shared" si="14"/>
        <v>9897</v>
      </c>
      <c r="H127" s="1674">
        <f t="shared" si="14"/>
        <v>0</v>
      </c>
      <c r="I127" s="1674">
        <f t="shared" si="14"/>
        <v>0</v>
      </c>
      <c r="J127" s="1674">
        <f t="shared" si="14"/>
        <v>0</v>
      </c>
      <c r="K127" s="1674">
        <f t="shared" si="14"/>
        <v>299418</v>
      </c>
      <c r="L127" s="1674">
        <f t="shared" si="14"/>
        <v>306832</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90165</v>
      </c>
      <c r="D129" s="1681">
        <f t="shared" ref="D129:L129" si="15">SUM(D120,D127,D128)</f>
        <v>12660</v>
      </c>
      <c r="E129" s="1681">
        <f t="shared" si="15"/>
        <v>67884</v>
      </c>
      <c r="F129" s="1681">
        <f t="shared" si="15"/>
        <v>118812</v>
      </c>
      <c r="G129" s="1681">
        <f t="shared" si="15"/>
        <v>9897</v>
      </c>
      <c r="H129" s="1681">
        <f t="shared" si="15"/>
        <v>0</v>
      </c>
      <c r="I129" s="1681">
        <f t="shared" si="15"/>
        <v>0</v>
      </c>
      <c r="J129" s="1681">
        <f t="shared" si="15"/>
        <v>0</v>
      </c>
      <c r="K129" s="1681">
        <f t="shared" si="15"/>
        <v>299418</v>
      </c>
      <c r="L129" s="1681">
        <f t="shared" si="15"/>
        <v>306832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90165</v>
      </c>
      <c r="D151" s="1674">
        <f t="shared" ref="D151:K151" si="16">SUM(D129,D130,D139,D149,D150)</f>
        <v>12660</v>
      </c>
      <c r="E151" s="1674">
        <f t="shared" si="16"/>
        <v>67884</v>
      </c>
      <c r="F151" s="1674">
        <f t="shared" si="16"/>
        <v>118812</v>
      </c>
      <c r="G151" s="1674">
        <f t="shared" si="16"/>
        <v>9897</v>
      </c>
      <c r="H151" s="1674">
        <f t="shared" si="16"/>
        <v>0</v>
      </c>
      <c r="I151" s="1674">
        <f t="shared" si="16"/>
        <v>0</v>
      </c>
      <c r="J151" s="1674">
        <f t="shared" si="16"/>
        <v>0</v>
      </c>
      <c r="K151" s="1674">
        <f t="shared" si="16"/>
        <v>299418</v>
      </c>
      <c r="L151" s="1674">
        <f>SUM(L129,L130,L139,L149,L150)</f>
        <v>306832</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126275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111645</v>
      </c>
      <c r="I169" s="1673"/>
      <c r="J169" s="1673"/>
      <c r="K169" s="1672">
        <f>SUM(C169:H169)</f>
        <v>111645</v>
      </c>
      <c r="L169" s="1695">
        <v>111645</v>
      </c>
    </row>
    <row r="170" spans="1:14" ht="33.75" customHeight="1" x14ac:dyDescent="0.2">
      <c r="A170" s="543" t="s">
        <v>1651</v>
      </c>
      <c r="B170" s="545" t="s">
        <v>31</v>
      </c>
      <c r="C170" s="1673"/>
      <c r="D170" s="1673"/>
      <c r="E170" s="1673"/>
      <c r="F170" s="1673"/>
      <c r="G170" s="1673"/>
      <c r="H170" s="1646">
        <v>190000</v>
      </c>
      <c r="I170" s="1673"/>
      <c r="J170" s="1673"/>
      <c r="K170" s="1672">
        <f>SUM(C170:J170)</f>
        <v>190000</v>
      </c>
      <c r="L170" s="1646">
        <v>190000</v>
      </c>
    </row>
    <row r="171" spans="1:14" ht="15.75" customHeight="1" x14ac:dyDescent="0.2">
      <c r="A171" s="507" t="s">
        <v>761</v>
      </c>
      <c r="B171" s="546" t="s">
        <v>84</v>
      </c>
      <c r="C171" s="1673"/>
      <c r="D171" s="1673"/>
      <c r="E171" s="1573"/>
      <c r="F171" s="1673"/>
      <c r="G171" s="1673"/>
      <c r="H171" s="1646">
        <v>58148</v>
      </c>
      <c r="I171" s="1582"/>
      <c r="J171" s="1673"/>
      <c r="K171" s="1672">
        <f>SUM(C171:J171)</f>
        <v>58148</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359793</v>
      </c>
      <c r="I172" s="1684"/>
      <c r="J172" s="1673"/>
      <c r="K172" s="1681">
        <f>SUM(K168,K169,K170,K171)</f>
        <v>359793</v>
      </c>
      <c r="L172" s="1681">
        <f>SUM(L168,L169,L170,L171)</f>
        <v>302145</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359793</v>
      </c>
      <c r="I174" s="1684"/>
      <c r="J174" s="1673"/>
      <c r="K174" s="1681">
        <f>SUM(K160,K172,K173)</f>
        <v>359793</v>
      </c>
      <c r="L174" s="1681">
        <f>SUM(L160,L172,L173)</f>
        <v>302145</v>
      </c>
    </row>
    <row r="175" spans="1:14" ht="13.5" thickTop="1" x14ac:dyDescent="0.2">
      <c r="A175" s="2261" t="s">
        <v>989</v>
      </c>
      <c r="B175" s="2262"/>
      <c r="C175" s="1673"/>
      <c r="D175" s="1673"/>
      <c r="E175" s="1673"/>
      <c r="F175" s="1673"/>
      <c r="G175" s="1673"/>
      <c r="H175" s="1675"/>
      <c r="I175" s="1673"/>
      <c r="J175" s="1673"/>
      <c r="K175" s="1689">
        <f>'Revenues 9-14'!E268-'Expenditures 15-22'!K174</f>
        <v>-56578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93164</v>
      </c>
      <c r="D182" s="1573">
        <v>8807</v>
      </c>
      <c r="E182" s="1573">
        <v>15358</v>
      </c>
      <c r="F182" s="1573">
        <v>27631</v>
      </c>
      <c r="G182" s="1573">
        <v>25575</v>
      </c>
      <c r="H182" s="1573"/>
      <c r="I182" s="1574"/>
      <c r="J182" s="1574"/>
      <c r="K182" s="1672">
        <f>SUM(C182:J182)</f>
        <v>170535</v>
      </c>
      <c r="L182" s="1573">
        <v>266695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93164</v>
      </c>
      <c r="D184" s="1681">
        <f t="shared" ref="D184:J184" si="17">SUM(D180,D182,D183)</f>
        <v>8807</v>
      </c>
      <c r="E184" s="1681">
        <f t="shared" si="17"/>
        <v>15358</v>
      </c>
      <c r="F184" s="1681">
        <f t="shared" si="17"/>
        <v>27631</v>
      </c>
      <c r="G184" s="1681">
        <f t="shared" si="17"/>
        <v>25575</v>
      </c>
      <c r="H184" s="1681">
        <f t="shared" si="17"/>
        <v>0</v>
      </c>
      <c r="I184" s="1681">
        <f t="shared" si="17"/>
        <v>0</v>
      </c>
      <c r="J184" s="1681">
        <f t="shared" si="17"/>
        <v>0</v>
      </c>
      <c r="K184" s="1681">
        <f>SUM(K180,K182,K183)</f>
        <v>170535</v>
      </c>
      <c r="L184" s="1681">
        <f>SUM(L180, L182:L183)</f>
        <v>266695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v>95559</v>
      </c>
      <c r="I206" s="1673"/>
      <c r="J206" s="1673"/>
      <c r="K206" s="1672">
        <f>SUM(H206)</f>
        <v>95559</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95559</v>
      </c>
      <c r="I208" s="1673"/>
      <c r="J208" s="1673"/>
      <c r="K208" s="1681">
        <f>SUM(K204,K205,K206,K207)</f>
        <v>95559</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93164</v>
      </c>
      <c r="D210" s="1674">
        <f>SUM(D184,D185)</f>
        <v>8807</v>
      </c>
      <c r="E210" s="1674">
        <f>SUM(E184,E185,E196)</f>
        <v>15358</v>
      </c>
      <c r="F210" s="1674">
        <f>SUM(F184,F185)</f>
        <v>27631</v>
      </c>
      <c r="G210" s="1674">
        <f>SUM(G184,G185)</f>
        <v>25575</v>
      </c>
      <c r="H210" s="1674">
        <f>SUM(H184,H185,H196,H208,H209)</f>
        <v>95559</v>
      </c>
      <c r="I210" s="1674">
        <f>SUM(I184,I185)</f>
        <v>0</v>
      </c>
      <c r="J210" s="1674">
        <f>SUM(J184,J185)</f>
        <v>0</v>
      </c>
      <c r="K210" s="1672">
        <f>SUM(K184,K185,K196,K208,K209)</f>
        <v>266094</v>
      </c>
      <c r="L210" s="1674">
        <f>SUM(L184,L185,L196,L208,L209)</f>
        <v>266695</v>
      </c>
    </row>
    <row r="211" spans="1:14" ht="13.5" thickTop="1" x14ac:dyDescent="0.2">
      <c r="A211" s="2261" t="s">
        <v>989</v>
      </c>
      <c r="B211" s="2262"/>
      <c r="C211" s="1675"/>
      <c r="D211" s="1675"/>
      <c r="E211" s="1675"/>
      <c r="F211" s="1675"/>
      <c r="G211" s="1675"/>
      <c r="H211" s="1675"/>
      <c r="I211" s="1673"/>
      <c r="J211" s="1673"/>
      <c r="K211" s="1689">
        <f>'Revenues 9-14'!F268-'Expenditures 15-22'!K210</f>
        <v>55286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29314</v>
      </c>
      <c r="E215" s="1673"/>
      <c r="F215" s="1673"/>
      <c r="G215" s="1673"/>
      <c r="H215" s="1673"/>
      <c r="I215" s="1673"/>
      <c r="J215" s="1673"/>
      <c r="K215" s="1672">
        <f>D215</f>
        <v>29314</v>
      </c>
      <c r="L215" s="1573">
        <v>37795</v>
      </c>
    </row>
    <row r="216" spans="1:14" x14ac:dyDescent="0.2">
      <c r="A216" s="1274" t="s">
        <v>162</v>
      </c>
      <c r="B216" s="503" t="s">
        <v>961</v>
      </c>
      <c r="C216" s="1673"/>
      <c r="D216" s="1574">
        <v>11914</v>
      </c>
      <c r="E216" s="1673"/>
      <c r="F216" s="1673"/>
      <c r="G216" s="1673"/>
      <c r="H216" s="1673"/>
      <c r="I216" s="1673"/>
      <c r="J216" s="1673"/>
      <c r="K216" s="1672">
        <f t="shared" ref="K216:K228" si="19">D216</f>
        <v>11914</v>
      </c>
      <c r="L216" s="1573">
        <v>3601</v>
      </c>
    </row>
    <row r="217" spans="1:14" x14ac:dyDescent="0.2">
      <c r="A217" s="1274" t="s">
        <v>163</v>
      </c>
      <c r="B217" s="503">
        <v>1200</v>
      </c>
      <c r="C217" s="1673"/>
      <c r="D217" s="1573">
        <v>15441</v>
      </c>
      <c r="E217" s="1673"/>
      <c r="F217" s="1673"/>
      <c r="G217" s="1673"/>
      <c r="H217" s="1673"/>
      <c r="I217" s="1673"/>
      <c r="J217" s="1673"/>
      <c r="K217" s="1672">
        <f t="shared" si="19"/>
        <v>15441</v>
      </c>
      <c r="L217" s="1573">
        <v>15450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3484</v>
      </c>
      <c r="E223" s="1673"/>
      <c r="F223" s="1673"/>
      <c r="G223" s="1673"/>
      <c r="H223" s="1673"/>
      <c r="I223" s="1673"/>
      <c r="J223" s="1673"/>
      <c r="K223" s="1672">
        <f t="shared" si="19"/>
        <v>3484</v>
      </c>
      <c r="L223" s="1573">
        <v>3486</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60153</v>
      </c>
      <c r="E229" s="1673"/>
      <c r="F229" s="1673"/>
      <c r="G229" s="1673"/>
      <c r="H229" s="1673"/>
      <c r="I229" s="1673"/>
      <c r="J229" s="1673"/>
      <c r="K229" s="1674">
        <f>SUM(K215:K228)</f>
        <v>60153</v>
      </c>
      <c r="L229" s="1674">
        <f>SUM(L215:L228)</f>
        <v>60332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6461</v>
      </c>
      <c r="E234" s="1673"/>
      <c r="F234" s="1673"/>
      <c r="G234" s="1673"/>
      <c r="H234" s="1673"/>
      <c r="I234" s="1673"/>
      <c r="J234" s="1673"/>
      <c r="K234" s="1672">
        <f t="shared" si="20"/>
        <v>6461</v>
      </c>
      <c r="L234" s="1573">
        <v>6465</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6461</v>
      </c>
      <c r="E238" s="1673"/>
      <c r="F238" s="1673"/>
      <c r="G238" s="1673"/>
      <c r="H238" s="1673"/>
      <c r="I238" s="1673"/>
      <c r="J238" s="1673"/>
      <c r="K238" s="1674">
        <f>SUM(K232:K237)</f>
        <v>6461</v>
      </c>
      <c r="L238" s="1674">
        <f>SUM(L232:L237)</f>
        <v>6465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588</v>
      </c>
      <c r="E245" s="1673"/>
      <c r="F245" s="1673"/>
      <c r="G245" s="1673"/>
      <c r="H245" s="1673"/>
      <c r="I245" s="1673"/>
      <c r="J245" s="1673"/>
      <c r="K245" s="1678">
        <f>D245</f>
        <v>588</v>
      </c>
      <c r="L245" s="1586">
        <v>579</v>
      </c>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588</v>
      </c>
      <c r="E257" s="1673"/>
      <c r="F257" s="1673"/>
      <c r="G257" s="1673"/>
      <c r="H257" s="1673"/>
      <c r="I257" s="1673"/>
      <c r="J257" s="1673"/>
      <c r="K257" s="1674">
        <f>SUM(K245:K256)</f>
        <v>588</v>
      </c>
      <c r="L257" s="1674">
        <f>SUM(L245:L256)</f>
        <v>579</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8330</v>
      </c>
      <c r="E259" s="1673"/>
      <c r="F259" s="1673"/>
      <c r="G259" s="1673"/>
      <c r="H259" s="1673"/>
      <c r="I259" s="1673"/>
      <c r="J259" s="1673"/>
      <c r="K259" s="1678">
        <f>D259</f>
        <v>8330</v>
      </c>
      <c r="L259" s="1586">
        <v>8330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8330</v>
      </c>
      <c r="E261" s="1673"/>
      <c r="F261" s="1673"/>
      <c r="G261" s="1673"/>
      <c r="H261" s="1673"/>
      <c r="I261" s="1673"/>
      <c r="J261" s="1673"/>
      <c r="K261" s="1674">
        <f>SUM(K259:K260)</f>
        <v>8330</v>
      </c>
      <c r="L261" s="1674">
        <f>SUM(L259:L260)</f>
        <v>8330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6506</v>
      </c>
      <c r="E264" s="1673"/>
      <c r="F264" s="1673"/>
      <c r="G264" s="1673"/>
      <c r="H264" s="1673"/>
      <c r="I264" s="1673"/>
      <c r="J264" s="1673"/>
      <c r="K264" s="1678">
        <f t="shared" ref="K264:K269" si="22">D264</f>
        <v>6506</v>
      </c>
      <c r="L264" s="1573">
        <v>6506</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24285</v>
      </c>
      <c r="E266" s="1673"/>
      <c r="F266" s="1673"/>
      <c r="G266" s="1673"/>
      <c r="H266" s="1673"/>
      <c r="I266" s="1673"/>
      <c r="J266" s="1673"/>
      <c r="K266" s="1678">
        <f t="shared" si="22"/>
        <v>24285</v>
      </c>
      <c r="L266" s="1573">
        <v>24515</v>
      </c>
    </row>
    <row r="267" spans="1:14" x14ac:dyDescent="0.2">
      <c r="A267" s="1274" t="s">
        <v>947</v>
      </c>
      <c r="B267" s="503">
        <v>2550</v>
      </c>
      <c r="C267" s="1673"/>
      <c r="D267" s="1573">
        <v>14128</v>
      </c>
      <c r="E267" s="1673"/>
      <c r="F267" s="1673"/>
      <c r="G267" s="1673"/>
      <c r="H267" s="1673"/>
      <c r="I267" s="1673"/>
      <c r="J267" s="1673"/>
      <c r="K267" s="1678">
        <f t="shared" si="22"/>
        <v>14128</v>
      </c>
      <c r="L267" s="1573">
        <v>14190</v>
      </c>
    </row>
    <row r="268" spans="1:14" x14ac:dyDescent="0.2">
      <c r="A268" s="1274" t="s">
        <v>100</v>
      </c>
      <c r="B268" s="503">
        <v>2560</v>
      </c>
      <c r="C268" s="1673"/>
      <c r="D268" s="1573">
        <v>7863</v>
      </c>
      <c r="E268" s="1673"/>
      <c r="F268" s="1673"/>
      <c r="G268" s="1673"/>
      <c r="H268" s="1673"/>
      <c r="I268" s="1673"/>
      <c r="J268" s="1673"/>
      <c r="K268" s="1678">
        <f t="shared" si="22"/>
        <v>7863</v>
      </c>
      <c r="L268" s="1573">
        <v>7924</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52782</v>
      </c>
      <c r="E270" s="1673"/>
      <c r="F270" s="1673"/>
      <c r="G270" s="1673"/>
      <c r="H270" s="1673"/>
      <c r="I270" s="1673"/>
      <c r="J270" s="1673"/>
      <c r="K270" s="1674">
        <f>SUM(K263:K269)</f>
        <v>52782</v>
      </c>
      <c r="L270" s="1674">
        <f>SUM(L263:L269)</f>
        <v>53135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68161</v>
      </c>
      <c r="E279" s="1673"/>
      <c r="F279" s="1673"/>
      <c r="G279" s="1673"/>
      <c r="H279" s="1673"/>
      <c r="I279" s="1673"/>
      <c r="J279" s="1673"/>
      <c r="K279" s="1681">
        <f>SUM(K238,K243,K257,K261,K270,K277,K278)</f>
        <v>68161</v>
      </c>
      <c r="L279" s="1681">
        <f>SUM(L238,L243,L257,L261,L270,L277,L278)</f>
        <v>68509</v>
      </c>
    </row>
    <row r="280" spans="1:12" ht="15.75" customHeight="1" thickTop="1" thickBot="1" x14ac:dyDescent="0.25">
      <c r="A280" s="1362" t="s">
        <v>870</v>
      </c>
      <c r="B280" s="1351">
        <v>3000</v>
      </c>
      <c r="C280" s="1673"/>
      <c r="D280" s="1651">
        <v>46</v>
      </c>
      <c r="E280" s="1673"/>
      <c r="F280" s="1673"/>
      <c r="G280" s="1673"/>
      <c r="H280" s="1673"/>
      <c r="I280" s="1673"/>
      <c r="J280" s="1673"/>
      <c r="K280" s="1687">
        <f>D280</f>
        <v>46</v>
      </c>
      <c r="L280" s="1651">
        <v>24</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128360</v>
      </c>
      <c r="E295" s="1673"/>
      <c r="F295" s="1673"/>
      <c r="G295" s="1673"/>
      <c r="H295" s="1674">
        <f>H293</f>
        <v>0</v>
      </c>
      <c r="I295" s="1673"/>
      <c r="J295" s="1673"/>
      <c r="K295" s="1674">
        <f>SUM(K229,K279,K280,K285,K293,K294)</f>
        <v>128360</v>
      </c>
      <c r="L295" s="1674">
        <f>SUM(L229,L279,L280,L285,L293,L294)</f>
        <v>128865</v>
      </c>
    </row>
    <row r="296" spans="1:14" ht="13.5" thickTop="1" x14ac:dyDescent="0.2">
      <c r="A296" s="2261" t="s">
        <v>989</v>
      </c>
      <c r="B296" s="2262"/>
      <c r="C296" s="1673"/>
      <c r="D296" s="1675"/>
      <c r="E296" s="1673"/>
      <c r="F296" s="1673"/>
      <c r="G296" s="1673"/>
      <c r="H296" s="1707"/>
      <c r="I296" s="1673"/>
      <c r="J296" s="1673"/>
      <c r="K296" s="1689">
        <f>'Revenues 9-14'!G268-'Expenditures 15-22'!K295</f>
        <v>11921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5037</v>
      </c>
      <c r="F301" s="1573"/>
      <c r="G301" s="1573">
        <v>423591</v>
      </c>
      <c r="H301" s="1573"/>
      <c r="I301" s="1574"/>
      <c r="J301" s="1574"/>
      <c r="K301" s="1672">
        <f>SUM(C301:J301)</f>
        <v>428628</v>
      </c>
      <c r="L301" s="1574">
        <v>428641</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5037</v>
      </c>
      <c r="F303" s="1681">
        <f t="shared" si="23"/>
        <v>0</v>
      </c>
      <c r="G303" s="1681">
        <f t="shared" si="23"/>
        <v>423591</v>
      </c>
      <c r="H303" s="1681">
        <f t="shared" si="23"/>
        <v>0</v>
      </c>
      <c r="I303" s="1681">
        <f t="shared" si="23"/>
        <v>0</v>
      </c>
      <c r="J303" s="1681">
        <f t="shared" si="23"/>
        <v>0</v>
      </c>
      <c r="K303" s="1681">
        <f t="shared" si="23"/>
        <v>428628</v>
      </c>
      <c r="L303" s="1681">
        <f t="shared" si="23"/>
        <v>428641</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5037</v>
      </c>
      <c r="F312" s="1674">
        <f>SUM(F303)</f>
        <v>0</v>
      </c>
      <c r="G312" s="1674">
        <f>SUM(G303)</f>
        <v>423591</v>
      </c>
      <c r="H312" s="1674">
        <f>SUM(H303,H310)</f>
        <v>0</v>
      </c>
      <c r="I312" s="1674">
        <f>SUM(I303)</f>
        <v>0</v>
      </c>
      <c r="J312" s="1674">
        <f>SUM(J303)</f>
        <v>0</v>
      </c>
      <c r="K312" s="1674">
        <f>SUM(K303,K310,K311)</f>
        <v>428628</v>
      </c>
      <c r="L312" s="1674">
        <f>SUM(L303,L310,L311)</f>
        <v>428641</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-179564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56002</v>
      </c>
      <c r="F322" s="1574"/>
      <c r="G322" s="1574"/>
      <c r="H322" s="1574"/>
      <c r="I322" s="1574"/>
      <c r="J322" s="1574"/>
      <c r="K322" s="1672">
        <f t="shared" si="24"/>
        <v>56002</v>
      </c>
      <c r="L322" s="1574">
        <v>56002</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3912</v>
      </c>
      <c r="F327" s="1574"/>
      <c r="G327" s="1574"/>
      <c r="H327" s="1574"/>
      <c r="I327" s="1574"/>
      <c r="J327" s="1574"/>
      <c r="K327" s="1672">
        <f t="shared" si="24"/>
        <v>3912</v>
      </c>
      <c r="L327" s="1574">
        <v>4000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59914</v>
      </c>
      <c r="F330" s="1674">
        <f t="shared" si="25"/>
        <v>0</v>
      </c>
      <c r="G330" s="1674">
        <f t="shared" si="25"/>
        <v>0</v>
      </c>
      <c r="H330" s="1674">
        <f t="shared" si="25"/>
        <v>0</v>
      </c>
      <c r="I330" s="1674">
        <f t="shared" si="25"/>
        <v>0</v>
      </c>
      <c r="J330" s="1674">
        <f t="shared" si="25"/>
        <v>0</v>
      </c>
      <c r="K330" s="1674">
        <f>SUM(K319:K329)</f>
        <v>59914</v>
      </c>
      <c r="L330" s="1674">
        <f>SUM(L319:L329)</f>
        <v>60002</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59914</v>
      </c>
      <c r="F342" s="1674">
        <f>SUM(F330)</f>
        <v>0</v>
      </c>
      <c r="G342" s="1674">
        <f>SUM(G330)</f>
        <v>0</v>
      </c>
      <c r="H342" s="1674">
        <f>SUM(H330,H334,H340)</f>
        <v>0</v>
      </c>
      <c r="I342" s="1674">
        <f>SUM(I330)</f>
        <v>0</v>
      </c>
      <c r="J342" s="1674">
        <f>SUM(J330)</f>
        <v>0</v>
      </c>
      <c r="K342" s="1674">
        <f>SUM(K330,K334,K340)</f>
        <v>59914</v>
      </c>
      <c r="L342" s="1681">
        <f>SUM(L330,L334,L340,L341)</f>
        <v>60002</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1947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v>92566</v>
      </c>
      <c r="H348" s="1573"/>
      <c r="I348" s="1574"/>
      <c r="J348" s="1574"/>
      <c r="K348" s="1672">
        <f>SUM(C348:J348)</f>
        <v>92566</v>
      </c>
      <c r="L348" s="1573">
        <v>92567</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92566</v>
      </c>
      <c r="H350" s="1674">
        <f t="shared" si="26"/>
        <v>0</v>
      </c>
      <c r="I350" s="1674">
        <f t="shared" si="26"/>
        <v>0</v>
      </c>
      <c r="J350" s="1674">
        <f t="shared" si="26"/>
        <v>0</v>
      </c>
      <c r="K350" s="1674">
        <f t="shared" si="26"/>
        <v>92566</v>
      </c>
      <c r="L350" s="1674">
        <f t="shared" si="26"/>
        <v>92567</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92566</v>
      </c>
      <c r="H352" s="1674">
        <f t="shared" si="27"/>
        <v>0</v>
      </c>
      <c r="I352" s="1674">
        <f t="shared" si="27"/>
        <v>0</v>
      </c>
      <c r="J352" s="1674">
        <f t="shared" si="27"/>
        <v>0</v>
      </c>
      <c r="K352" s="1674">
        <f t="shared" si="27"/>
        <v>92566</v>
      </c>
      <c r="L352" s="1674">
        <f t="shared" si="27"/>
        <v>92567</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92566</v>
      </c>
      <c r="H367" s="1674">
        <f t="shared" si="28"/>
        <v>0</v>
      </c>
      <c r="I367" s="1674">
        <f t="shared" si="28"/>
        <v>0</v>
      </c>
      <c r="J367" s="1674">
        <f t="shared" si="28"/>
        <v>0</v>
      </c>
      <c r="K367" s="1674">
        <f t="shared" si="28"/>
        <v>92566</v>
      </c>
      <c r="L367" s="1674">
        <f t="shared" si="28"/>
        <v>92567</v>
      </c>
    </row>
    <row r="368" spans="1:14" ht="13.5" thickTop="1" x14ac:dyDescent="0.2">
      <c r="A368" s="2261" t="s">
        <v>989</v>
      </c>
      <c r="B368" s="2262"/>
      <c r="C368" s="1694"/>
      <c r="D368" s="1694"/>
      <c r="E368" s="1677"/>
      <c r="F368" s="1677"/>
      <c r="G368" s="1677"/>
      <c r="H368" s="1677"/>
      <c r="I368" s="1677"/>
      <c r="J368" s="1676"/>
      <c r="K368" s="1672">
        <f>'Revenues 9-14'!K268-'Expenditures 15-22'!K367</f>
        <v>-67516</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www.w3.org/XML/1998/namespace"/>
    <ds:schemaRef ds:uri="http://purl.org/dc/terms/"/>
    <ds:schemaRef ds:uri="4d435f69-8686-490b-bd6d-b153bf22ab50"/>
    <ds:schemaRef ds:uri="6ce3111e-7420-4802-b50a-75d4e9a0b980"/>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2020-11-30T20:41:35Z</cp:lastPrinted>
  <dcterms:created xsi:type="dcterms:W3CDTF">2003-10-29T19:06:34Z</dcterms:created>
  <dcterms:modified xsi:type="dcterms:W3CDTF">2020-12-01T22:32:29Z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