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493F062-1617-44AB-8BF3-74FBB3936E53}" xr6:coauthVersionLast="36" xr6:coauthVersionMax="36" xr10:uidLastSave="{00000000-0000-0000-0000-000000000000}"/>
  <bookViews>
    <workbookView xWindow="2868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2)" sheetId="185"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5" l="1"/>
  <c r="B4" i="185"/>
  <c r="B2" i="185"/>
  <c r="B1"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0" i="108" l="1"/>
  <c r="B7696" i="106"/>
  <c r="D7696" i="106" s="1"/>
  <c r="E66" i="184"/>
  <c r="N66" i="184" s="1"/>
  <c r="B7171" i="106"/>
  <c r="D7171" i="106" s="1"/>
  <c r="E62" i="184"/>
  <c r="N62" i="184" s="1"/>
  <c r="F36" i="34"/>
  <c r="B7828" i="106" s="1"/>
  <c r="D7828" i="106" s="1"/>
  <c r="H365" i="29"/>
  <c r="B7242" i="106" s="1"/>
  <c r="D7242" i="106" s="1"/>
  <c r="H15" i="184"/>
  <c r="B7135" i="106"/>
  <c r="D7135" i="106" s="1"/>
  <c r="E58" i="184"/>
  <c r="N58" i="184" s="1"/>
  <c r="B7198" i="106"/>
  <c r="D7198" i="106" s="1"/>
  <c r="E65" i="184"/>
  <c r="N65" i="184" s="1"/>
  <c r="B7162" i="106"/>
  <c r="D7162" i="106" s="1"/>
  <c r="E61" i="184"/>
  <c r="N61" i="184" s="1"/>
  <c r="B7126" i="106"/>
  <c r="D7126" i="106" s="1"/>
  <c r="E57" i="184"/>
  <c r="F70" i="34"/>
  <c r="F37" i="34"/>
  <c r="B7829" i="106" s="1"/>
  <c r="D7829" i="106" s="1"/>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K342" i="29"/>
  <c r="F13" i="34" s="1"/>
  <c r="B1328" i="106"/>
  <c r="D1328" i="106" s="1"/>
  <c r="B5527" i="106"/>
  <c r="D5527" i="106" s="1"/>
  <c r="D44" i="36"/>
  <c r="L16" i="11"/>
  <c r="B2061" i="106" s="1"/>
  <c r="D2061" i="106" s="1"/>
  <c r="L114" i="29"/>
  <c r="E19" i="184"/>
  <c r="B7220" i="106"/>
  <c r="D7220" i="106" s="1"/>
  <c r="F75" i="34"/>
  <c r="B7886" i="106" s="1"/>
  <c r="D7886" i="106" s="1"/>
  <c r="E367" i="29"/>
  <c r="B3635" i="106"/>
  <c r="H19" i="184"/>
  <c r="L20" i="184"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<sst xmlns="http://schemas.openxmlformats.org/spreadsheetml/2006/main" count="5216" uniqueCount="2116">
  <si>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</si>
  <si>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</si>
  <si>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</si>
  <si>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</si>
  <si>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</si>
  <si>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</si>
  <si>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</si>
  <si>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</si>
  <si>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</si>
  <si>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</si>
  <si>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</si>
  <si>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</si>
  <si>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</si>
  <si>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</si>
  <si>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</si>
  <si>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</si>
  <si>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</si>
  <si>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</si>
  <si>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</si>
  <si>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</si>
  <si>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</si>
  <si>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</si>
  <si>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</si>
  <si>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</si>
  <si>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</si>
  <si>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</si>
  <si>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</si>
  <si>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</si>
  <si>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</si>
  <si>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</si>
  <si>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</si>
  <si>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</si>
  <si>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</si>
  <si>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</si>
  <si>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</si>
  <si>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</si>
  <si>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</si>
  <si>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</si>
  <si>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</si>
  <si>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</si>
  <si>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</si>
  <si>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</si>
  <si>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</si>
  <si>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</si>
  <si>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</si>
  <si>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</si>
  <si>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</si>
  <si>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</si>
  <si>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</si>
  <si>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</si>
  <si>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</si>
  <si>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</si>
  <si>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</si>
  <si>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</si>
  <si>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</si>
  <si>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</si>
  <si>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</si>
  <si>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</si>
  <si>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</si>
  <si>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</si>
  <si>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</si>
  <si>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</si>
  <si>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</si>
  <si>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</si>
  <si>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</si>
  <si>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</si>
  <si>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</si>
  <si>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</si>
  <si>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</si>
  <si>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</si>
  <si>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</si>
  <si>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</si>
  <si>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</si>
  <si>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</si>
  <si>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</si>
  <si>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</si>
  <si>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</si>
  <si>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</si>
  <si>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</si>
  <si>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</si>
  <si>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</si>
  <si>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</si>
  <si>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</si>
  <si>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</si>
  <si>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</si>
  <si>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</si>
  <si>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</si>
  <si>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</si>
  <si>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</si>
  <si>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</si>
  <si>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</si>
  <si>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</si>
  <si>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</si>
  <si>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</si>
  <si>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</si>
  <si>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</si>
  <si>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</si>
  <si>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</si>
  <si>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</si>
  <si>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</si>
  <si>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</si>
  <si>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</si>
  <si>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</si>
  <si>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</si>
  <si>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</si>
  <si>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</si>
  <si>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</si>
  <si>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</si>
  <si>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</si>
  <si>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</si>
  <si>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</si>
  <si>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</si>
  <si>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</si>
  <si>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</si>
  <si>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</si>
  <si>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</si>
  <si>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</si>
  <si>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</si>
  <si>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</si>
  <si>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</si>
  <si>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</si>
  <si>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</si>
  <si>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</si>
  <si>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</si>
  <si>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</si>
  <si>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</si>
  <si>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</si>
  <si>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</si>
  <si>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</si>
  <si>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</si>
  <si>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</si>
  <si>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</si>
  <si>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</si>
  <si>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</si>
  <si>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</si>
  <si>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</si>
  <si>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</si>
  <si>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</si>
  <si>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</si>
  <si>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</si>
  <si>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</si>
  <si>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</si>
  <si>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</si>
  <si>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</si>
  <si>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</si>
  <si>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</si>
  <si>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</si>
  <si>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</si>
  <si>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</si>
  <si>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</si>
  <si>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</si>
  <si>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</si>
  <si>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</si>
  <si>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</si>
  <si>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</si>
  <si>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</si>
  <si>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</si>
  <si>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</si>
  <si>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</si>
  <si>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</si>
  <si>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</si>
  <si>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</si>
  <si>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</si>
  <si>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</si>
  <si>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</si>
  <si>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</si>
  <si>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</si>
  <si>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</si>
  <si>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</si>
  <si>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</si>
  <si>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</si>
  <si>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</si>
  <si>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</si>
  <si>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</si>
  <si>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</si>
  <si>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</si>
  <si>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</si>
  <si>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</si>
  <si>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</si>
  <si>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</si>
  <si>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</si>
  <si>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</si>
  <si>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</si>
  <si>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</si>
  <si>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</si>
  <si>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</si>
  <si>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</si>
  <si>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</si>
  <si>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</si>
  <si>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</si>
  <si>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</si>
  <si>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</si>
  <si>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</si>
  <si>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</si>
  <si>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</si>
  <si>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</si>
  <si>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</si>
  <si>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</si>
  <si>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</si>
  <si>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</si>
  <si>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</si>
  <si>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</si>
  <si>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</si>
  <si>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</si>
  <si>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</si>
  <si>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</si>
  <si>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</si>
  <si>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</si>
  <si>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</si>
  <si>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</si>
  <si>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</si>
  <si>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</si>
  <si>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</si>
  <si>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</si>
  <si>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</si>
  <si>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</si>
  <si>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</si>
  <si>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</si>
  <si>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</si>
  <si>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</si>
  <si>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</si>
  <si>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</si>
  <si>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</si>
  <si>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</si>
  <si>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</si>
  <si>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</si>
  <si>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</si>
  <si>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</si>
  <si>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</si>
  <si>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</si>
  <si>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</si>
  <si>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</si>
  <si>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</si>
  <si>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</si>
  <si>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</si>
  <si>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</si>
  <si>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</si>
  <si>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</si>
  <si>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</si>
  <si>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</si>
  <si>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</si>
  <si>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</si>
  <si>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</si>
  <si>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</si>
  <si>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</si>
  <si>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</si>
  <si>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</si>
  <si>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</si>
  <si>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</si>
  <si>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</si>
  <si>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</si>
  <si>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</si>
  <si>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</si>
  <si>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</si>
  <si>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</si>
  <si>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</si>
  <si>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</si>
  <si>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</si>
  <si>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</si>
  <si>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</si>
  <si>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</si>
  <si>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</si>
  <si>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</si>
  <si>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</si>
  <si>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</si>
  <si>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</si>
  <si>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</si>
  <si>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</si>
  <si>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</si>
  <si>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</si>
  <si>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</si>
  <si>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</si>
  <si>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</si>
  <si>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</si>
  <si>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</si>
  <si>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</si>
  <si>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</si>
  <si>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</si>
  <si>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</si>
  <si>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</si>
  <si>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</si>
  <si>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</si>
  <si>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</si>
  <si>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</si>
  <si>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</si>
  <si>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</si>
  <si>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</si>
  <si>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</si>
  <si>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</si>
  <si>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</si>
  <si>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</si>
  <si>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</si>
  <si>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</si>
  <si>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</si>
  <si>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</si>
  <si>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</si>
  <si>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</si>
  <si>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</si>
  <si>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</si>
  <si>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</si>
  <si>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</si>
  <si>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</si>
  <si>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</si>
  <si>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</si>
  <si>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</si>
  <si>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</si>
  <si>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</si>
  <si>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</si>
  <si>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</si>
  <si>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</si>
  <si>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</si>
  <si>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</si>
  <si>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</si>
  <si>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</si>
  <si>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</si>
  <si>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</si>
  <si>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</si>
  <si>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</si>
  <si>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</si>
  <si>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</si>
  <si>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</si>
  <si>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</si>
  <si>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</si>
  <si>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</si>
  <si>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</si>
  <si>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</si>
  <si>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</si>
  <si>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</si>
  <si>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</si>
  <si>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</si>
  <si>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</si>
  <si>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</si>
  <si>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</si>
  <si>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</si>
  <si>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</si>
  <si>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</si>
  <si>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</si>
  <si>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</si>
  <si>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</si>
  <si>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</si>
  <si>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</si>
  <si>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</si>
  <si>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</si>
  <si>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</si>
  <si>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</si>
  <si>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</si>
  <si>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</si>
  <si>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</si>
  <si>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</si>
  <si>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</si>
  <si>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</si>
  <si>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</si>
  <si>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</si>
  <si>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</si>
  <si>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</si>
  <si>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</si>
  <si>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</si>
  <si>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</si>
  <si>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</si>
  <si>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</si>
  <si>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</si>
  <si>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</si>
  <si>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</si>
  <si>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</si>
  <si>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</si>
  <si>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</si>
  <si>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</si>
  <si>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</si>
  <si>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</si>
  <si>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</si>
  <si>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</si>
  <si>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</si>
  <si>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</si>
  <si>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</si>
  <si>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</si>
  <si>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</si>
  <si>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</si>
  <si>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</si>
  <si>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</si>
  <si>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</si>
  <si>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</si>
  <si>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</si>
  <si>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</si>
  <si>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</si>
  <si>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</si>
  <si>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</si>
  <si>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</si>
  <si>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</si>
  <si>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</si>
  <si>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</si>
  <si>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</si>
  <si>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</si>
  <si>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</si>
  <si>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</si>
  <si>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</si>
  <si>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</si>
  <si>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</si>
  <si>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</si>
  <si>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</si>
  <si>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</si>
  <si>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</si>
  <si>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</si>
  <si>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</si>
  <si>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</si>
  <si>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</si>
  <si>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</si>
  <si>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</si>
  <si>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</si>
  <si>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</si>
  <si>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</si>
  <si>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</si>
  <si>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</si>
  <si>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</si>
  <si>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</si>
  <si>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</si>
  <si>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</si>
  <si>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</si>
  <si>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</si>
  <si>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</si>
  <si>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</si>
  <si>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</si>
  <si>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</si>
  <si>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</si>
  <si>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</si>
  <si>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</si>
  <si>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</si>
  <si>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</si>
  <si>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</si>
  <si>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</si>
  <si>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</si>
  <si>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</si>
  <si>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</si>
  <si>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</si>
  <si>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</si>
  <si>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</si>
  <si>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</si>
  <si>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</si>
  <si>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</si>
  <si>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</si>
  <si>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</si>
  <si>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</si>
  <si>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</si>
  <si>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</si>
  <si>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</si>
  <si>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</si>
  <si>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</si>
  <si>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</si>
  <si>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</si>
  <si>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</si>
  <si>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</si>
  <si>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</si>
  <si>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</si>
  <si>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</si>
  <si>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</si>
  <si>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</si>
  <si>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</si>
  <si>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</si>
  <si>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</si>
  <si>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</si>
  <si>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</si>
  <si>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</si>
  <si>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</si>
  <si>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</si>
  <si>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</si>
  <si>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</si>
  <si>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</si>
  <si>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</si>
  <si>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</si>
  <si>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</si>
  <si>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</si>
  <si>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</si>
  <si>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</si>
  <si>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</si>
  <si>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</si>
  <si>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</si>
  <si>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</si>
  <si>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</si>
  <si>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</si>
  <si>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</si>
  <si>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</si>
  <si>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</si>
  <si>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</si>
  <si>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</si>
  <si>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</si>
  <si>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</si>
  <si>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</si>
  <si>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</si>
  <si>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</si>
  <si>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</si>
  <si>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</si>
  <si>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</si>
  <si>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</si>
  <si>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</si>
  <si>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</si>
  <si>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</si>
  <si>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</si>
  <si>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</si>
  <si>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</si>
  <si>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</si>
  <si>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</si>
  <si>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</si>
  <si>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</si>
  <si>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</si>
  <si>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</si>
  <si>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</si>
  <si>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</si>
  <si>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</si>
  <si>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</si>
  <si>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</si>
  <si>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</si>
  <si>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</si>
  <si>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</si>
  <si>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</si>
  <si>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</si>
  <si>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</si>
  <si>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</si>
  <si>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</si>
  <si>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</si>
  <si>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</si>
  <si>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</si>
  <si>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</si>
  <si>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</si>
  <si>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</si>
  <si>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</si>
  <si>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</si>
  <si>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</si>
  <si>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</si>
  <si>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</si>
  <si>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</si>
  <si>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</si>
  <si>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</si>
  <si>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</si>
  <si>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</si>
  <si>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</si>
  <si>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</si>
  <si>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</si>
  <si>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</si>
  <si>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</si>
  <si>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</si>
  <si>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</si>
  <si>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</si>
  <si>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</si>
  <si>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</si>
  <si>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</si>
  <si>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</si>
  <si>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</si>
  <si>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</si>
  <si>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</si>
  <si>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</si>
  <si>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</si>
  <si>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</si>
  <si>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</si>
  <si>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</si>
  <si>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</si>
  <si>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</si>
  <si>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</si>
  <si>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</si>
  <si>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</si>
  <si>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</si>
  <si>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</si>
  <si>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</si>
  <si>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</si>
  <si>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</si>
  <si>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</si>
  <si>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</si>
  <si>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</si>
  <si>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</si>
  <si>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</si>
  <si>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</si>
  <si>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</si>
  <si>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</si>
  <si>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</si>
  <si>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</si>
  <si>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</si>
  <si>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</si>
  <si>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</si>
  <si>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</si>
  <si>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</si>
  <si>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</si>
  <si>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</si>
  <si>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</si>
  <si>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</si>
  <si>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</si>
  <si>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</si>
  <si>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</si>
  <si>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</si>
  <si>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</si>
  <si>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</si>
  <si>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</si>
  <si>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</si>
  <si>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</si>
  <si>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</si>
  <si>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</si>
  <si>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</si>
  <si>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</si>
  <si>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</si>
  <si>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</si>
  <si>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</si>
  <si>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</si>
  <si>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</si>
  <si>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</si>
  <si>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</si>
  <si>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</si>
  <si>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</si>
  <si>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</si>
  <si>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</si>
  <si>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</si>
  <si>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</si>
  <si>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</si>
  <si>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</si>
  <si>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</si>
  <si>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</si>
  <si>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</si>
  <si>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</si>
  <si>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</si>
  <si>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</si>
  <si>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</si>
  <si>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</si>
  <si>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</si>
  <si>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</si>
  <si>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</si>
  <si>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</si>
  <si>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</si>
  <si>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</si>
  <si>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</si>
  <si>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</si>
  <si>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</si>
  <si>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</si>
  <si>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</si>
  <si>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</si>
  <si>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</si>
  <si>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</si>
  <si>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</si>
  <si>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</si>
  <si>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</si>
  <si>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</si>
  <si>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</si>
  <si>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</si>
  <si>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</si>
  <si>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</si>
  <si>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</si>
  <si>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</si>
  <si>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</si>
  <si>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</si>
  <si>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</si>
  <si>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</si>
  <si>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</si>
  <si>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</si>
  <si>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</si>
  <si>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</si>
  <si>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</si>
  <si>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</si>
  <si>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</si>
  <si>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</si>
  <si>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</si>
  <si>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</si>
  <si>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</si>
  <si>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</si>
  <si>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</si>
  <si>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</si>
  <si>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</si>
  <si>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</si>
  <si>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</si>
  <si>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</si>
  <si>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</si>
  <si>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</si>
  <si>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</si>
  <si>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</si>
  <si>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</si>
  <si>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</si>
  <si>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</si>
  <si>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</si>
  <si>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</si>
  <si>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</si>
  <si>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</si>
  <si>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</si>
  <si>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</si>
  <si>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</si>
  <si>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</si>
  <si>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</si>
  <si>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</si>
  <si>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</si>
  <si>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</si>
  <si>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</si>
  <si>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</si>
  <si>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</si>
  <si>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</si>
  <si>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</si>
  <si>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</si>
  <si>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</si>
  <si>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</si>
  <si>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</si>
  <si>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</si>
  <si>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</si>
  <si>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</si>
  <si>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</si>
  <si>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</si>
  <si>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</si>
  <si>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</si>
  <si>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</si>
  <si>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</si>
  <si>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</si>
  <si>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</si>
  <si>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</si>
  <si>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</si>
  <si>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</si>
  <si>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</si>
  <si>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</si>
  <si>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</si>
  <si>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</si>
  <si>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</si>
  <si>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</si>
  <si>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</si>
  <si>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</si>
  <si>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</si>
  <si>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</si>
  <si>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</si>
  <si>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</si>
  <si>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</si>
  <si>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</si>
  <si>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</si>
  <si>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</si>
  <si>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</si>
  <si>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</si>
  <si>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</si>
  <si>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</si>
  <si>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</si>
  <si>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</si>
  <si>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</si>
  <si>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</si>
  <si>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</si>
  <si>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</si>
  <si>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</si>
  <si>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</si>
  <si>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</si>
  <si>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</si>
  <si>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</si>
  <si>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</si>
  <si>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</si>
  <si>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</si>
  <si>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</si>
  <si>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</si>
  <si>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</si>
  <si>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</si>
  <si>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</si>
  <si>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</si>
  <si>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</si>
  <si>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</si>
  <si>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</si>
  <si>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</si>
  <si>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</si>
  <si>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</si>
  <si>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</si>
  <si>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</si>
  <si>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</si>
  <si>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</si>
  <si>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</si>
  <si>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</si>
  <si>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</si>
  <si>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</si>
  <si>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</si>
  <si>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</si>
  <si>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</si>
  <si>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</si>
  <si>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</si>
  <si>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</si>
  <si>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</si>
  <si>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</si>
  <si>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</si>
  <si>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</si>
  <si>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</si>
  <si>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</si>
  <si>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</si>
  <si>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</si>
  <si>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</si>
  <si>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</si>
  <si>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</si>
  <si>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</si>
  <si>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</si>
  <si>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</si>
  <si>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</si>
  <si>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</si>
  <si>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</si>
  <si>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</si>
  <si>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</si>
  <si>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</si>
  <si>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</si>
  <si>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</si>
  <si>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</si>
  <si>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</si>
  <si>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</si>
  <si>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</si>
  <si>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</si>
  <si>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</si>
  <si>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</si>
  <si>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</si>
  <si>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</si>
  <si>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</si>
  <si>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</si>
  <si>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</si>
  <si>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</si>
  <si>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</si>
  <si>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</si>
  <si>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</si>
  <si>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</si>
  <si>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</si>
  <si>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</si>
  <si>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</si>
  <si>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</si>
  <si>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</si>
  <si>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</si>
  <si>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</si>
  <si>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</si>
  <si>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</si>
  <si>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</si>
  <si>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</si>
  <si>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</si>
  <si>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</si>
  <si>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</si>
  <si>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</si>
  <si>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</si>
  <si>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</si>
  <si>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</si>
  <si>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</si>
  <si>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</si>
  <si>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</si>
  <si>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</si>
  <si>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</si>
  <si>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</si>
  <si>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</si>
  <si>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</si>
  <si>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</si>
  <si>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</si>
  <si>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</si>
  <si>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</si>
  <si>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</si>
  <si>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</si>
  <si>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</si>
  <si>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</si>
  <si>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</si>
  <si>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</si>
  <si>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</si>
  <si>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</si>
  <si>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</si>
  <si>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</si>
  <si>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</si>
  <si>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</si>
  <si>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</si>
  <si>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</si>
  <si>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</si>
  <si>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</si>
  <si>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</si>
  <si>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</si>
  <si>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</si>
  <si>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</si>
  <si>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</si>
  <si>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</si>
  <si>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</si>
  <si>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</si>
  <si>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</si>
  <si>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</si>
  <si>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</si>
  <si>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</si>
  <si>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</si>
  <si>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</si>
  <si>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</si>
  <si>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</si>
  <si>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</si>
  <si>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</si>
  <si>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</si>
  <si>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</si>
  <si>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</si>
  <si>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</si>
  <si>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</si>
  <si>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</si>
  <si>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</si>
  <si>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</si>
  <si>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</si>
  <si>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</si>
  <si>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</si>
  <si>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</si>
  <si>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</si>
  <si>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</si>
  <si>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</si>
  <si>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</si>
  <si>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</si>
  <si>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</si>
  <si>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</si>
  <si>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</si>
  <si>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</si>
  <si>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</si>
  <si>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</si>
  <si>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</si>
  <si>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</si>
  <si>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</si>
  <si>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</si>
  <si>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</si>
  <si>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</si>
  <si>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</si>
  <si>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</si>
  <si>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</si>
  <si>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</si>
  <si>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</si>
  <si>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</si>
  <si>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</si>
  <si>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</si>
  <si>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</si>
  <si>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</si>
  <si>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</si>
  <si>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</si>
  <si>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</si>
  <si>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</si>
  <si>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</si>
  <si>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</si>
  <si>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</si>
  <si>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</si>
  <si>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</si>
  <si>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</si>
  <si>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</si>
  <si>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</si>
  <si>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</si>
  <si>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</si>
  <si>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</si>
  <si>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</si>
  <si>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</si>
  <si>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</si>
  <si>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</si>
  <si>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</si>
  <si>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</si>
  <si>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</si>
  <si>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</si>
  <si>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</si>
  <si>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</si>
  <si>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</si>
  <si>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</si>
  <si>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</si>
  <si>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</si>
  <si>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</si>
  <si>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</si>
  <si>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</si>
  <si>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</si>
  <si>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</si>
  <si>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</si>
  <si>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</si>
  <si>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</si>
  <si>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</si>
  <si>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</si>
  <si>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</si>
  <si>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</si>
  <si>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</si>
  <si>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</si>
  <si>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</si>
  <si>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</si>
  <si>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</si>
  <si>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</si>
  <si>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</si>
  <si>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</si>
  <si>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</si>
  <si>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</si>
  <si>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</si>
  <si>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</si>
  <si>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</si>
  <si>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</si>
  <si>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</si>
  <si>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</si>
  <si>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</si>
  <si>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</si>
  <si>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</si>
  <si>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</si>
  <si>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</si>
  <si>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</si>
  <si>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</si>
  <si>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</si>
  <si>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</si>
  <si>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</si>
  <si>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</si>
  <si>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</si>
  <si>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</si>
  <si>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</si>
  <si>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</si>
  <si>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</si>
  <si>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</si>
  <si>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</si>
  <si>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</si>
  <si>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</si>
  <si>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</si>
  <si>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</si>
  <si>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</si>
  <si>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</si>
  <si>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</si>
  <si>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</si>
  <si>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</si>
  <si>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</si>
  <si>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</si>
  <si>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</si>
  <si>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</si>
  <si>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</si>
  <si>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</si>
  <si>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</si>
  <si>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</si>
  <si>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</si>
  <si>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</si>
  <si>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</si>
  <si>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</si>
  <si>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</si>
  <si>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</si>
  <si>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</si>
  <si>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</si>
  <si>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</si>
  <si>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</si>
  <si>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</si>
  <si>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</si>
  <si>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</si>
  <si>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</si>
  <si>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</si>
  <si>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</si>
  <si>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</si>
  <si>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</si>
  <si>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</si>
  <si>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</si>
  <si>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</si>
  <si>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</si>
  <si>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</si>
  <si>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</si>
  <si>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</si>
  <si>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</si>
  <si>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</si>
  <si>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</si>
  <si>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</si>
  <si>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</si>
  <si>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</si>
  <si>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</si>
  <si>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</si>
  <si>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</si>
  <si>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</si>
  <si>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</si>
  <si>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</si>
  <si>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</si>
  <si>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</si>
  <si>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</si>
  <si>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</si>
  <si>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</si>
  <si>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</si>
  <si>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</si>
  <si>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</si>
  <si>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</si>
  <si>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</si>
  <si>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</si>
  <si>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</si>
  <si>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</si>
  <si>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</si>
  <si>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</si>
  <si>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</si>
  <si>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</si>
  <si>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</si>
  <si>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</si>
  <si>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</si>
  <si>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</si>
  <si>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</si>
  <si>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</si>
  <si>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</si>
  <si>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</si>
  <si>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</si>
  <si>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</si>
  <si>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</si>
  <si>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</si>
  <si>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</si>
  <si>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</si>
  <si>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</si>
  <si>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</si>
  <si>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</si>
  <si>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</si>
  <si>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</si>
  <si>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</si>
  <si>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</si>
  <si>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</si>
  <si>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</si>
  <si>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</si>
  <si>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</si>
  <si>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</si>
  <si>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</si>
  <si>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</si>
  <si>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</si>
  <si>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</si>
  <si>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</si>
  <si>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</si>
  <si>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</si>
  <si>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</si>
  <si>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</si>
  <si>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</si>
  <si>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</si>
  <si>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</si>
  <si>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</si>
  <si>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</si>
  <si>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</si>
  <si>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</si>
  <si>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</si>
  <si>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</si>
  <si>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</si>
  <si>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</si>
  <si>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</si>
  <si>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</si>
  <si>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</si>
  <si>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</si>
  <si>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</si>
  <si>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</si>
  <si>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</si>
  <si>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</si>
  <si>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</si>
  <si>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</si>
  <si>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</si>
  <si>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</si>
  <si>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</si>
  <si>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</si>
  <si>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</si>
  <si>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</si>
  <si>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</si>
  <si>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</si>
  <si>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</si>
  <si>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</si>
  <si>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</si>
  <si>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</si>
  <si>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</si>
  <si>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</si>
  <si>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</si>
  <si>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</si>
  <si>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</si>
  <si>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</si>
  <si>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</si>
  <si>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</si>
  <si>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</si>
  <si>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</si>
  <si>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</si>
  <si>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</si>
  <si>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</si>
  <si>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</si>
  <si>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</si>
  <si>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</si>
  <si>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</si>
  <si>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</si>
  <si>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</si>
  <si>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</si>
  <si>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</si>
  <si>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</si>
  <si>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</si>
  <si>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</si>
  <si>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</si>
  <si>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</si>
  <si>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</si>
  <si>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</si>
  <si>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</si>
  <si>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</si>
  <si>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</si>
  <si>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</si>
  <si>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</si>
  <si>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</si>
  <si>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</si>
  <si>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</si>
  <si>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</si>
  <si>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</si>
  <si>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</si>
  <si>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</si>
  <si>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</si>
  <si>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</si>
  <si>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</si>
  <si>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</si>
  <si>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</si>
  <si>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</si>
  <si>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</si>
  <si>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</si>
  <si>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</si>
  <si>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</si>
  <si>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</si>
  <si>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</si>
  <si>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</si>
  <si>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</si>
  <si>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</si>
  <si>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</si>
  <si>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</si>
  <si>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</si>
  <si>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</si>
  <si>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</si>
  <si>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</si>
  <si>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</si>
  <si>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</si>
  <si>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</si>
  <si>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</si>
  <si>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</si>
  <si>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</si>
  <si>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</si>
  <si>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</si>
  <si>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</si>
  <si>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</si>
  <si>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</si>
  <si>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</si>
  <si>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</si>
  <si>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</si>
  <si>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</si>
  <si>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</si>
  <si>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</si>
  <si>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</si>
  <si>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</si>
  <si>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</si>
  <si>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</si>
  <si>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</si>
  <si>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</si>
  <si>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</si>
  <si>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</si>
  <si>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</si>
  <si>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</si>
  <si>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</si>
  <si>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</si>
  <si>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</si>
  <si>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</si>
  <si>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</si>
  <si>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</si>
  <si>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</si>
  <si>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</si>
  <si>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</si>
  <si>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</si>
  <si>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</si>
  <si>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</si>
  <si>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</si>
  <si>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</si>
  <si>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</si>
  <si>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</si>
  <si>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</si>
  <si>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</si>
  <si>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</si>
  <si>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</si>
  <si>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</si>
  <si>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</si>
  <si>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</si>
  <si>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</si>
  <si>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</si>
  <si>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</si>
  <si>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</si>
  <si>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</si>
  <si>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</si>
  <si>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</si>
  <si>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</si>
  <si>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</si>
  <si>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</si>
  <si>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</si>
  <si>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</si>
  <si>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</si>
  <si>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</si>
  <si>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</si>
  <si>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</si>
  <si>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</si>
  <si>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</si>
  <si>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</si>
  <si>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</si>
  <si>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</si>
  <si>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</si>
  <si>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</si>
  <si>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</si>
  <si>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</si>
  <si>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</si>
  <si>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</si>
  <si>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</si>
  <si>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</si>
  <si>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</si>
  <si>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</si>
  <si>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</si>
  <si>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</si>
  <si>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</si>
  <si>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</si>
  <si>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</si>
  <si>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</si>
  <si>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</si>
  <si>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</si>
  <si>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</si>
  <si>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</si>
  <si>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</si>
  <si>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</si>
  <si>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</si>
  <si>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</si>
  <si>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</si>
  <si>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</si>
  <si>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</si>
  <si>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</si>
  <si>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</si>
  <si>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</si>
  <si>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</si>
  <si>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</si>
  <si>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</si>
  <si>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</si>
  <si>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</si>
  <si>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</si>
  <si>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</si>
  <si>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</si>
  <si>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</si>
  <si>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</si>
  <si>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</si>
  <si>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</si>
  <si>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</si>
  <si>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</si>
  <si>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</si>
  <si>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</si>
  <si>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</si>
  <si>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</si>
  <si>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</si>
  <si>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</si>
  <si>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</si>
  <si>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</si>
  <si>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</si>
  <si>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</si>
  <si>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</si>
  <si>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</si>
  <si>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</si>
  <si>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</si>
  <si>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</si>
  <si>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</si>
  <si>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</si>
  <si>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</si>
  <si>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</si>
  <si>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</si>
  <si>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</si>
  <si>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</si>
  <si>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</si>
  <si>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</si>
  <si>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</si>
  <si>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</si>
  <si>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</si>
  <si>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</si>
  <si>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</si>
  <si>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</si>
  <si>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</si>
  <si>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</si>
  <si>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</si>
  <si>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</si>
  <si>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</si>
  <si>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</si>
  <si>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</si>
  <si>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</si>
  <si>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</si>
  <si>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</si>
  <si>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</si>
  <si>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</si>
  <si>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</si>
  <si>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</si>
  <si>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</si>
  <si>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</si>
  <si>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</si>
  <si>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</si>
  <si>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</si>
  <si>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</si>
  <si>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</si>
  <si>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</si>
  <si>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</si>
  <si>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</si>
  <si>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</si>
  <si>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</si>
  <si>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</si>
  <si>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</si>
  <si>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</si>
  <si>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</si>
  <si>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</si>
  <si>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</si>
  <si>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</si>
  <si>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</si>
  <si>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</si>
  <si>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</si>
  <si>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</si>
  <si>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</si>
  <si>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</si>
  <si>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</si>
  <si>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</si>
  <si>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</si>
  <si>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</si>
  <si>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</si>
  <si>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</si>
  <si>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</si>
  <si>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</si>
  <si>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</si>
  <si>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</si>
  <si>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</si>
  <si>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</si>
  <si>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</si>
  <si>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</si>
  <si>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</si>
  <si>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</si>
  <si>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</si>
  <si>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</si>
  <si>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</si>
  <si>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</si>
  <si>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</si>
  <si>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</si>
  <si>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</si>
  <si>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</si>
  <si>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</si>
  <si>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</si>
  <si>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</si>
  <si>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</si>
  <si>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</si>
  <si>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</si>
  <si>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</si>
  <si>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</si>
  <si>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</si>
  <si>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</si>
  <si>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</si>
  <si>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</si>
  <si>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</si>
  <si>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</si>
  <si>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</si>
  <si>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</si>
  <si>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</si>
  <si>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</si>
  <si>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</si>
  <si>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</si>
  <si>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</si>
  <si>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</si>
  <si>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</si>
  <si>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</si>
  <si>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</si>
  <si>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</si>
  <si>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</si>
  <si>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</si>
  <si>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</si>
  <si>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</si>
  <si>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</si>
  <si>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</si>
  <si>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</si>
  <si>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</si>
  <si>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</si>
  <si>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</si>
  <si>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</si>
  <si>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</si>
  <si>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</si>
  <si>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</si>
  <si>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</si>
  <si>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</si>
  <si>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</si>
  <si>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</si>
  <si>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</si>
  <si>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</si>
  <si>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</si>
  <si>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</si>
  <si>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</si>
  <si>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</si>
  <si>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</si>
  <si>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</si>
  <si>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</si>
  <si>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</si>
  <si>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</si>
  <si>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</si>
  <si>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</si>
  <si>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</si>
  <si>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</si>
  <si>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</si>
  <si>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</si>
  <si>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</si>
  <si>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</si>
  <si>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</si>
  <si>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</si>
  <si>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</si>
  <si>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</si>
  <si>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</si>
  <si>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</si>
  <si>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</si>
  <si>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</si>
  <si>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</si>
  <si>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</si>
  <si>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</si>
  <si>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</si>
  <si>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</si>
  <si>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</si>
  <si>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</si>
  <si>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</si>
  <si>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</si>
  <si>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</si>
  <si>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</si>
  <si>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</si>
  <si>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</si>
  <si>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</si>
  <si>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</si>
  <si>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</si>
  <si>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</si>
  <si>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</si>
  <si>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</si>
  <si>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</si>
  <si>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</si>
  <si>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</si>
  <si>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</si>
  <si>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</si>
  <si>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</si>
  <si>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</si>
  <si>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</si>
  <si>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</si>
  <si>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</si>
  <si>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</si>
  <si>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</si>
  <si>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</si>
  <si>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</si>
  <si>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</si>
  <si>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</si>
  <si>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</si>
  <si>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</si>
  <si>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</si>
  <si>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</si>
  <si>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</si>
  <si>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</si>
  <si>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</si>
  <si>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</si>
  <si>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</si>
  <si>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</si>
  <si>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</si>
  <si>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</si>
  <si>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</si>
  <si>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</si>
  <si>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</si>
  <si>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</si>
  <si>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</si>
  <si>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</si>
  <si>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</si>
  <si>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</si>
  <si>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</si>
  <si>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</si>
  <si>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</si>
  <si>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</si>
  <si>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</si>
  <si>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</si>
  <si>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</si>
  <si>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</si>
  <si>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</si>
  <si>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</si>
  <si>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</si>
  <si>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</si>
  <si>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</si>
  <si>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</si>
  <si>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</si>
  <si>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</si>
  <si>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</si>
  <si>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</si>
  <si>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</si>
  <si>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</si>
  <si>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</si>
  <si>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</si>
  <si>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</si>
  <si>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</si>
  <si>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</si>
  <si>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</si>
  <si>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</si>
  <si>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</si>
  <si>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</si>
  <si>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</si>
  <si>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</si>
  <si>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</si>
  <si>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</si>
  <si>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</si>
  <si>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</si>
  <si>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</si>
  <si>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</si>
  <si>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</si>
  <si>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</si>
  <si>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</si>
  <si>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</si>
  <si>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</si>
  <si>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</si>
  <si>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</si>
  <si>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</si>
  <si>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</si>
  <si>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</si>
  <si>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</si>
  <si>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</si>
  <si>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</si>
  <si>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</si>
  <si>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</si>
  <si>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</si>
  <si>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</si>
  <si>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</si>
  <si>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</si>
  <si>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</si>
  <si>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</si>
  <si>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</si>
  <si>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</si>
  <si>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</si>
  <si>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</si>
  <si>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</si>
  <si>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</si>
  <si>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</si>
  <si>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</si>
  <si>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</si>
  <si>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</si>
  <si>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</si>
  <si>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</si>
  <si>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</si>
  <si>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</si>
  <si>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</si>
  <si>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</si>
  <si>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</si>
  <si>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</si>
  <si>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</si>
  <si>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</si>
  <si>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</si>
  <si>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</si>
  <si>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</si>
  <si>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</si>
  <si>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</si>
  <si>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</si>
  <si>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</si>
  <si>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</si>
  <si>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</si>
  <si>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</si>
  <si>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</si>
  <si>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</si>
  <si>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</si>
  <si>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</si>
  <si>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</si>
  <si>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</si>
  <si>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</si>
  <si>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</si>
  <si>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</si>
  <si>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</si>
  <si>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</si>
  <si>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</si>
  <si>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</si>
  <si>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</si>
  <si>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</si>
  <si>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</si>
  <si>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</si>
  <si>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</si>
  <si>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</si>
  <si>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</si>
  <si>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</si>
  <si>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</si>
  <si>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</si>
  <si>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</si>
  <si>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</si>
  <si>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</si>
  <si>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</si>
  <si>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</si>
  <si>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</si>
  <si>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</si>
  <si>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</si>
  <si>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</si>
  <si>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</si>
  <si>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</si>
  <si>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</si>
  <si>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</si>
  <si>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</si>
  <si>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</si>
  <si>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</si>
  <si>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</si>
  <si>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</si>
  <si>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</si>
  <si>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</si>
  <si>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</si>
  <si>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</si>
  <si>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</si>
  <si>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</si>
  <si>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</si>
  <si>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</si>
  <si>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</si>
  <si>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</si>
  <si>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</si>
  <si>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</si>
  <si>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</si>
  <si>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</si>
  <si>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</si>
  <si>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</si>
  <si>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</si>
  <si>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</si>
  <si>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</si>
  <si>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</si>
  <si>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</si>
  <si>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</si>
  <si>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</si>
  <si>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</si>
  <si>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</si>
  <si>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</si>
  <si>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</si>
  <si>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</si>
  <si>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</si>
  <si>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</si>
  <si>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</si>
  <si>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</si>
  <si>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</si>
  <si>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</si>
  <si>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</si>
  <si>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</si>
  <si>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</si>
  <si>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</si>
  <si>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</si>
  <si>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</si>
  <si>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</si>
  <si>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</si>
  <si>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</si>
  <si>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</si>
  <si>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</si>
  <si>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</si>
  <si>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</si>
  <si>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</si>
  <si>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</si>
  <si>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</si>
  <si>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</si>
  <si>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</si>
  <si>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</si>
  <si>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</si>
  <si>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</si>
  <si>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</si>
  <si>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</si>
  <si>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</si>
  <si>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</si>
  <si>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</si>
  <si>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</si>
  <si>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</si>
  <si>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</si>
  <si>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</si>
  <si>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</si>
  <si>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</si>
  <si>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</si>
  <si>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</si>
  <si>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</si>
  <si>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</si>
  <si>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</si>
  <si>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</si>
  <si>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</si>
  <si>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</si>
  <si>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</si>
  <si>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</si>
  <si>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</si>
  <si>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</si>
  <si>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</si>
  <si>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</si>
  <si>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</si>
  <si>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</si>
  <si>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</si>
  <si>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</si>
  <si>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</si>
  <si>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</si>
  <si>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</si>
  <si>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</si>
  <si>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</si>
  <si>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</si>
  <si>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</si>
  <si>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</si>
  <si>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</si>
  <si>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</si>
  <si>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</si>
  <si>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</si>
  <si>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</si>
  <si>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</si>
  <si>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</si>
  <si>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</si>
  <si>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</si>
  <si>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</si>
  <si>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</si>
  <si>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</si>
  <si>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</si>
  <si>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</si>
  <si>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</si>
  <si>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</si>
  <si>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</si>
  <si>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</si>
  <si>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</si>
  <si>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</si>
  <si>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</si>
  <si>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</si>
  <si>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</si>
  <si>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</si>
  <si>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</si>
  <si>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</si>
  <si>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</si>
  <si>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</si>
  <si>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</si>
  <si>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</si>
  <si>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</si>
  <si>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</si>
  <si>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</si>
  <si>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</si>
  <si>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</si>
  <si>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</si>
  <si>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</si>
  <si>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</si>
  <si>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</si>
  <si>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</si>
  <si>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</si>
  <si>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</si>
  <si>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</si>
  <si>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</si>
  <si>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</si>
  <si>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</si>
  <si>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</si>
  <si>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</si>
  <si>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</si>
  <si>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</si>
  <si>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</si>
  <si>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</si>
  <si>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</si>
  <si>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</si>
  <si>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</si>
  <si>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</si>
  <si>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</si>
  <si>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</si>
  <si>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</si>
  <si>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</si>
  <si>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</si>
  <si>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</si>
  <si>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</si>
  <si>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</si>
  <si>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</si>
  <si>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</si>
  <si>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</si>
  <si>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</si>
  <si>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</si>
  <si>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</si>
  <si>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</si>
  <si>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</si>
  <si>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</si>
  <si>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</si>
  <si>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</si>
  <si>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</si>
  <si>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</si>
  <si>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</si>
  <si>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</si>
  <si>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</si>
  <si>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</si>
  <si>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</si>
  <si>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</si>
  <si>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</si>
  <si>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</si>
  <si>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</si>
  <si>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</si>
  <si>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</si>
  <si>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</si>
  <si>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</si>
  <si>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</si>
  <si>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</si>
  <si>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</si>
  <si>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</si>
  <si>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</si>
  <si>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</si>
  <si>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</si>
  <si>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</si>
  <si>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</si>
  <si>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</si>
  <si>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</si>
  <si>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</si>
  <si>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</si>
  <si>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</si>
  <si>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</si>
  <si>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</si>
  <si>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</si>
  <si>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</si>
  <si>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</si>
  <si>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</si>
  <si>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</si>
  <si>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</si>
  <si>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</si>
  <si>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</si>
  <si>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</si>
  <si>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</si>
  <si>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</si>
  <si>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</si>
  <si>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</si>
  <si>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</si>
  <si>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</si>
  <si>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</si>
  <si>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</si>
  <si>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</si>
  <si>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</si>
  <si>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</si>
  <si>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</si>
  <si>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</si>
  <si>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</si>
  <si>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</si>
  <si>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</si>
  <si>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</si>
  <si>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</si>
  <si>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</si>
  <si>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</si>
  <si>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</si>
  <si>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</si>
  <si>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</si>
  <si>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</si>
  <si>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</si>
  <si>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</si>
  <si>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</si>
  <si>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</si>
  <si>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</si>
  <si>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</si>
  <si>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</si>
  <si>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</si>
  <si>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</si>
  <si>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</si>
  <si>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</si>
  <si>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</si>
  <si>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</si>
  <si>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</si>
  <si>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</si>
  <si>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</si>
  <si>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</si>
  <si>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</si>
  <si>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</si>
  <si>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</si>
  <si>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</si>
  <si>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</si>
  <si>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</si>
  <si>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</si>
  <si>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</si>
  <si>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</si>
  <si>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</si>
  <si>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</si>
  <si>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</si>
  <si>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</si>
  <si>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</si>
  <si>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</si>
  <si>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</si>
  <si>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</si>
  <si>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</si>
  <si>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</si>
  <si>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</si>
  <si>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</si>
  <si>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</si>
  <si>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</si>
  <si>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</si>
  <si>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</si>
  <si>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</si>
  <si>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</si>
  <si>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</si>
  <si>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</si>
  <si>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</si>
  <si>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</si>
  <si>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</si>
  <si>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</si>
  <si>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</si>
  <si>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</si>
  <si>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</si>
  <si>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</si>
  <si>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</si>
  <si>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</si>
  <si>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</si>
  <si>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</si>
  <si>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</si>
  <si>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</si>
  <si>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</si>
  <si>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</si>
  <si>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</si>
  <si>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</si>
  <si>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</si>
  <si>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</si>
  <si>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</si>
  <si>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</si>
  <si>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</si>
  <si>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</si>
  <si>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</si>
  <si>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</si>
  <si>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</si>
  <si>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</si>
  <si>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</si>
  <si>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</si>
  <si>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</si>
  <si>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</si>
  <si>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</si>
  <si>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</si>
  <si>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</si>
  <si>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</si>
  <si>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</si>
  <si>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</si>
  <si>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</si>
  <si>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</si>
  <si>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</si>
  <si>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</si>
  <si>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</si>
  <si>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</si>
  <si>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</si>
  <si>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</si>
  <si>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</si>
  <si>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</si>
  <si>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</si>
  <si>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</si>
  <si>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</si>
  <si>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</si>
  <si>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</si>
  <si>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</si>
  <si>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</si>
  <si>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</si>
  <si>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</si>
  <si>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</si>
  <si>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</si>
  <si>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</si>
  <si>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</si>
  <si>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</si>
  <si>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</si>
  <si>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</si>
  <si>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</si>
  <si>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</si>
  <si>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</si>
  <si>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</si>
  <si>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</si>
  <si>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</si>
  <si>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</si>
  <si>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</si>
  <si>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</si>
  <si>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</si>
  <si>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</si>
  <si>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</si>
  <si>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</si>
  <si>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</si>
  <si>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</si>
  <si>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</si>
  <si>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</si>
  <si>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</si>
  <si>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</si>
  <si>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</si>
  <si>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</si>
  <si>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</si>
  <si>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</si>
  <si>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</si>
  <si>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</si>
  <si>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</si>
  <si>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</si>
  <si>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</si>
  <si>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</si>
  <si>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</si>
  <si>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</si>
  <si>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</si>
  <si>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</si>
  <si>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</si>
  <si>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</si>
  <si>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</si>
  <si>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</si>
  <si>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</si>
  <si>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</si>
  <si>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</si>
  <si>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</si>
  <si>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</si>
  <si>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</si>
  <si>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</si>
  <si>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</si>
  <si>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</si>
  <si>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</si>
  <si>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</si>
  <si>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</si>
  <si>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</si>
  <si>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</si>
  <si>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</si>
  <si>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</si>
  <si>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</si>
  <si>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</si>
  <si>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</si>
  <si>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</si>
  <si>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</si>
  <si>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</si>
  <si>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</si>
  <si>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</si>
  <si>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</si>
  <si>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</si>
  <si>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</si>
  <si>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</si>
  <si>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01-069-0010-26</t>
  </si>
  <si>
    <t>Morgan</t>
  </si>
  <si>
    <t>Franklin CUSD #1</t>
  </si>
  <si>
    <t>110 State Street</t>
  </si>
  <si>
    <t>Franklin</t>
  </si>
  <si>
    <t>kallen@franklinhigh.com</t>
  </si>
  <si>
    <t>Curt Simonson</t>
  </si>
  <si>
    <t>csimonson@franklinhigh.com</t>
  </si>
  <si>
    <t>217-675-2395</t>
  </si>
  <si>
    <t>217-675-2396</t>
  </si>
  <si>
    <t>Scheffel Boyle</t>
  </si>
  <si>
    <t>Danny Phipps</t>
  </si>
  <si>
    <t>106 W. County Road</t>
  </si>
  <si>
    <t>Jerseyville</t>
  </si>
  <si>
    <t>IL</t>
  </si>
  <si>
    <t>618-498-6841</t>
  </si>
  <si>
    <t>618-498-6842</t>
  </si>
  <si>
    <t>danny.phipps@scheffelboyle.com</t>
  </si>
  <si>
    <t>In addition to the financial statements being prepared on the regulatory, cash basis of accounting, the District has omitted disclosures required by GASB 54.</t>
  </si>
  <si>
    <t>2017A Series General Obligation Bonds</t>
  </si>
  <si>
    <t>2017B Series G.O. (Alternate Revenue Source) Bonds</t>
  </si>
  <si>
    <t>2017C Series Taxable G.O. (Alternate Revenue Source) Bonds</t>
  </si>
  <si>
    <t>None</t>
  </si>
  <si>
    <t>Waverly CUSD #6</t>
  </si>
  <si>
    <t>Four Rivers Special Education District</t>
  </si>
  <si>
    <t>CACC</t>
  </si>
  <si>
    <t>Waverly CUSD #6 &amp; New Berlin CUSD #16</t>
  </si>
  <si>
    <t>Page 12 Line 168 - Other Restricted Revenue from State Sources</t>
  </si>
  <si>
    <t>Education - $750 State Library Grant</t>
  </si>
  <si>
    <t>Education - E-Rate - $3,390</t>
  </si>
  <si>
    <t>Education - $770 Graduation Expenses,  $215 Student Awards</t>
  </si>
  <si>
    <t>Education - (100) - Principal's Secretary Salary - $55,320</t>
  </si>
  <si>
    <t>Education - (200)  - Principal's Secretary Health Benefits - $2,342</t>
  </si>
  <si>
    <t>Page 20 Line 260 - Other Support Services - School Administration</t>
  </si>
  <si>
    <t>MR/SS - Principal's Secretary's IMRF and FICA - $9,648</t>
  </si>
  <si>
    <t>Unknown</t>
  </si>
  <si>
    <t>Financial statement preparation</t>
  </si>
  <si>
    <t>The District relies on auditors to assist with financial statement preparation.</t>
  </si>
  <si>
    <t>Without relying on Scheffel Boyle for assistance, it is possible the financial statements would be materially misstated or missing required disclosures.</t>
  </si>
  <si>
    <t>The District does not have the personnel or staff with sufficient training or expertise.</t>
  </si>
  <si>
    <t>The District should provide training to its current accounting staff or hire additional resources to allow for proper internal preparation of the finanacial statements.</t>
  </si>
  <si>
    <t>The District believes their accounting staff maintains adequate books and records of the school's transactions.  Additionally, at this time,  the District does not believe it is cost beneficial to hire additional accounting expertise to ensure the District's financial statements are prepare in accordance with the regulatory provisions discussed above.</t>
  </si>
  <si>
    <t>Lack of segregation of duties</t>
  </si>
  <si>
    <t>The bank reconciliation is prepared by employee responsible for entries in the receipts and disbursement records.</t>
  </si>
  <si>
    <t>The Bookkeeper has the ability to initiate, record and reconcile cash receipts and disbursements.</t>
  </si>
  <si>
    <t>In the absence of controls, an opportunity for fraudulent activity or misstatement of funds could occur.</t>
  </si>
  <si>
    <t>The District agrees with this recommendation and will try to implement certain review procedures.</t>
  </si>
  <si>
    <t xml:space="preserve">The District relies on auditors to assist with </t>
  </si>
  <si>
    <t>financial statement preparation</t>
  </si>
  <si>
    <t>See 2019-001</t>
  </si>
  <si>
    <t>2020-001</t>
  </si>
  <si>
    <t>2020-002</t>
  </si>
  <si>
    <t>The bank reconciliation is prepared by employee</t>
  </si>
  <si>
    <t xml:space="preserve">responsible for entries in the receipt and </t>
  </si>
  <si>
    <t>disbursement records.</t>
  </si>
  <si>
    <t>See 2019-002</t>
  </si>
  <si>
    <t>General Obligation Bonds</t>
  </si>
  <si>
    <t>G.O. Alternate Revenue Source Bonds</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</si>
  <si>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</si>
  <si>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The District has a small number of office employees and, therefore, has not designed an effective layer of segregated duties.</t>
  </si>
  <si>
    <t>As this segregation of duties is difficult because of the small number of office employees, we recommend that monthly reconciliations be reviewed from time to time by the District's Superintendent or other designated official.  In additon, the reviewer should review, approve, and sign the bank reconciliation each month.</t>
  </si>
  <si>
    <t>Page 10 Line 107 - Other Local Source</t>
  </si>
  <si>
    <t>Page 15 Line 41 - Other Support Services (Pupils)</t>
  </si>
  <si>
    <t>Page 16 Line 56 - Other Support Services - School Admin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</si>
</sst>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2598</xdr:rowOff>
        </xdr:from>
        <xdr:to>
          <xdr:col>1</xdr:col>
          <xdr:colOff>787977</xdr:colOff>
          <xdr:row>5</xdr:row>
          <xdr:rowOff>51089</xdr:rowOff>
        </xdr:to>
        <xdr:sp macro="" textlink="">
          <xdr:nvSpPr>
            <xdr:cNvPr id="44044" name="Object 12" hidden="1">
              <a:extLst>
                <a:ext uri="{63B3BB69-23CF-44E3-9099-C40C66FF867C}">
                  <a14:compatExt spid="_x0000_s44044"/>
                </a:ext>
                <a:ext uri="{FF2B5EF4-FFF2-40B4-BE49-F238E27FC236}">
                  <a16:creationId xmlns:a16="http://schemas.microsoft.com/office/drawing/2014/main" id="{00000000-0008-0000-1400-00000C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15586</xdr:rowOff>
        </xdr:from>
        <xdr:to>
          <xdr:col>1</xdr:col>
          <xdr:colOff>787977</xdr:colOff>
          <xdr:row>10</xdr:row>
          <xdr:rowOff>64077</xdr:rowOff>
        </xdr:to>
        <xdr:sp macro="" textlink="">
          <xdr:nvSpPr>
            <xdr:cNvPr id="44045" name="Object 13" hidden="1">
              <a:extLst>
                <a:ext uri="{63B3BB69-23CF-44E3-9099-C40C66FF867C}">
                  <a14:compatExt spid="_x0000_s44045"/>
                </a:ext>
                <a:ext uri="{FF2B5EF4-FFF2-40B4-BE49-F238E27FC236}">
                  <a16:creationId xmlns:a16="http://schemas.microsoft.com/office/drawing/2014/main" id="{00000000-0008-0000-1400-00000D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28575</xdr:rowOff>
        </xdr:from>
        <xdr:to>
          <xdr:col>1</xdr:col>
          <xdr:colOff>787977</xdr:colOff>
          <xdr:row>15</xdr:row>
          <xdr:rowOff>77066</xdr:rowOff>
        </xdr:to>
        <xdr:sp macro="" textlink="">
          <xdr:nvSpPr>
            <xdr:cNvPr id="44046" name="Object 14" hidden="1">
              <a:extLst>
                <a:ext uri="{63B3BB69-23CF-44E3-9099-C40C66FF867C}">
                  <a14:compatExt spid="_x0000_s44046"/>
                </a:ext>
                <a:ext uri="{FF2B5EF4-FFF2-40B4-BE49-F238E27FC236}">
                  <a16:creationId xmlns:a16="http://schemas.microsoft.com/office/drawing/2014/main" id="{00000000-0008-0000-1400-00000E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41564</xdr:rowOff>
        </xdr:from>
        <xdr:to>
          <xdr:col>1</xdr:col>
          <xdr:colOff>787977</xdr:colOff>
          <xdr:row>20</xdr:row>
          <xdr:rowOff>90055</xdr:rowOff>
        </xdr:to>
        <xdr:sp macro="" textlink="">
          <xdr:nvSpPr>
            <xdr:cNvPr id="44047" name="Object 15" hidden="1">
              <a:extLst>
                <a:ext uri="{63B3BB69-23CF-44E3-9099-C40C66FF867C}">
                  <a14:compatExt spid="_x0000_s44047"/>
                </a:ext>
                <a:ext uri="{FF2B5EF4-FFF2-40B4-BE49-F238E27FC236}">
                  <a16:creationId xmlns:a16="http://schemas.microsoft.com/office/drawing/2014/main" id="{00000000-0008-0000-1400-00000F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09825" y="171450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24765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I7" sqref="I7:S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t="s">
        <v>2052</v>
      </c>
      <c r="B13" s="2088"/>
      <c r="C13" s="2088"/>
      <c r="D13" s="2088"/>
      <c r="E13" s="2088"/>
      <c r="F13" s="2088"/>
      <c r="G13" s="2088"/>
      <c r="H13" s="2089"/>
      <c r="I13" s="31"/>
      <c r="J13" s="30"/>
      <c r="K13" s="28"/>
      <c r="L13" s="30"/>
      <c r="M13" s="30"/>
      <c r="N13" s="30"/>
      <c r="O13" s="30"/>
      <c r="P13" s="30"/>
      <c r="Q13" s="30"/>
      <c r="R13" s="30"/>
      <c r="S13" s="30"/>
      <c r="T13" s="2092" t="s">
        <v>2062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2053</v>
      </c>
      <c r="B15" s="2090"/>
      <c r="C15" s="2090"/>
      <c r="D15" s="2090"/>
      <c r="E15" s="2090"/>
      <c r="F15" s="2090"/>
      <c r="G15" s="2090"/>
      <c r="H15" s="2091"/>
      <c r="T15" s="2053" t="s">
        <v>2063</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2054</v>
      </c>
      <c r="B17" s="2115"/>
      <c r="C17" s="2115"/>
      <c r="D17" s="2115"/>
      <c r="E17" s="2115"/>
      <c r="F17" s="2115"/>
      <c r="G17" s="2115"/>
      <c r="H17" s="2116"/>
      <c r="T17" s="2102" t="s">
        <v>2064</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2055</v>
      </c>
      <c r="B19" s="2086"/>
      <c r="C19" s="2086"/>
      <c r="D19" s="2086"/>
      <c r="E19" s="2086"/>
      <c r="F19" s="2086"/>
      <c r="G19" s="2086"/>
      <c r="H19" s="2084"/>
      <c r="I19" s="30"/>
      <c r="J19" s="96"/>
      <c r="K19" s="40"/>
      <c r="L19" s="38"/>
      <c r="M19" s="109" t="s">
        <v>312</v>
      </c>
      <c r="P19" s="27"/>
      <c r="Q19" s="27"/>
      <c r="R19" s="27"/>
      <c r="S19" s="31"/>
      <c r="T19" s="2085" t="s">
        <v>2065</v>
      </c>
      <c r="U19" s="2083"/>
      <c r="V19" s="2083"/>
      <c r="W19" s="2084"/>
      <c r="X19" s="2100" t="s">
        <v>2066</v>
      </c>
      <c r="Y19" s="2101"/>
      <c r="Z19" s="2098">
        <v>62052</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2056</v>
      </c>
      <c r="B21" s="2083"/>
      <c r="C21" s="2083"/>
      <c r="D21" s="2083"/>
      <c r="E21" s="2083"/>
      <c r="F21" s="2083"/>
      <c r="G21" s="2083"/>
      <c r="H21" s="2084"/>
      <c r="I21" s="2108" t="s">
        <v>673</v>
      </c>
      <c r="J21" s="2071"/>
      <c r="K21" s="2071"/>
      <c r="L21" s="2071"/>
      <c r="M21" s="2071"/>
      <c r="N21" s="2071"/>
      <c r="O21" s="2071"/>
      <c r="P21" s="2071"/>
      <c r="Q21" s="2071"/>
      <c r="R21" s="2071"/>
      <c r="S21" s="2072"/>
      <c r="T21" s="2050" t="s">
        <v>2067</v>
      </c>
      <c r="U21" s="2051"/>
      <c r="V21" s="2051"/>
      <c r="W21" s="2051"/>
      <c r="X21" s="2064" t="s">
        <v>2068</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2057</v>
      </c>
      <c r="B23" s="2106"/>
      <c r="C23" s="2106"/>
      <c r="D23" s="2106"/>
      <c r="E23" s="2106"/>
      <c r="F23" s="2106"/>
      <c r="G23" s="2106"/>
      <c r="H23" s="2107"/>
      <c r="T23" s="2045">
        <v>66.005100999999996</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c r="B25" s="2083"/>
      <c r="C25" s="2083"/>
      <c r="D25" s="2083"/>
      <c r="E25" s="2083"/>
      <c r="F25" s="2083"/>
      <c r="G25" s="2083"/>
      <c r="H25" s="2084"/>
      <c r="I25" s="110"/>
      <c r="J25" s="2149"/>
      <c r="K25" s="2149"/>
      <c r="L25" s="2149"/>
      <c r="M25" s="2149"/>
      <c r="N25" s="2149"/>
      <c r="O25" s="2149"/>
      <c r="P25" s="2149"/>
      <c r="Q25" s="2149"/>
      <c r="R25" s="2149"/>
      <c r="S25" s="2150"/>
      <c r="T25" s="2042" t="s">
        <v>2069</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2058</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2059</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2060</v>
      </c>
      <c r="B42" s="2132"/>
      <c r="C42" s="2133"/>
      <c r="D42" s="2146" t="s">
        <v>2061</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scaleWithDoc="0">
    <oddFooter xml:space="preserve">&amp;LSee notes to financial statements.&amp;C4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22" sqref="F2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2040388</v>
      </c>
      <c r="C4" s="1722"/>
      <c r="D4" s="1723">
        <f>B4-C4</f>
        <v>2040388</v>
      </c>
      <c r="E4" s="1722">
        <v>2103716</v>
      </c>
      <c r="F4" s="1723">
        <f>E4-C4</f>
        <v>2103716</v>
      </c>
    </row>
    <row r="5" spans="1:8" ht="13.7" customHeight="1" x14ac:dyDescent="0.2">
      <c r="A5" s="579" t="s">
        <v>865</v>
      </c>
      <c r="B5" s="1724">
        <f>'Revenues 9-14'!D5</f>
        <v>531490</v>
      </c>
      <c r="C5" s="1664"/>
      <c r="D5" s="1725">
        <f t="shared" ref="D5:D18" si="0">B5-C5</f>
        <v>531490</v>
      </c>
      <c r="E5" s="1664">
        <v>278547</v>
      </c>
      <c r="F5" s="1725">
        <f>E5-C5</f>
        <v>278547</v>
      </c>
    </row>
    <row r="6" spans="1:8" ht="13.7" customHeight="1" x14ac:dyDescent="0.2">
      <c r="A6" s="579" t="s">
        <v>408</v>
      </c>
      <c r="B6" s="1724">
        <f>'Revenues 9-14'!E5</f>
        <v>216757</v>
      </c>
      <c r="C6" s="1664"/>
      <c r="D6" s="1725">
        <f t="shared" si="0"/>
        <v>216757</v>
      </c>
      <c r="E6" s="1664">
        <v>220083</v>
      </c>
      <c r="F6" s="1725">
        <f t="shared" ref="F6:F18" si="1">E6-C6</f>
        <v>220083</v>
      </c>
    </row>
    <row r="7" spans="1:8" ht="13.7" customHeight="1" x14ac:dyDescent="0.2">
      <c r="A7" s="579" t="s">
        <v>154</v>
      </c>
      <c r="B7" s="1724">
        <f>'Revenues 9-14'!F5</f>
        <v>73896</v>
      </c>
      <c r="C7" s="1664"/>
      <c r="D7" s="1725">
        <f t="shared" si="0"/>
        <v>73896</v>
      </c>
      <c r="E7" s="1664">
        <v>81847</v>
      </c>
      <c r="F7" s="1725">
        <f t="shared" si="1"/>
        <v>81847</v>
      </c>
    </row>
    <row r="8" spans="1:8" ht="13.7" customHeight="1" x14ac:dyDescent="0.2">
      <c r="A8" s="579" t="s">
        <v>1169</v>
      </c>
      <c r="B8" s="1724">
        <f>'Revenues 9-14'!G5</f>
        <v>96982</v>
      </c>
      <c r="C8" s="1664"/>
      <c r="D8" s="1725">
        <f t="shared" si="0"/>
        <v>96982</v>
      </c>
      <c r="E8" s="1664">
        <v>96292</v>
      </c>
      <c r="F8" s="1725">
        <f t="shared" si="1"/>
        <v>96292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18973</v>
      </c>
      <c r="C10" s="1664"/>
      <c r="D10" s="1725">
        <f t="shared" si="0"/>
        <v>18973</v>
      </c>
      <c r="E10" s="1664">
        <v>19568</v>
      </c>
      <c r="F10" s="1725">
        <f t="shared" si="1"/>
        <v>19568</v>
      </c>
    </row>
    <row r="11" spans="1:8" x14ac:dyDescent="0.2">
      <c r="A11" s="579" t="s">
        <v>406</v>
      </c>
      <c r="B11" s="1724">
        <f>'Revenues 9-14'!J5</f>
        <v>50803</v>
      </c>
      <c r="C11" s="1664"/>
      <c r="D11" s="1725">
        <f t="shared" si="0"/>
        <v>50803</v>
      </c>
      <c r="E11" s="1664">
        <v>52960</v>
      </c>
      <c r="F11" s="1725">
        <f t="shared" si="1"/>
        <v>52960</v>
      </c>
    </row>
    <row r="12" spans="1:8" ht="13.7" customHeight="1" x14ac:dyDescent="0.2">
      <c r="A12" s="579" t="s">
        <v>156</v>
      </c>
      <c r="B12" s="1724">
        <f>'Revenues 9-14'!K5</f>
        <v>986</v>
      </c>
      <c r="C12" s="1664"/>
      <c r="D12" s="1725">
        <f t="shared" si="0"/>
        <v>986</v>
      </c>
      <c r="E12" s="1664">
        <v>1015</v>
      </c>
      <c r="F12" s="1725">
        <f t="shared" si="1"/>
        <v>1015</v>
      </c>
    </row>
    <row r="13" spans="1:8" ht="13.7" customHeight="1" x14ac:dyDescent="0.2">
      <c r="A13" s="579" t="s">
        <v>930</v>
      </c>
      <c r="B13" s="1724">
        <f>SUM('Revenues 9-14'!C6:D6)</f>
        <v>23092</v>
      </c>
      <c r="C13" s="1664"/>
      <c r="D13" s="1725">
        <f t="shared" si="0"/>
        <v>23092</v>
      </c>
      <c r="E13" s="1664">
        <v>23816</v>
      </c>
      <c r="F13" s="1725">
        <f t="shared" si="1"/>
        <v>23816</v>
      </c>
    </row>
    <row r="14" spans="1:8" ht="13.7" customHeight="1" x14ac:dyDescent="0.2">
      <c r="A14" s="579" t="s">
        <v>407</v>
      </c>
      <c r="B14" s="1724">
        <f>SUM('Revenues 9-14'!C7:D7,'Revenues 9-14'!F7:H7)</f>
        <v>38796</v>
      </c>
      <c r="C14" s="1664"/>
      <c r="D14" s="1725">
        <f t="shared" si="0"/>
        <v>38796</v>
      </c>
      <c r="E14" s="1664">
        <v>41714</v>
      </c>
      <c r="F14" s="1725">
        <f t="shared" si="1"/>
        <v>41714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69277</v>
      </c>
      <c r="C16" s="1664"/>
      <c r="D16" s="1725">
        <f t="shared" si="0"/>
        <v>69277</v>
      </c>
      <c r="E16" s="1664">
        <v>77019</v>
      </c>
      <c r="F16" s="1725">
        <f t="shared" si="1"/>
        <v>77019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3161440</v>
      </c>
      <c r="C19" s="1726">
        <f>SUM(C4:C18)</f>
        <v>0</v>
      </c>
      <c r="D19" s="1726">
        <f>SUM(D4:D18)</f>
        <v>3161440</v>
      </c>
      <c r="E19" s="1726">
        <f>SUM(E4:E18)</f>
        <v>2996577</v>
      </c>
      <c r="F19" s="1726">
        <f>SUM(F4:F18)</f>
        <v>2996577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7" colorId="8" zoomScale="110" zoomScaleNormal="110" workbookViewId="0">
      <selection activeCell="G58" sqref="G5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42970</v>
      </c>
      <c r="C31" s="1734">
        <v>2500000</v>
      </c>
      <c r="D31" s="1735">
        <v>7</v>
      </c>
      <c r="E31" s="1734">
        <v>2500000</v>
      </c>
      <c r="F31" s="1734"/>
      <c r="G31" s="1734"/>
      <c r="H31" s="1734">
        <v>75000</v>
      </c>
      <c r="I31" s="1736">
        <f>((E31+F31)-H31)+G31</f>
        <v>2425000</v>
      </c>
      <c r="J31" s="1734">
        <v>2423932</v>
      </c>
      <c r="K31" s="596"/>
    </row>
    <row r="32" spans="1:11" ht="12" customHeight="1" x14ac:dyDescent="0.2">
      <c r="A32" s="594" t="s">
        <v>2072</v>
      </c>
      <c r="B32" s="595">
        <v>42970</v>
      </c>
      <c r="C32" s="1734">
        <v>1375000</v>
      </c>
      <c r="D32" s="1735">
        <v>8</v>
      </c>
      <c r="E32" s="1734">
        <v>1375000</v>
      </c>
      <c r="F32" s="1734"/>
      <c r="G32" s="1734"/>
      <c r="H32" s="1734">
        <v>70000</v>
      </c>
      <c r="I32" s="1736">
        <f>((E32+F32)-H32)+G32</f>
        <v>1305000</v>
      </c>
      <c r="J32" s="1734">
        <v>1305000</v>
      </c>
      <c r="K32" s="596"/>
    </row>
    <row r="33" spans="1:11" ht="12" customHeight="1" x14ac:dyDescent="0.2">
      <c r="A33" s="594" t="s">
        <v>2073</v>
      </c>
      <c r="B33" s="595">
        <v>42970</v>
      </c>
      <c r="C33" s="1734">
        <v>2405000</v>
      </c>
      <c r="D33" s="1735">
        <v>8</v>
      </c>
      <c r="E33" s="1734">
        <v>2405000</v>
      </c>
      <c r="F33" s="1734"/>
      <c r="G33" s="1734"/>
      <c r="H33" s="1734"/>
      <c r="I33" s="1736">
        <f t="shared" ref="I33:I48" si="1">((E33+F33)-H33)+G33</f>
        <v>2405000</v>
      </c>
      <c r="J33" s="1734">
        <v>2405000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6280000</v>
      </c>
      <c r="D49" s="1742"/>
      <c r="E49" s="1736">
        <f t="shared" ref="E49:J49" si="2">SUM(E31:E48)</f>
        <v>6280000</v>
      </c>
      <c r="F49" s="1736">
        <f t="shared" si="2"/>
        <v>0</v>
      </c>
      <c r="G49" s="1736">
        <f t="shared" si="2"/>
        <v>0</v>
      </c>
      <c r="H49" s="1736">
        <f t="shared" si="2"/>
        <v>145000</v>
      </c>
      <c r="I49" s="1736">
        <f t="shared" si="2"/>
        <v>6135000</v>
      </c>
      <c r="J49" s="1736">
        <f t="shared" si="2"/>
        <v>6133932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2108</v>
      </c>
      <c r="G52" s="2313"/>
      <c r="H52" s="596"/>
      <c r="I52" s="596"/>
      <c r="J52" s="600"/>
    </row>
    <row r="53" spans="1:11" ht="11.25" customHeight="1" x14ac:dyDescent="0.2">
      <c r="A53" s="604" t="s">
        <v>907</v>
      </c>
      <c r="B53" s="605" t="s">
        <v>945</v>
      </c>
      <c r="C53" s="600"/>
      <c r="D53" s="597"/>
      <c r="E53" s="603" t="s">
        <v>494</v>
      </c>
      <c r="F53" s="2314" t="s">
        <v>2109</v>
      </c>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451531</v>
      </c>
      <c r="K3" s="1745">
        <v>4051</v>
      </c>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38796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212097</v>
      </c>
      <c r="K8" s="1748"/>
    </row>
    <row r="9" spans="1:11" x14ac:dyDescent="0.2">
      <c r="A9" s="629" t="s">
        <v>137</v>
      </c>
      <c r="B9" s="630"/>
      <c r="C9" s="630"/>
      <c r="D9" s="630"/>
      <c r="E9" s="631"/>
      <c r="F9" s="628" t="s">
        <v>848</v>
      </c>
      <c r="G9" s="1753"/>
      <c r="H9" s="1749"/>
      <c r="I9" s="1749"/>
      <c r="J9" s="1752"/>
      <c r="K9" s="1745">
        <v>2808</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38796</v>
      </c>
      <c r="I12" s="1755">
        <f>SUM(I5:I11)</f>
        <v>0</v>
      </c>
      <c r="J12" s="1755">
        <f>SUM(J5:J11)</f>
        <v>212097</v>
      </c>
      <c r="K12" s="1755">
        <f>SUM(K5:K11)</f>
        <v>2808</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38796</v>
      </c>
      <c r="I14" s="1749"/>
      <c r="J14" s="1751"/>
      <c r="K14" s="1745">
        <v>2935</v>
      </c>
    </row>
    <row r="15" spans="1:11" x14ac:dyDescent="0.2">
      <c r="A15" s="2320" t="s">
        <v>4</v>
      </c>
      <c r="B15" s="2320"/>
      <c r="C15" s="2320"/>
      <c r="D15" s="2320"/>
      <c r="E15" s="2350"/>
      <c r="F15" s="635" t="s">
        <v>850</v>
      </c>
      <c r="G15" s="1749"/>
      <c r="H15" s="1744"/>
      <c r="I15" s="1744"/>
      <c r="J15" s="1745">
        <v>151288</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38796</v>
      </c>
      <c r="I23" s="1755">
        <f>SUM(I14:I16,I21,I22)</f>
        <v>0</v>
      </c>
      <c r="J23" s="1755">
        <f>SUM(J14:J16,J21,J22)</f>
        <v>151288</v>
      </c>
      <c r="K23" s="1755">
        <f>SUM(K14:K16,K21,K22)</f>
        <v>2935</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512340</v>
      </c>
      <c r="K24" s="1767">
        <f>SUM(K3,K12)-K23</f>
        <v>3924</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512340</v>
      </c>
      <c r="K26" s="1755">
        <f>K24-K25</f>
        <v>3924</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17486</v>
      </c>
      <c r="D5" s="1770">
        <v>78170</v>
      </c>
      <c r="E5" s="1770"/>
      <c r="F5" s="1765">
        <f>(C5+D5)-E5</f>
        <v>95656</v>
      </c>
      <c r="G5" s="676"/>
      <c r="H5" s="680"/>
      <c r="I5" s="680"/>
      <c r="J5" s="680"/>
      <c r="K5" s="637"/>
      <c r="L5" s="1442">
        <f>F5-K5</f>
        <v>95656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7449648</v>
      </c>
      <c r="D8" s="1771"/>
      <c r="E8" s="1771"/>
      <c r="F8" s="1765">
        <f>(C8+D8)-E8</f>
        <v>7449648</v>
      </c>
      <c r="G8" s="681">
        <v>50</v>
      </c>
      <c r="H8" s="619">
        <v>1334283</v>
      </c>
      <c r="I8" s="619">
        <v>125494</v>
      </c>
      <c r="J8" s="619"/>
      <c r="K8" s="1442">
        <f>(H8+I8)-J8</f>
        <v>1459777</v>
      </c>
      <c r="L8" s="1442">
        <f>F8-K8</f>
        <v>5989871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45278</v>
      </c>
      <c r="D10" s="1772">
        <v>16600</v>
      </c>
      <c r="E10" s="1772"/>
      <c r="F10" s="1773">
        <f>(C10+D10)-E10</f>
        <v>61878</v>
      </c>
      <c r="G10" s="681">
        <v>20</v>
      </c>
      <c r="H10" s="683">
        <v>39138</v>
      </c>
      <c r="I10" s="683">
        <v>1056</v>
      </c>
      <c r="J10" s="683"/>
      <c r="K10" s="1442">
        <f>(H10+I10)-J10</f>
        <v>40194</v>
      </c>
      <c r="L10" s="1442">
        <f>F10-K10</f>
        <v>21684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1161309</v>
      </c>
      <c r="D12" s="1771">
        <v>201179</v>
      </c>
      <c r="E12" s="1771">
        <v>4438</v>
      </c>
      <c r="F12" s="1765">
        <f>(C12+D12)-E12</f>
        <v>1358050</v>
      </c>
      <c r="G12" s="681">
        <v>10</v>
      </c>
      <c r="H12" s="619">
        <v>1072035</v>
      </c>
      <c r="I12" s="619">
        <v>24069</v>
      </c>
      <c r="J12" s="619"/>
      <c r="K12" s="1442">
        <f>(H12+I12)-J12</f>
        <v>1096104</v>
      </c>
      <c r="L12" s="1442">
        <f>F12-K12</f>
        <v>261946</v>
      </c>
    </row>
    <row r="13" spans="1:14" ht="14.25" thickTop="1" thickBot="1" x14ac:dyDescent="0.25">
      <c r="A13" s="684" t="s">
        <v>1112</v>
      </c>
      <c r="B13" s="679">
        <v>252</v>
      </c>
      <c r="C13" s="1771">
        <v>645870</v>
      </c>
      <c r="D13" s="1771"/>
      <c r="E13" s="1771">
        <v>2800</v>
      </c>
      <c r="F13" s="1765">
        <f>(C13+D13)-E13</f>
        <v>643070</v>
      </c>
      <c r="G13" s="681">
        <v>5</v>
      </c>
      <c r="H13" s="619">
        <v>394049</v>
      </c>
      <c r="I13" s="619">
        <v>71896</v>
      </c>
      <c r="J13" s="619">
        <v>2800</v>
      </c>
      <c r="K13" s="1442">
        <f>(H13+I13)-J13</f>
        <v>463145</v>
      </c>
      <c r="L13" s="1442">
        <f>F13-K13</f>
        <v>179925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9319591</v>
      </c>
      <c r="D16" s="1765">
        <f>SUM(D3,D5:D6,D8:D10,D12:D15)</f>
        <v>295949</v>
      </c>
      <c r="E16" s="1765">
        <f>SUM(E3,E5:E6,E8:E10,E12:E15)</f>
        <v>7238</v>
      </c>
      <c r="F16" s="1765">
        <f>SUM(F3,F5:F6,F8:F10,F12:F15)</f>
        <v>9608302</v>
      </c>
      <c r="G16" s="681"/>
      <c r="H16" s="1435">
        <f>SUM(H3,H6,H8:H10,H12:H14,)</f>
        <v>2839505</v>
      </c>
      <c r="I16" s="1435">
        <f>SUM(I3,I6,I8:I10,I12:I14,)</f>
        <v>222515</v>
      </c>
      <c r="J16" s="1435">
        <f>SUM(J3,J6,J8:J10,J12:J14,)</f>
        <v>2800</v>
      </c>
      <c r="K16" s="1435">
        <f>(H16+I16)-J16</f>
        <v>3059220</v>
      </c>
      <c r="L16" s="1435">
        <f>F16-K16</f>
        <v>6549082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222515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3112381</v>
      </c>
      <c r="G8" s="701"/>
    </row>
    <row r="9" spans="1:9" x14ac:dyDescent="0.2">
      <c r="A9" s="705" t="s">
        <v>457</v>
      </c>
      <c r="B9" s="706" t="s">
        <v>1848</v>
      </c>
      <c r="C9" s="707"/>
      <c r="D9" s="705" t="s">
        <v>498</v>
      </c>
      <c r="E9" s="704"/>
      <c r="F9" s="1775">
        <f>'Expenditures 15-22'!K151</f>
        <v>359441</v>
      </c>
      <c r="G9" s="708"/>
    </row>
    <row r="10" spans="1:9" x14ac:dyDescent="0.2">
      <c r="A10" s="705" t="s">
        <v>496</v>
      </c>
      <c r="B10" s="706" t="s">
        <v>1849</v>
      </c>
      <c r="C10" s="707"/>
      <c r="D10" s="705" t="s">
        <v>498</v>
      </c>
      <c r="E10" s="704"/>
      <c r="F10" s="1775">
        <f>'Expenditures 15-22'!K174</f>
        <v>360410</v>
      </c>
      <c r="G10" s="708"/>
    </row>
    <row r="11" spans="1:9" x14ac:dyDescent="0.2">
      <c r="A11" s="705" t="s">
        <v>458</v>
      </c>
      <c r="B11" s="706" t="s">
        <v>1850</v>
      </c>
      <c r="C11" s="707"/>
      <c r="D11" s="705" t="s">
        <v>498</v>
      </c>
      <c r="E11" s="704"/>
      <c r="F11" s="1775">
        <f>'Expenditures 15-22'!K210</f>
        <v>229313</v>
      </c>
      <c r="G11" s="708"/>
    </row>
    <row r="12" spans="1:9" x14ac:dyDescent="0.2">
      <c r="A12" s="705" t="s">
        <v>459</v>
      </c>
      <c r="B12" s="706" t="s">
        <v>1851</v>
      </c>
      <c r="C12" s="707"/>
      <c r="D12" s="705" t="s">
        <v>498</v>
      </c>
      <c r="E12" s="704"/>
      <c r="F12" s="1775">
        <f>'Expenditures 15-22'!K295</f>
        <v>146537</v>
      </c>
      <c r="G12" s="708"/>
    </row>
    <row r="13" spans="1:9" x14ac:dyDescent="0.2">
      <c r="A13" s="705" t="s">
        <v>106</v>
      </c>
      <c r="B13" s="706" t="s">
        <v>1852</v>
      </c>
      <c r="C13" s="707"/>
      <c r="D13" s="705" t="s">
        <v>498</v>
      </c>
      <c r="E13" s="704"/>
      <c r="F13" s="1775">
        <f>'Expenditures 15-22'!K342</f>
        <v>38165</v>
      </c>
      <c r="G13" s="709"/>
    </row>
    <row r="14" spans="1:9" ht="12" customHeight="1" thickBot="1" x14ac:dyDescent="0.25">
      <c r="A14" s="1443"/>
      <c r="B14" s="1444"/>
      <c r="C14" s="1445"/>
      <c r="D14" s="1446" t="s">
        <v>498</v>
      </c>
      <c r="E14" s="1447" t="s">
        <v>952</v>
      </c>
      <c r="F14" s="1776">
        <f>SUM(F8:F13)</f>
        <v>4246247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78925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109</v>
      </c>
      <c r="G52" s="701"/>
    </row>
    <row r="53" spans="1:7" x14ac:dyDescent="0.2">
      <c r="A53" s="705" t="s">
        <v>456</v>
      </c>
      <c r="B53" s="705" t="s">
        <v>1458</v>
      </c>
      <c r="C53" s="724">
        <f>'Expenditures 15-22'!B102</f>
        <v>4000</v>
      </c>
      <c r="D53" s="723" t="str">
        <f>'Expenditures 15-22'!A102</f>
        <v>Total Payments to Other Govt Units</v>
      </c>
      <c r="E53" s="704"/>
      <c r="F53" s="1782">
        <f>'Expenditures 15-22'!K102</f>
        <v>223940</v>
      </c>
      <c r="G53" s="701"/>
    </row>
    <row r="54" spans="1:7" x14ac:dyDescent="0.2">
      <c r="A54" s="705" t="s">
        <v>456</v>
      </c>
      <c r="B54" s="705" t="s">
        <v>1459</v>
      </c>
      <c r="C54" s="724" t="s">
        <v>975</v>
      </c>
      <c r="D54" s="720" t="s">
        <v>1086</v>
      </c>
      <c r="E54" s="704"/>
      <c r="F54" s="1782">
        <f>'Expenditures 15-22'!G114</f>
        <v>65280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13650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145000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3302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530206</v>
      </c>
      <c r="G77" s="701"/>
    </row>
    <row r="78" spans="1:9" s="728" customFormat="1" ht="12" customHeight="1" thickTop="1" thickBot="1" x14ac:dyDescent="0.25">
      <c r="A78" s="1450"/>
      <c r="B78" s="1448"/>
      <c r="C78" s="1445"/>
      <c r="D78" s="1449" t="s">
        <v>2012</v>
      </c>
      <c r="E78" s="1447"/>
      <c r="F78" s="1788">
        <f>(F14-F77)</f>
        <v>3716041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267.3</v>
      </c>
      <c r="G79" s="733"/>
      <c r="H79" s="705"/>
      <c r="I79" s="705"/>
    </row>
    <row r="80" spans="1:9" s="728" customFormat="1" ht="12" customHeight="1" thickBot="1" x14ac:dyDescent="0.25">
      <c r="A80" s="1452"/>
      <c r="B80" s="1448"/>
      <c r="C80" s="1445"/>
      <c r="D80" s="1449" t="s">
        <v>2013</v>
      </c>
      <c r="E80" s="1447" t="s">
        <v>952</v>
      </c>
      <c r="F80" s="1790">
        <f>IF(F79&gt;0,F78/F79," Complete Line 79")</f>
        <v>13902.13617658062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33175</v>
      </c>
      <c r="G95" s="745"/>
    </row>
    <row r="96" spans="1:7" x14ac:dyDescent="0.2">
      <c r="A96" s="741" t="s">
        <v>139</v>
      </c>
      <c r="B96" s="741" t="s">
        <v>174</v>
      </c>
      <c r="C96" s="743">
        <v>1700</v>
      </c>
      <c r="D96" s="751" t="str">
        <f>'Revenues 9-14'!A82</f>
        <v>Total District/School Activity Income</v>
      </c>
      <c r="E96" s="739"/>
      <c r="F96" s="1793">
        <f>SUM('Revenues 9-14'!C82,'Revenues 9-14'!D82)</f>
        <v>10321</v>
      </c>
      <c r="G96" s="745"/>
    </row>
    <row r="97" spans="1:7" x14ac:dyDescent="0.2">
      <c r="A97" s="741" t="s">
        <v>456</v>
      </c>
      <c r="B97" s="741" t="s">
        <v>175</v>
      </c>
      <c r="C97" s="743">
        <f>'Revenues 9-14'!B84</f>
        <v>1811</v>
      </c>
      <c r="D97" s="744" t="str">
        <f>'Revenues 9-14'!A84</f>
        <v>Rentals - Regular Textbooks</v>
      </c>
      <c r="E97" s="739"/>
      <c r="F97" s="1793">
        <f>'Revenues 9-14'!C84</f>
        <v>13028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21035</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56092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9409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509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2808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166201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19471</v>
      </c>
      <c r="G125" s="763"/>
    </row>
    <row r="126" spans="1:7" x14ac:dyDescent="0.2">
      <c r="A126" s="760" t="s">
        <v>659</v>
      </c>
      <c r="B126" s="760" t="s">
        <v>1930</v>
      </c>
      <c r="C126" s="765">
        <v>4200</v>
      </c>
      <c r="D126" s="762" t="str">
        <f>'Revenues 9-14'!A198</f>
        <v>Total Food Service</v>
      </c>
      <c r="E126" s="739"/>
      <c r="F126" s="1793">
        <f>SUM('Revenues 9-14'!C198,'Revenues 9-14'!G198)</f>
        <v>57673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116912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5961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8488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3988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98213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624034</v>
      </c>
    </row>
    <row r="176" spans="1:7" ht="12" customHeight="1" x14ac:dyDescent="0.2">
      <c r="A176" s="1443"/>
      <c r="B176" s="1453"/>
      <c r="C176" s="1454"/>
      <c r="D176" s="1455" t="s">
        <v>2014</v>
      </c>
      <c r="E176" s="1456"/>
      <c r="F176" s="1793">
        <f>'PCTC-OEPP 27-28'!F78-F175</f>
        <v>3092007</v>
      </c>
    </row>
    <row r="177" spans="1:9" ht="12" customHeight="1" x14ac:dyDescent="0.2">
      <c r="A177" s="1443"/>
      <c r="B177" s="1453"/>
      <c r="C177" s="1454"/>
      <c r="D177" s="1455" t="s">
        <v>1794</v>
      </c>
      <c r="E177" s="1456"/>
      <c r="F177" s="1793">
        <f>'Cap Outlay Deprec 26'!I18</f>
        <v>222515</v>
      </c>
    </row>
    <row r="178" spans="1:9" ht="12" customHeight="1" x14ac:dyDescent="0.2">
      <c r="A178" s="1443"/>
      <c r="B178" s="1453"/>
      <c r="C178" s="1454"/>
      <c r="D178" s="1455" t="s">
        <v>2015</v>
      </c>
      <c r="E178" s="1456"/>
      <c r="F178" s="1793">
        <f>F176+F177</f>
        <v>3314522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267.3</v>
      </c>
      <c r="G179" s="763"/>
      <c r="I179" s="701"/>
    </row>
    <row r="180" spans="1:9" ht="12" customHeight="1" thickBot="1" x14ac:dyDescent="0.25">
      <c r="A180" s="1443"/>
      <c r="B180" s="1457"/>
      <c r="C180" s="1454"/>
      <c r="D180" s="1455" t="s">
        <v>2017</v>
      </c>
      <c r="E180" s="1456" t="s">
        <v>1528</v>
      </c>
      <c r="F180" s="1798">
        <f>F178/F179</f>
        <v>12400.007482229705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differentFirst="1" alignWithMargins="0">
    <oddHeader>&amp;L&amp;8Page &amp;P&amp;C &amp;R&amp;8Page &amp;P</oddHeader>
    <oddFooter>&amp;LSee notes to financial statements.&amp;C33</oddFooter>
    <firstFooter>&amp;LSee notes to financial statements.&amp;C32</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2074</v>
      </c>
      <c r="B18" s="1908"/>
      <c r="C18" s="1914"/>
      <c r="D18" s="1886"/>
      <c r="E18" s="1906">
        <f t="shared" ref="E18:E80" si="0">IF(D18&lt;25000,D18,"25,000")</f>
        <v>0</v>
      </c>
      <c r="F18" s="1906" t="str">
        <f t="shared" ref="F18:F80"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9"/>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4"/>
      <c r="B64" s="1909"/>
      <c r="C64" s="1885"/>
      <c r="D64" s="1886"/>
      <c r="E64" s="1906">
        <f t="shared" si="0"/>
        <v>0</v>
      </c>
      <c r="F64" s="1906" t="str">
        <f t="shared" si="1"/>
        <v>0</v>
      </c>
    </row>
    <row r="65" spans="1:6" x14ac:dyDescent="0.25">
      <c r="A65" s="1888"/>
      <c r="B65" s="1909"/>
      <c r="C65" s="1889"/>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ref="E81:E140" si="2">IF(D81&lt;25000,D81,"25,000")</f>
        <v>0</v>
      </c>
      <c r="F81" s="1906" t="str">
        <f t="shared" ref="F81:F140" si="3">IF(D81&gt;=25000,(D81-E81),"0")</f>
        <v>0</v>
      </c>
    </row>
    <row r="82" spans="1:6" x14ac:dyDescent="0.25">
      <c r="A82" s="1888"/>
      <c r="B82" s="1909"/>
      <c r="C82" s="1889"/>
      <c r="D82" s="1886"/>
      <c r="E82" s="1906">
        <f t="shared" si="2"/>
        <v>0</v>
      </c>
      <c r="F82" s="1906" t="str">
        <f t="shared" si="3"/>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10"/>
      <c r="C140" s="1889"/>
      <c r="D140" s="1886"/>
      <c r="E140" s="1906">
        <f t="shared" si="2"/>
        <v>0</v>
      </c>
      <c r="F140" s="1906" t="str">
        <f t="shared" si="3"/>
        <v>0</v>
      </c>
    </row>
    <row r="141" spans="1:6" x14ac:dyDescent="0.25">
      <c r="A141" s="1890" t="s">
        <v>155</v>
      </c>
      <c r="B141" s="1911"/>
      <c r="C141" s="1891"/>
      <c r="D141" s="1892">
        <f>SUM(D18:D140)</f>
        <v>0</v>
      </c>
      <c r="E141" s="1893">
        <f>SUM(E18:E140)</f>
        <v>0</v>
      </c>
      <c r="F141" s="1894">
        <f>SUM(F18:F140)</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71418</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13416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2024443</v>
      </c>
      <c r="F19" s="1802"/>
      <c r="G19" s="1804">
        <f>'Expenditures 15-22'!K33-SUM('Expenditures 15-22'!G33,'Expenditures 15-22'!I33)+'Expenditures 15-22'!D229</f>
        <v>2024443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166535</v>
      </c>
      <c r="F21" s="1805"/>
      <c r="G21" s="1808">
        <f>'Expenditures 15-22'!K42-SUM('Expenditures 15-22'!G42,'Expenditures 15-22'!I42)+'Expenditures 15-22'!K120-SUM('Expenditures 15-22'!G120,'Expenditures 15-22'!I120)+'Expenditures 15-22'!K180-SUM('Expenditures 15-22'!G180,'Expenditures 15-22'!I180)+'Expenditures 15-22'!D238</f>
        <v>166535</v>
      </c>
      <c r="H21" s="817"/>
      <c r="I21" s="157"/>
    </row>
    <row r="22" spans="1:9" s="542" customFormat="1" ht="12" customHeight="1" x14ac:dyDescent="0.2">
      <c r="A22" s="824" t="s">
        <v>560</v>
      </c>
      <c r="B22" s="825"/>
      <c r="C22" s="823">
        <v>2200</v>
      </c>
      <c r="D22" s="1805"/>
      <c r="E22" s="1807">
        <f>'Expenditures 15-22'!K47-SUM('Expenditures 15-22'!G47,'Expenditures 15-22'!I47)+'Expenditures 15-22'!D243</f>
        <v>47108</v>
      </c>
      <c r="F22" s="1805"/>
      <c r="G22" s="1808">
        <f>'Expenditures 15-22'!K47-SUM('Expenditures 15-22'!G47,'Expenditures 15-22'!I47)+'Expenditures 15-22'!D243</f>
        <v>47108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206331</v>
      </c>
      <c r="F23" s="1805"/>
      <c r="G23" s="1807">
        <f>'Expenditures 15-22'!K53-SUM('Expenditures 15-22'!G53,'Expenditures 15-22'!I53)+'Expenditures 15-22'!D257+'Expenditures 15-22'!K330-SUM('Expenditures 15-22'!G330,'Expenditures 15-22'!I330)</f>
        <v>206331</v>
      </c>
      <c r="H23" s="817"/>
      <c r="I23" s="157"/>
    </row>
    <row r="24" spans="1:9" s="542" customFormat="1" ht="12" customHeight="1" x14ac:dyDescent="0.2">
      <c r="A24" s="824" t="s">
        <v>562</v>
      </c>
      <c r="B24" s="825"/>
      <c r="C24" s="823">
        <v>2400</v>
      </c>
      <c r="D24" s="1805"/>
      <c r="E24" s="1807">
        <f>'Expenditures 15-22'!K57-SUM('Expenditures 15-22'!G57,'Expenditures 15-22'!I57)+'Expenditures 15-22'!D261</f>
        <v>289887</v>
      </c>
      <c r="F24" s="1805"/>
      <c r="G24" s="1808">
        <f>'Expenditures 15-22'!K57-SUM('Expenditures 15-22'!G57,'Expenditures 15-22'!I57)+'Expenditures 15-22'!D261</f>
        <v>289887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66013</v>
      </c>
      <c r="E27" s="1807">
        <f>E8</f>
        <v>0</v>
      </c>
      <c r="F27" s="1807">
        <f>'Expenditures 15-22'!K60-SUM('Expenditures 15-22'!G60,'Expenditures 15-22'!I60)+'Expenditures 15-22'!D264-E8</f>
        <v>66013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371157</v>
      </c>
      <c r="F28" s="1809">
        <f>'Expenditures 15-22'!K61-SUM('Expenditures 15-22'!G61,'Expenditures 15-22'!I61)+'Expenditures 15-22'!K124-SUM('Expenditures 15-22'!G124,'Expenditures 15-22'!I124)+'Expenditures 15-22'!D266-E9</f>
        <v>371157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257505</v>
      </c>
      <c r="F29" s="1805"/>
      <c r="G29" s="1808">
        <f>'Expenditures 15-22'!K62-SUM('Expenditures 15-22'!G62,'Expenditures 15-22'!I62)+'Expenditures 15-22'!K125-SUM('Expenditures 15-22'!G125,'Expenditures 15-22'!I125)+'Expenditures 15-22'!K182-SUM('Expenditures 15-22'!G182,'Expenditures 15-22'!I182)+'Expenditures 15-22'!D267</f>
        <v>257505</v>
      </c>
      <c r="H29" s="815"/>
    </row>
    <row r="30" spans="1:9" ht="12" customHeight="1" x14ac:dyDescent="0.2">
      <c r="A30" s="824" t="s">
        <v>100</v>
      </c>
      <c r="B30" s="827"/>
      <c r="C30" s="823">
        <v>2560</v>
      </c>
      <c r="D30" s="1805"/>
      <c r="E30" s="1807">
        <f>'Expenditures 15-22'!K63-SUM('Expenditures 15-22'!G63,'Expenditures 15-22'!I63)+'Expenditures 15-22'!D268-E10</f>
        <v>81229</v>
      </c>
      <c r="F30" s="1805"/>
      <c r="G30" s="1807">
        <f>'Expenditures 15-22'!K63-SUM('Expenditures 15-22'!G63,'Expenditures 15-22'!I63)+'Expenditures 15-22'!D268-E10</f>
        <v>81229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1232</v>
      </c>
      <c r="E36" s="1807">
        <f>E13</f>
        <v>0</v>
      </c>
      <c r="F36" s="1807">
        <f>'Expenditures 15-22'!K70-SUM('Expenditures 15-22'!G70,'Expenditures 15-22'!I70)+'Expenditures 15-22'!D275-E13</f>
        <v>1232</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109</v>
      </c>
      <c r="F39" s="1805"/>
      <c r="G39" s="1807">
        <f>'Expenditures 15-22'!K75-SUM('Expenditures 15-22'!G75,'Expenditures 15-22'!I75)+'Expenditures 15-22'!K130-SUM('Expenditures 15-22'!G130,'Expenditures 15-22'!I130)+'Expenditures 15-22'!K185-SUM('Expenditures 15-22'!G185,'Expenditures 15-22'!I185)+'Expenditures 15-22'!D280</f>
        <v>109</v>
      </c>
    </row>
    <row r="40" spans="1:7" ht="12" customHeight="1" x14ac:dyDescent="0.2">
      <c r="A40" s="820" t="s">
        <v>1798</v>
      </c>
      <c r="B40" s="821"/>
      <c r="C40" s="823"/>
      <c r="D40" s="1805"/>
      <c r="E40" s="1809">
        <f>-'Contracts Paid in CY 29'!F141</f>
        <v>0</v>
      </c>
      <c r="F40" s="1805"/>
      <c r="G40" s="1809">
        <f>-'Contracts Paid in CY 29'!F141</f>
        <v>0</v>
      </c>
    </row>
    <row r="41" spans="1:7" ht="12" customHeight="1" x14ac:dyDescent="0.2">
      <c r="A41" s="828" t="s">
        <v>155</v>
      </c>
      <c r="B41" s="829"/>
      <c r="C41" s="830"/>
      <c r="D41" s="1809">
        <f>SUM(D19:D39)</f>
        <v>67245</v>
      </c>
      <c r="E41" s="1809">
        <f>SUM(E19:E40)</f>
        <v>3444304</v>
      </c>
      <c r="F41" s="1809">
        <f>SUM(F19:F39)</f>
        <v>438402</v>
      </c>
      <c r="G41" s="1809">
        <f>SUM(G19:G40)</f>
        <v>3073147</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67245</v>
      </c>
      <c r="F43" s="1458" t="s">
        <v>470</v>
      </c>
      <c r="G43" s="1810">
        <f>F41</f>
        <v>438402</v>
      </c>
    </row>
    <row r="44" spans="1:7" ht="12" customHeight="1" x14ac:dyDescent="0.2">
      <c r="A44" s="817"/>
      <c r="B44" s="157"/>
      <c r="C44" s="831"/>
      <c r="D44" s="1458" t="s">
        <v>471</v>
      </c>
      <c r="E44" s="1810">
        <f>E41</f>
        <v>3444304</v>
      </c>
      <c r="F44" s="1458" t="s">
        <v>471</v>
      </c>
      <c r="G44" s="1810">
        <f>G41</f>
        <v>3073147</v>
      </c>
    </row>
    <row r="45" spans="1:7" ht="12" customHeight="1" x14ac:dyDescent="0.2">
      <c r="A45" s="817"/>
      <c r="B45" s="157"/>
      <c r="C45" s="157"/>
      <c r="D45" s="1459" t="s">
        <v>999</v>
      </c>
      <c r="E45" s="1811">
        <f>(E43/E44)</f>
        <v>1.9523537992000708E-2</v>
      </c>
      <c r="F45" s="1459" t="s">
        <v>999</v>
      </c>
      <c r="G45" s="1811">
        <f>(G43/G44)</f>
        <v>0.1426557206667953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&amp;LSee notes to financial statements.&amp;C34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Franklin CUSD #1</v>
      </c>
      <c r="D6" s="2405"/>
      <c r="E6" s="2405"/>
      <c r="F6" s="1482"/>
      <c r="G6" s="1507"/>
      <c r="L6" s="1507"/>
      <c r="M6" s="1855"/>
      <c r="N6" s="1855"/>
      <c r="O6" s="1855"/>
    </row>
    <row r="7" spans="1:15" ht="11.25" customHeight="1" thickBot="1" x14ac:dyDescent="0.3">
      <c r="A7" s="1480"/>
      <c r="B7" s="1481"/>
      <c r="C7" s="2406" t="str">
        <f>COVER!A13</f>
        <v>01-069-0010-26</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t="s">
        <v>2051</v>
      </c>
      <c r="F13" s="1497" t="s">
        <v>2075</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t="s">
        <v>2051</v>
      </c>
      <c r="F25" s="1497" t="s">
        <v>2075</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2077</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2051</v>
      </c>
      <c r="D32" s="1495" t="s">
        <v>2051</v>
      </c>
      <c r="E32" s="1498" t="s">
        <v>2051</v>
      </c>
      <c r="F32" s="1497" t="s">
        <v>2078</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&amp;LSee notes to financial statements.&amp;C35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G14" sqref="G1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Franklin CUSD #1</v>
      </c>
      <c r="K6" s="2421"/>
      <c r="L6" s="2422"/>
      <c r="M6" s="838"/>
      <c r="N6" s="1999"/>
    </row>
    <row r="7" spans="1:14" x14ac:dyDescent="0.2">
      <c r="A7" s="2423" t="s">
        <v>864</v>
      </c>
      <c r="B7" s="2424"/>
      <c r="C7" s="2424"/>
      <c r="D7" s="2424"/>
      <c r="E7" s="2425"/>
      <c r="F7" s="839"/>
      <c r="G7" s="838"/>
      <c r="H7" s="838"/>
      <c r="I7" s="1925" t="s">
        <v>369</v>
      </c>
      <c r="J7" s="2426" t="str">
        <f>COVER!A13</f>
        <v>01-069-0010-26</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111419</v>
      </c>
      <c r="F12" s="1943"/>
      <c r="G12" s="1969">
        <f>G68</f>
        <v>0</v>
      </c>
      <c r="H12" s="1945">
        <f t="shared" ref="H12:H18" si="0">SUM(E12:G12)</f>
        <v>111419</v>
      </c>
      <c r="I12" s="1944">
        <v>144700</v>
      </c>
      <c r="J12" s="1943"/>
      <c r="K12" s="1944"/>
      <c r="L12" s="1945">
        <f t="shared" ref="L12:L18" si="1">SUM(I12:K12)</f>
        <v>144700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57662</v>
      </c>
      <c r="F14" s="1943"/>
      <c r="G14" s="1969">
        <f>I68</f>
        <v>0</v>
      </c>
      <c r="H14" s="1945">
        <f t="shared" si="0"/>
        <v>57662</v>
      </c>
      <c r="I14" s="1944">
        <v>32827</v>
      </c>
      <c r="J14" s="1943"/>
      <c r="K14" s="1944"/>
      <c r="L14" s="1945">
        <f t="shared" si="1"/>
        <v>32827</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169081</v>
      </c>
      <c r="F19" s="1951">
        <f t="shared" si="2"/>
        <v>0</v>
      </c>
      <c r="G19" s="1951">
        <f t="shared" ref="G19" si="3">SUM(G12:G17)-G18</f>
        <v>0</v>
      </c>
      <c r="H19" s="1951">
        <f t="shared" si="2"/>
        <v>169081</v>
      </c>
      <c r="I19" s="1951">
        <f t="shared" si="2"/>
        <v>177527</v>
      </c>
      <c r="J19" s="1951">
        <f t="shared" si="2"/>
        <v>0</v>
      </c>
      <c r="K19" s="1951">
        <f t="shared" si="2"/>
        <v>0</v>
      </c>
      <c r="L19" s="1951">
        <f t="shared" si="2"/>
        <v>177527</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4.9952389683051317E-2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Franklin CUSD #1</v>
      </c>
      <c r="M52" s="2421"/>
      <c r="N52" s="2451"/>
    </row>
    <row r="53" spans="1:14" x14ac:dyDescent="0.2">
      <c r="A53" s="1983"/>
      <c r="B53" s="1984"/>
      <c r="C53" s="1984"/>
      <c r="D53" s="1984"/>
      <c r="E53" s="1984"/>
      <c r="F53" s="1984"/>
      <c r="G53" s="1984"/>
      <c r="H53" s="1984"/>
      <c r="I53" s="1984"/>
      <c r="J53" s="1984"/>
      <c r="K53" s="1925" t="s">
        <v>369</v>
      </c>
      <c r="L53" s="2426" t="str">
        <f>J7</f>
        <v>01-069-0010-26</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20925</v>
      </c>
      <c r="F58" s="1973"/>
      <c r="G58" s="2032"/>
      <c r="H58" s="2033"/>
      <c r="I58" s="2033"/>
      <c r="J58" s="2033"/>
      <c r="K58" s="2033"/>
      <c r="L58" s="2033"/>
      <c r="M58" s="2033">
        <v>20925</v>
      </c>
      <c r="N58" s="1976">
        <f>IF((SUM(G58:M58))=E58,SUM(G58:M58),"Column N does not agree with Column E")</f>
        <v>20925</v>
      </c>
    </row>
    <row r="59" spans="1:14" ht="24.75" customHeight="1" x14ac:dyDescent="0.2">
      <c r="A59" s="2462" t="s">
        <v>297</v>
      </c>
      <c r="B59" s="2463"/>
      <c r="C59" s="246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2" t="s">
        <v>236</v>
      </c>
      <c r="B60" s="2463"/>
      <c r="C60" s="2463"/>
      <c r="D60" s="1968">
        <v>2364</v>
      </c>
      <c r="E60" s="1978">
        <f>'Expenditures 15-22'!K322</f>
        <v>1668</v>
      </c>
      <c r="F60" s="1973"/>
      <c r="G60" s="2032"/>
      <c r="H60" s="2033"/>
      <c r="I60" s="2033"/>
      <c r="J60" s="2033"/>
      <c r="K60" s="2033"/>
      <c r="L60" s="2033"/>
      <c r="M60" s="2033">
        <v>1668</v>
      </c>
      <c r="N60" s="1976">
        <f t="shared" ref="N60:N67" si="4">IF((SUM(G60:M60))=E60,SUM(G60:M60),"Column N does not agree with Column E")</f>
        <v>1668</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0</v>
      </c>
      <c r="F63" s="1973"/>
      <c r="G63" s="2032"/>
      <c r="H63" s="2033"/>
      <c r="I63" s="2033"/>
      <c r="J63" s="2033"/>
      <c r="K63" s="2033"/>
      <c r="L63" s="2033"/>
      <c r="M63" s="2033"/>
      <c r="N63" s="1976">
        <f t="shared" si="4"/>
        <v>0</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0</v>
      </c>
      <c r="F65" s="1973"/>
      <c r="G65" s="2032"/>
      <c r="H65" s="2033"/>
      <c r="I65" s="2033"/>
      <c r="J65" s="2033"/>
      <c r="K65" s="2033"/>
      <c r="L65" s="2033"/>
      <c r="M65" s="2033"/>
      <c r="N65" s="1976">
        <f t="shared" si="4"/>
        <v>0</v>
      </c>
    </row>
    <row r="66" spans="1:14" ht="24" customHeight="1" x14ac:dyDescent="0.2">
      <c r="A66" s="2462" t="s">
        <v>469</v>
      </c>
      <c r="B66" s="2463"/>
      <c r="C66" s="2463"/>
      <c r="D66" s="1968">
        <v>2371</v>
      </c>
      <c r="E66" s="1978">
        <f>'Expenditures 15-22'!K328</f>
        <v>15572</v>
      </c>
      <c r="F66" s="1973"/>
      <c r="G66" s="2032"/>
      <c r="H66" s="2033"/>
      <c r="I66" s="2033"/>
      <c r="J66" s="2033"/>
      <c r="K66" s="2033"/>
      <c r="L66" s="2033"/>
      <c r="M66" s="2033">
        <v>15572</v>
      </c>
      <c r="N66" s="1976">
        <f t="shared" si="4"/>
        <v>15572</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38165</v>
      </c>
      <c r="F68" s="1974"/>
      <c r="G68" s="1975">
        <f t="shared" ref="G68:N68" si="5">SUM(G57:G67)</f>
        <v>0</v>
      </c>
      <c r="H68" s="1975">
        <f t="shared" si="5"/>
        <v>0</v>
      </c>
      <c r="I68" s="1975">
        <f t="shared" si="5"/>
        <v>0</v>
      </c>
      <c r="J68" s="1975">
        <f t="shared" si="5"/>
        <v>0</v>
      </c>
      <c r="K68" s="1975">
        <f t="shared" si="5"/>
        <v>0</v>
      </c>
      <c r="L68" s="1975">
        <f t="shared" si="5"/>
        <v>0</v>
      </c>
      <c r="M68" s="1975">
        <f t="shared" si="5"/>
        <v>38165</v>
      </c>
      <c r="N68" s="1989">
        <f t="shared" si="5"/>
        <v>38165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differentFirst="1">
    <oddHeader>&amp;RPage &amp;P</oddHeader>
    <oddFooter>&amp;LSee notes to financial statements.&amp;C37</oddFooter>
    <firstFooter>&amp;LSee notes to financial statements.&amp;C36</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G21" sqref="G2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2113</v>
      </c>
    </row>
    <row r="6" spans="1:2" x14ac:dyDescent="0.2">
      <c r="A6" s="847"/>
      <c r="B6" s="307" t="s">
        <v>2081</v>
      </c>
    </row>
    <row r="7" spans="1:2" x14ac:dyDescent="0.2">
      <c r="A7" s="847"/>
    </row>
    <row r="8" spans="1:2" x14ac:dyDescent="0.2">
      <c r="A8" s="847">
        <v>2</v>
      </c>
      <c r="B8" s="307" t="s">
        <v>2079</v>
      </c>
    </row>
    <row r="9" spans="1:2" x14ac:dyDescent="0.2">
      <c r="A9" s="848"/>
      <c r="B9" s="307" t="s">
        <v>2080</v>
      </c>
    </row>
    <row r="10" spans="1:2" x14ac:dyDescent="0.2">
      <c r="A10" s="848"/>
    </row>
    <row r="11" spans="1:2" x14ac:dyDescent="0.2">
      <c r="A11" s="848">
        <v>3</v>
      </c>
      <c r="B11" s="307" t="s">
        <v>2114</v>
      </c>
    </row>
    <row r="12" spans="1:2" x14ac:dyDescent="0.2">
      <c r="A12" s="848"/>
      <c r="B12" s="307" t="s">
        <v>2082</v>
      </c>
    </row>
    <row r="13" spans="1:2" x14ac:dyDescent="0.2">
      <c r="A13" s="848"/>
    </row>
    <row r="14" spans="1:2" x14ac:dyDescent="0.2">
      <c r="A14" s="848">
        <v>4</v>
      </c>
      <c r="B14" s="307" t="s">
        <v>2115</v>
      </c>
    </row>
    <row r="15" spans="1:2" x14ac:dyDescent="0.2">
      <c r="A15" s="848"/>
      <c r="B15" s="307" t="s">
        <v>2083</v>
      </c>
    </row>
    <row r="16" spans="1:2" x14ac:dyDescent="0.2">
      <c r="A16" s="848"/>
      <c r="B16" s="307" t="s">
        <v>2084</v>
      </c>
    </row>
    <row r="17" spans="1:2" x14ac:dyDescent="0.2">
      <c r="A17" s="848"/>
    </row>
    <row r="18" spans="1:2" x14ac:dyDescent="0.2">
      <c r="A18" s="848">
        <v>5</v>
      </c>
      <c r="B18" s="307" t="s">
        <v>2085</v>
      </c>
    </row>
    <row r="19" spans="1:2" x14ac:dyDescent="0.2">
      <c r="A19" s="848"/>
      <c r="B19" s="307" t="s">
        <v>2086</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row>
    <row r="62" spans="1:2" x14ac:dyDescent="0.2">
      <c r="B62" s="849" t="str">
        <f>COVER!A13</f>
        <v>01-069-0010-26</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&amp;LSee notes to financial statements.&amp;C38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scaleWithDoc="0">
    <oddFooter xml:space="preserve">&amp;LSee notes to financial statements.&amp;C5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5:F26"/>
  <sheetViews>
    <sheetView showGridLines="0" zoomScale="110" zoomScaleNormal="110" workbookViewId="0">
      <selection activeCell="A17" sqref="A17"/>
    </sheetView>
  </sheetViews>
  <sheetFormatPr defaultColWidth="9.140625" defaultRowHeight="12.75" x14ac:dyDescent="0.2"/>
  <cols>
    <col min="1" max="1" width="1.85546875" style="307" customWidth="1"/>
    <col min="2" max="2" width="59.7109375" style="307" customWidth="1"/>
    <col min="3" max="16384" width="9.140625" style="307"/>
  </cols>
  <sheetData>
    <row r="15" spans="2:6" x14ac:dyDescent="0.2">
      <c r="B15" s="850"/>
      <c r="C15" s="850"/>
      <c r="D15" s="850"/>
      <c r="E15" s="850"/>
      <c r="F15" s="850"/>
    </row>
    <row r="16" spans="2:6" x14ac:dyDescent="0.2">
      <c r="B16" s="850"/>
      <c r="C16" s="850"/>
      <c r="D16" s="850"/>
      <c r="E16" s="850"/>
      <c r="F16" s="850"/>
    </row>
    <row r="17" spans="1:6" x14ac:dyDescent="0.2">
      <c r="B17" s="850"/>
      <c r="C17" s="850"/>
      <c r="D17" s="850"/>
      <c r="E17" s="850"/>
      <c r="F17" s="850"/>
    </row>
    <row r="18" spans="1:6" x14ac:dyDescent="0.2">
      <c r="B18" s="850"/>
      <c r="C18" s="850"/>
      <c r="D18" s="850"/>
      <c r="E18" s="850"/>
      <c r="F18" s="850"/>
    </row>
    <row r="19" spans="1:6" x14ac:dyDescent="0.2">
      <c r="B19" s="850"/>
      <c r="C19" s="850"/>
      <c r="D19" s="850"/>
      <c r="E19" s="850"/>
      <c r="F19" s="850"/>
    </row>
    <row r="21" spans="1:6" x14ac:dyDescent="0.2">
      <c r="A21" s="851" t="s">
        <v>1476</v>
      </c>
    </row>
    <row r="23" spans="1:6" x14ac:dyDescent="0.2">
      <c r="A23" s="366" t="s">
        <v>852</v>
      </c>
    </row>
    <row r="24" spans="1:6" s="850" customFormat="1" ht="45" customHeight="1" x14ac:dyDescent="0.2">
      <c r="A24" s="852"/>
      <c r="B24" s="852" t="s">
        <v>1973</v>
      </c>
    </row>
    <row r="25" spans="1:6" ht="6" customHeight="1" x14ac:dyDescent="0.2"/>
    <row r="26" spans="1:6" ht="24.75" customHeight="1" x14ac:dyDescent="0.2">
      <c r="A26" s="2468" t="s">
        <v>1665</v>
      </c>
      <c r="B26" s="2468"/>
    </row>
  </sheetData>
  <sheetProtection selectLockedCells="1"/>
  <mergeCells count="1">
    <mergeCell ref="A26:B26"/>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44"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4044" r:id="rId4"/>
      </mc:Fallback>
    </mc:AlternateContent>
    <mc:AlternateContent xmlns:mc="http://schemas.openxmlformats.org/markup-compatibility/2006">
      <mc:Choice Requires="x14">
        <oleObject progId="Acrobat Document" dvAspect="DVASPECT_ICON" shapeId="44045" r:id="rId6">
          <objectPr defaultSize="0" r:id="rId7">
            <anchor moveWithCells="1">
              <from>
                <xdr:col>0</xdr:col>
                <xdr:colOff>0</xdr:colOff>
                <xdr:row>6</xdr:row>
                <xdr:rowOff>0</xdr:rowOff>
              </from>
              <to>
                <xdr:col>1</xdr:col>
                <xdr:colOff>790575</xdr:colOff>
                <xdr:row>10</xdr:row>
                <xdr:rowOff>38100</xdr:rowOff>
              </to>
            </anchor>
          </objectPr>
        </oleObject>
      </mc:Choice>
      <mc:Fallback>
        <oleObject progId="Acrobat Document" dvAspect="DVASPECT_ICON" shapeId="44045" r:id="rId6"/>
      </mc:Fallback>
    </mc:AlternateContent>
    <mc:AlternateContent xmlns:mc="http://schemas.openxmlformats.org/markup-compatibility/2006">
      <mc:Choice Requires="x14">
        <oleObject progId="Acrobat Document" dvAspect="DVASPECT_ICON" shapeId="44046" r:id="rId8">
          <objectPr defaultSize="0" r:id="rId9">
            <anchor moveWithCells="1">
              <from>
                <xdr:col>0</xdr:col>
                <xdr:colOff>0</xdr:colOff>
                <xdr:row>11</xdr:row>
                <xdr:rowOff>0</xdr:rowOff>
              </from>
              <to>
                <xdr:col>1</xdr:col>
                <xdr:colOff>790575</xdr:colOff>
                <xdr:row>15</xdr:row>
                <xdr:rowOff>38100</xdr:rowOff>
              </to>
            </anchor>
          </objectPr>
        </oleObject>
      </mc:Choice>
      <mc:Fallback>
        <oleObject progId="Acrobat Document" dvAspect="DVASPECT_ICON" shapeId="44046" r:id="rId8"/>
      </mc:Fallback>
    </mc:AlternateContent>
    <mc:AlternateContent xmlns:mc="http://schemas.openxmlformats.org/markup-compatibility/2006">
      <mc:Choice Requires="x14">
        <oleObject progId="Acrobat Document" dvAspect="DVASPECT_ICON" shapeId="44047" r:id="rId10">
          <objectPr defaultSize="0" r:id="rId11">
            <anchor moveWithCells="1">
              <from>
                <xdr:col>0</xdr:col>
                <xdr:colOff>0</xdr:colOff>
                <xdr:row>16</xdr:row>
                <xdr:rowOff>0</xdr:rowOff>
              </from>
              <to>
                <xdr:col>1</xdr:col>
                <xdr:colOff>790575</xdr:colOff>
                <xdr:row>20</xdr:row>
                <xdr:rowOff>38100</xdr:rowOff>
              </to>
            </anchor>
          </objectPr>
        </oleObject>
      </mc:Choice>
      <mc:Fallback>
        <oleObject progId="Acrobat Document" dvAspect="DVASPECT_ICON" shapeId="44047"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14" sqref="B1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3026504</v>
      </c>
      <c r="C8" s="1813">
        <f>'Acct Summary 7-8'!D8</f>
        <v>617703</v>
      </c>
      <c r="D8" s="1813">
        <f>'Acct Summary 7-8'!F8</f>
        <v>263097</v>
      </c>
      <c r="E8" s="1813">
        <f>'Acct Summary 7-8'!I8</f>
        <v>42794</v>
      </c>
      <c r="F8" s="1813">
        <f>SUM(B8:E8)</f>
        <v>3950098</v>
      </c>
    </row>
    <row r="9" spans="1:8" s="858" customFormat="1" ht="14.25" customHeight="1" thickBot="1" x14ac:dyDescent="0.25">
      <c r="A9" s="857" t="s">
        <v>1353</v>
      </c>
      <c r="B9" s="1814">
        <f>'Acct Summary 7-8'!C17</f>
        <v>3112381</v>
      </c>
      <c r="C9" s="1814">
        <f>'Acct Summary 7-8'!D17</f>
        <v>359441</v>
      </c>
      <c r="D9" s="1814">
        <f>'Acct Summary 7-8'!F17</f>
        <v>229313</v>
      </c>
      <c r="E9" s="1813"/>
      <c r="F9" s="1813">
        <f>SUM(B9:E9)</f>
        <v>3701135</v>
      </c>
    </row>
    <row r="10" spans="1:8" s="858" customFormat="1" ht="14.25" thickTop="1" thickBot="1" x14ac:dyDescent="0.25">
      <c r="A10" s="859" t="s">
        <v>1354</v>
      </c>
      <c r="B10" s="1815">
        <f>(B8-B9)</f>
        <v>-85877</v>
      </c>
      <c r="C10" s="1815">
        <f>(C8-C9)</f>
        <v>258262</v>
      </c>
      <c r="D10" s="1815">
        <f>(D8-D9)</f>
        <v>33784</v>
      </c>
      <c r="E10" s="1814">
        <f>(E8-E9)</f>
        <v>42794</v>
      </c>
      <c r="F10" s="1816">
        <f>SUM(F8-F9)</f>
        <v>248963</v>
      </c>
    </row>
    <row r="11" spans="1:8" s="858" customFormat="1" ht="14.25" thickTop="1" thickBot="1" x14ac:dyDescent="0.25">
      <c r="A11" s="860" t="s">
        <v>1903</v>
      </c>
      <c r="B11" s="1817">
        <f>'Acct Summary 7-8'!C81</f>
        <v>592179</v>
      </c>
      <c r="C11" s="1817">
        <f>'Acct Summary 7-8'!D81</f>
        <v>51601</v>
      </c>
      <c r="D11" s="1817">
        <f>'Acct Summary 7-8'!F81</f>
        <v>1024530</v>
      </c>
      <c r="E11" s="1817">
        <f>'Acct Summary 7-8'!I81</f>
        <v>1286274</v>
      </c>
      <c r="F11" s="1818">
        <f>SUM(B11:E11)</f>
        <v>2954584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&amp;LSee notes to financial statements.&amp;C37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0"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29'!$D$141&gt;0,"OK","PLEASE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01-069-0010-26</v>
      </c>
      <c r="E2" s="1542">
        <v>2020</v>
      </c>
      <c r="F2" s="1542">
        <v>1</v>
      </c>
      <c r="G2" s="1899">
        <v>101000300</v>
      </c>
    </row>
    <row r="3" spans="1:7" ht="15" x14ac:dyDescent="0.25">
      <c r="A3" t="s">
        <v>950</v>
      </c>
      <c r="B3" s="135" t="str">
        <f>COVER!A15</f>
        <v>Morgan</v>
      </c>
      <c r="E3" s="1830" t="s">
        <v>1971</v>
      </c>
      <c r="F3" s="1830" t="s">
        <v>1970</v>
      </c>
      <c r="G3" s="1899">
        <v>101000400</v>
      </c>
    </row>
    <row r="4" spans="1:7" ht="15" x14ac:dyDescent="0.25">
      <c r="A4" t="s">
        <v>1000</v>
      </c>
      <c r="B4" s="135" t="str">
        <f>COVER!A17</f>
        <v>Franklin CUSD #1</v>
      </c>
      <c r="E4" s="1828">
        <v>44119</v>
      </c>
      <c r="F4" s="1829">
        <v>44151</v>
      </c>
      <c r="G4" s="1899">
        <v>101000600</v>
      </c>
    </row>
    <row r="5" spans="1:7" ht="15" x14ac:dyDescent="0.25">
      <c r="A5" t="s">
        <v>699</v>
      </c>
      <c r="B5" s="135" t="str">
        <f>COVER!A38</f>
        <v>Curt Simonson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66.005100999999996</v>
      </c>
      <c r="G15" s="1899">
        <v>402100400</v>
      </c>
    </row>
    <row r="16" spans="1:7" ht="15" x14ac:dyDescent="0.25">
      <c r="A16" t="s">
        <v>419</v>
      </c>
      <c r="B16" s="135" t="str">
        <f>COVER!T13</f>
        <v>Scheffel Boyle</v>
      </c>
      <c r="G16" s="1899">
        <v>402100600</v>
      </c>
    </row>
    <row r="17" spans="1:7" ht="15" x14ac:dyDescent="0.25">
      <c r="A17" t="s">
        <v>878</v>
      </c>
      <c r="B17" s="135" t="str">
        <f>COVER!T15</f>
        <v>Danny Phipps</v>
      </c>
      <c r="G17" s="1899">
        <v>402100800</v>
      </c>
    </row>
    <row r="18" spans="1:7" ht="15" x14ac:dyDescent="0.25">
      <c r="A18" t="s">
        <v>1140</v>
      </c>
      <c r="B18" s="135" t="str">
        <f>COVER!T17</f>
        <v>106 W. County Road</v>
      </c>
      <c r="G18" s="1899">
        <v>102200300</v>
      </c>
    </row>
    <row r="19" spans="1:7" ht="15" x14ac:dyDescent="0.25">
      <c r="A19" t="s">
        <v>880</v>
      </c>
      <c r="B19" s="135" t="str">
        <f>COVER!T25</f>
        <v>danny.phipps@scheffelboyle.com</v>
      </c>
      <c r="G19" s="1899">
        <v>102200400</v>
      </c>
    </row>
    <row r="20" spans="1:7" ht="15" x14ac:dyDescent="0.25">
      <c r="A20" t="s">
        <v>881</v>
      </c>
      <c r="B20" s="135" t="str">
        <f>COVER!T19</f>
        <v>Jerseyville</v>
      </c>
      <c r="G20" s="1899">
        <v>102200600</v>
      </c>
    </row>
    <row r="21" spans="1:7" ht="15" x14ac:dyDescent="0.25">
      <c r="A21" t="s">
        <v>476</v>
      </c>
      <c r="B21" s="135" t="str">
        <f>COVER!X19</f>
        <v>IL</v>
      </c>
      <c r="G21" s="1899">
        <v>102200800</v>
      </c>
    </row>
    <row r="22" spans="1:7" ht="15" x14ac:dyDescent="0.25">
      <c r="A22" t="s">
        <v>882</v>
      </c>
      <c r="B22" s="135">
        <f>COVER!Z19</f>
        <v>62052</v>
      </c>
      <c r="G22" s="1899">
        <v>102300300</v>
      </c>
    </row>
    <row r="23" spans="1:7" ht="15" x14ac:dyDescent="0.25">
      <c r="A23" t="s">
        <v>1142</v>
      </c>
      <c r="B23" s="135" t="str">
        <f>COVER!T21</f>
        <v>618-498-6841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35370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325058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1431069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826840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838890</v>
      </c>
      <c r="C91" s="2" t="s">
        <v>569</v>
      </c>
      <c r="D91" s="2" t="str">
        <f t="shared" si="0"/>
        <v>Error?</v>
      </c>
      <c r="G91" s="1899">
        <v>102640400</v>
      </c>
    </row>
    <row r="92" spans="1:7" ht="15" x14ac:dyDescent="0.25">
      <c r="A92" s="5">
        <v>31</v>
      </c>
      <c r="B92" s="1832">
        <f>'Assets-Liab 5-6'!C39</f>
        <v>592179</v>
      </c>
      <c r="D92" s="2" t="str">
        <f t="shared" si="0"/>
        <v>Error?</v>
      </c>
      <c r="G92" s="1899">
        <v>102640600</v>
      </c>
    </row>
    <row r="93" spans="1:7" ht="15" x14ac:dyDescent="0.25">
      <c r="A93" s="5">
        <v>32</v>
      </c>
      <c r="B93" s="1832">
        <f>'Assets-Liab 5-6'!C41</f>
        <v>1431069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26170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157773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106172</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106172</v>
      </c>
      <c r="C122" s="2" t="s">
        <v>569</v>
      </c>
      <c r="D122" s="2" t="str">
        <f t="shared" si="0"/>
        <v>Error?</v>
      </c>
      <c r="G122" s="1899">
        <v>203000300</v>
      </c>
    </row>
    <row r="123" spans="1:7" ht="15" x14ac:dyDescent="0.25">
      <c r="A123" s="5">
        <v>62</v>
      </c>
      <c r="B123" s="1832">
        <f>'Assets-Liab 5-6'!D39</f>
        <v>51601</v>
      </c>
      <c r="D123" s="2" t="str">
        <f t="shared" si="0"/>
        <v>Error?</v>
      </c>
      <c r="G123" s="1899">
        <v>203000400</v>
      </c>
    </row>
    <row r="124" spans="1:7" ht="15" x14ac:dyDescent="0.25">
      <c r="A124" s="5">
        <v>63</v>
      </c>
      <c r="B124" s="1832">
        <f>'Assets-Liab 5-6'!D41</f>
        <v>157773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84957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83889</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83889</v>
      </c>
      <c r="C139" s="2" t="s">
        <v>569</v>
      </c>
      <c r="D139" s="2" t="str">
        <f t="shared" si="1"/>
        <v>Error?</v>
      </c>
    </row>
    <row r="140" spans="1:7" x14ac:dyDescent="0.2">
      <c r="A140" s="5">
        <v>79</v>
      </c>
      <c r="B140" s="1832">
        <f>'Assets-Liab 5-6'!E39</f>
        <v>1068</v>
      </c>
      <c r="D140" s="2" t="str">
        <f t="shared" si="1"/>
        <v>Error?</v>
      </c>
    </row>
    <row r="141" spans="1:7" x14ac:dyDescent="0.2">
      <c r="A141" s="5">
        <v>80</v>
      </c>
      <c r="B141" s="1832">
        <f>'Assets-Liab 5-6'!E41</f>
        <v>84957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840000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1055728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31198</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31198</v>
      </c>
      <c r="C169" s="2" t="s">
        <v>569</v>
      </c>
      <c r="D169" s="2" t="str">
        <f t="shared" si="1"/>
        <v>Error?</v>
      </c>
    </row>
    <row r="170" spans="1:4" x14ac:dyDescent="0.2">
      <c r="A170" s="5">
        <v>109</v>
      </c>
      <c r="B170" s="1832">
        <f>'Assets-Liab 5-6'!F39</f>
        <v>1024530</v>
      </c>
      <c r="D170" s="2" t="str">
        <f t="shared" si="1"/>
        <v>Error?</v>
      </c>
    </row>
    <row r="171" spans="1:4" x14ac:dyDescent="0.2">
      <c r="A171" s="5">
        <v>110</v>
      </c>
      <c r="B171" s="1832">
        <f>'Assets-Liab 5-6'!F41</f>
        <v>1055728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35000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124570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66066</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66066</v>
      </c>
      <c r="C188" s="2" t="s">
        <v>569</v>
      </c>
      <c r="D188" s="2" t="str">
        <f t="shared" si="1"/>
        <v>Error?</v>
      </c>
    </row>
    <row r="189" spans="1:4" x14ac:dyDescent="0.2">
      <c r="A189" s="5">
        <v>128</v>
      </c>
      <c r="B189" s="1832">
        <f>'Assets-Liab 5-6'!G39</f>
        <v>58504</v>
      </c>
      <c r="D189" s="2" t="str">
        <f t="shared" si="1"/>
        <v>Error?</v>
      </c>
    </row>
    <row r="190" spans="1:4" x14ac:dyDescent="0.2">
      <c r="A190" s="5">
        <v>129</v>
      </c>
      <c r="B190" s="1832">
        <f>'Assets-Liab 5-6'!G41</f>
        <v>124570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1000000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1402432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512340</v>
      </c>
      <c r="D212" s="2" t="str">
        <f t="shared" si="2"/>
        <v>Error?</v>
      </c>
    </row>
    <row r="213" spans="1:4" x14ac:dyDescent="0.2">
      <c r="A213" s="12">
        <v>152</v>
      </c>
      <c r="B213" s="1832">
        <f>'Assets-Liab 5-6'!H41</f>
        <v>1402432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95656</v>
      </c>
      <c r="D273" s="2" t="str">
        <f t="shared" si="3"/>
        <v>Error?</v>
      </c>
    </row>
    <row r="274" spans="1:4" x14ac:dyDescent="0.2">
      <c r="A274" s="5">
        <v>213</v>
      </c>
      <c r="B274" s="1832">
        <f>'Assets-Liab 5-6'!M17</f>
        <v>7449648</v>
      </c>
      <c r="D274" s="2" t="str">
        <f t="shared" si="3"/>
        <v>Error?</v>
      </c>
    </row>
    <row r="275" spans="1:4" x14ac:dyDescent="0.2">
      <c r="A275" s="5">
        <v>214</v>
      </c>
      <c r="B275" s="1832">
        <f>'Assets-Liab 5-6'!M18</f>
        <v>61878</v>
      </c>
      <c r="D275" s="2" t="str">
        <f t="shared" si="3"/>
        <v>Error?</v>
      </c>
    </row>
    <row r="276" spans="1:4" x14ac:dyDescent="0.2">
      <c r="A276" s="5">
        <v>215</v>
      </c>
      <c r="B276" s="1832">
        <f>'Assets-Liab 5-6'!M19</f>
        <v>2001120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9608302</v>
      </c>
      <c r="C279" s="2" t="s">
        <v>569</v>
      </c>
      <c r="D279" s="2" t="str">
        <f t="shared" si="3"/>
        <v>Error?</v>
      </c>
    </row>
    <row r="280" spans="1:4" x14ac:dyDescent="0.2">
      <c r="A280" s="5">
        <v>219</v>
      </c>
      <c r="B280" s="1832">
        <f>'Assets-Liab 5-6'!M40</f>
        <v>9608302</v>
      </c>
      <c r="D280" s="2" t="str">
        <f t="shared" si="3"/>
        <v>Error?</v>
      </c>
    </row>
    <row r="281" spans="1:4" x14ac:dyDescent="0.2">
      <c r="A281" s="5">
        <v>220</v>
      </c>
      <c r="B281" s="1832">
        <f>'Assets-Liab 5-6'!M41</f>
        <v>9608302</v>
      </c>
      <c r="C281" s="2" t="s">
        <v>569</v>
      </c>
      <c r="D281" s="2" t="str">
        <f t="shared" si="3"/>
        <v>Error?</v>
      </c>
    </row>
    <row r="282" spans="1:4" x14ac:dyDescent="0.2">
      <c r="A282" s="5">
        <v>221</v>
      </c>
      <c r="B282" s="1832">
        <f>'Assets-Liab 5-6'!N21</f>
        <v>1068</v>
      </c>
      <c r="D282" s="2" t="str">
        <f t="shared" si="3"/>
        <v>Error?</v>
      </c>
    </row>
    <row r="283" spans="1:4" x14ac:dyDescent="0.2">
      <c r="A283" s="5">
        <v>222</v>
      </c>
      <c r="B283" s="1832">
        <f>'Assets-Liab 5-6'!N22</f>
        <v>6133932</v>
      </c>
      <c r="D283" s="2" t="str">
        <f t="shared" si="3"/>
        <v>Error?</v>
      </c>
    </row>
    <row r="284" spans="1:4" x14ac:dyDescent="0.2">
      <c r="A284" s="5">
        <v>223</v>
      </c>
      <c r="B284" s="1832">
        <f>'Assets-Liab 5-6'!N23</f>
        <v>6135000</v>
      </c>
      <c r="C284" s="2" t="s">
        <v>569</v>
      </c>
      <c r="D284" s="2" t="str">
        <f t="shared" si="3"/>
        <v>Error?</v>
      </c>
    </row>
    <row r="285" spans="1:4" x14ac:dyDescent="0.2">
      <c r="A285" s="5">
        <v>224</v>
      </c>
      <c r="B285" s="1832">
        <f>'Assets-Liab 5-6'!N36</f>
        <v>6135000</v>
      </c>
      <c r="D285" s="2" t="str">
        <f t="shared" si="3"/>
        <v>Error?</v>
      </c>
    </row>
    <row r="286" spans="1:4" x14ac:dyDescent="0.2">
      <c r="A286" s="10">
        <v>225</v>
      </c>
      <c r="B286" s="1832"/>
      <c r="D286" s="2" t="str">
        <f t="shared" si="3"/>
        <v>OK</v>
      </c>
    </row>
    <row r="287" spans="1:4" x14ac:dyDescent="0.2">
      <c r="A287" s="5">
        <v>226</v>
      </c>
      <c r="B287" s="1832">
        <f>'Assets-Liab 5-6'!N37</f>
        <v>6135000</v>
      </c>
      <c r="C287" s="2" t="s">
        <v>569</v>
      </c>
      <c r="D287" s="2" t="str">
        <f t="shared" si="3"/>
        <v>Error?</v>
      </c>
    </row>
    <row r="288" spans="1:4" x14ac:dyDescent="0.2">
      <c r="A288" s="5">
        <v>227</v>
      </c>
      <c r="B288" s="1832">
        <f>'Assets-Liab 5-6'!N41</f>
        <v>6135000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1083311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42680</v>
      </c>
      <c r="D717" s="2" t="str">
        <f t="shared" si="10"/>
        <v>Error?</v>
      </c>
    </row>
    <row r="718" spans="1:4" x14ac:dyDescent="0.2">
      <c r="A718" s="5">
        <v>657</v>
      </c>
      <c r="B718" s="1832">
        <f>'Expenditures 15-22'!C14</f>
        <v>46518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1476999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64468</v>
      </c>
      <c r="D722" s="2" t="str">
        <f t="shared" si="10"/>
        <v>Error?</v>
      </c>
    </row>
    <row r="723" spans="1:4" x14ac:dyDescent="0.2">
      <c r="A723" s="5">
        <v>662</v>
      </c>
      <c r="B723" s="1832">
        <f>'Expenditures 15-22'!C38</f>
        <v>11794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42293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118555</v>
      </c>
      <c r="C727" s="2" t="s">
        <v>569</v>
      </c>
      <c r="D727" s="2" t="str">
        <f t="shared" si="10"/>
        <v>Error?</v>
      </c>
    </row>
    <row r="728" spans="1:4" x14ac:dyDescent="0.2">
      <c r="A728" s="5">
        <v>667</v>
      </c>
      <c r="B728" s="1832">
        <f>'Expenditures 15-22'!C44</f>
        <v>1080</v>
      </c>
      <c r="D728" s="2" t="str">
        <f t="shared" si="10"/>
        <v>Error?</v>
      </c>
    </row>
    <row r="729" spans="1:4" x14ac:dyDescent="0.2">
      <c r="A729" s="5">
        <v>668</v>
      </c>
      <c r="B729" s="1832">
        <f>'Expenditures 15-22'!C45</f>
        <v>24261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25341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105083</v>
      </c>
      <c r="D733" s="2" t="str">
        <f t="shared" si="10"/>
        <v>Error?</v>
      </c>
    </row>
    <row r="734" spans="1:4" x14ac:dyDescent="0.2">
      <c r="A734" s="5">
        <v>673</v>
      </c>
      <c r="B734" s="1832">
        <f>'Expenditures 15-22'!C53</f>
        <v>105083</v>
      </c>
      <c r="C734" s="2" t="s">
        <v>569</v>
      </c>
      <c r="D734" s="2" t="str">
        <f t="shared" si="10"/>
        <v>Error?</v>
      </c>
    </row>
    <row r="735" spans="1:4" x14ac:dyDescent="0.2">
      <c r="A735" s="5">
        <v>674</v>
      </c>
      <c r="B735" s="1832">
        <f>'Expenditures 15-22'!C55</f>
        <v>154978</v>
      </c>
      <c r="D735" s="2" t="str">
        <f t="shared" si="10"/>
        <v>Error?</v>
      </c>
    </row>
    <row r="736" spans="1:4" x14ac:dyDescent="0.2">
      <c r="A736" s="5">
        <v>675</v>
      </c>
      <c r="B736" s="1832">
        <f>'Expenditures 15-22'!C56</f>
        <v>55320</v>
      </c>
      <c r="D736" s="2" t="str">
        <f t="shared" si="10"/>
        <v>Error?</v>
      </c>
    </row>
    <row r="737" spans="1:4" x14ac:dyDescent="0.2">
      <c r="A737" s="5">
        <v>676</v>
      </c>
      <c r="B737" s="1832">
        <f>'Expenditures 15-22'!C57</f>
        <v>210298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50515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66251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116766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576043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2053042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256548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5730</v>
      </c>
      <c r="D775" s="2" t="str">
        <f t="shared" si="11"/>
        <v>Error?</v>
      </c>
    </row>
    <row r="776" spans="1:4" x14ac:dyDescent="0.2">
      <c r="A776" s="5">
        <v>715</v>
      </c>
      <c r="B776" s="1832">
        <f>'Expenditures 15-22'!D14</f>
        <v>38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336207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14402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11470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25872</v>
      </c>
      <c r="C785" s="2" t="s">
        <v>569</v>
      </c>
      <c r="D785" s="2" t="str">
        <f t="shared" si="11"/>
        <v>Error?</v>
      </c>
    </row>
    <row r="786" spans="1:4" x14ac:dyDescent="0.2">
      <c r="A786" s="5">
        <v>725</v>
      </c>
      <c r="B786" s="1832">
        <f>'Expenditures 15-22'!D44</f>
        <v>77</v>
      </c>
      <c r="D786" s="2" t="str">
        <f t="shared" si="11"/>
        <v>Error?</v>
      </c>
    </row>
    <row r="787" spans="1:4" x14ac:dyDescent="0.2">
      <c r="A787" s="5">
        <v>726</v>
      </c>
      <c r="B787" s="1832">
        <f>'Expenditures 15-22'!D45</f>
        <v>3390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3467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521</v>
      </c>
      <c r="D791" s="2" t="str">
        <f t="shared" si="11"/>
        <v>Error?</v>
      </c>
    </row>
    <row r="792" spans="1:4" x14ac:dyDescent="0.2">
      <c r="A792" s="5">
        <v>731</v>
      </c>
      <c r="B792" s="1832">
        <f>'Expenditures 15-22'!D53</f>
        <v>521</v>
      </c>
      <c r="C792" s="2" t="s">
        <v>569</v>
      </c>
      <c r="D792" s="2" t="str">
        <f t="shared" si="11"/>
        <v>Error?</v>
      </c>
    </row>
    <row r="793" spans="1:4" x14ac:dyDescent="0.2">
      <c r="A793" s="5">
        <v>732</v>
      </c>
      <c r="B793" s="1832">
        <f>'Expenditures 15-22'!D55</f>
        <v>43176</v>
      </c>
      <c r="D793" s="2" t="str">
        <f t="shared" si="11"/>
        <v>Error?</v>
      </c>
    </row>
    <row r="794" spans="1:4" x14ac:dyDescent="0.2">
      <c r="A794" s="5">
        <v>733</v>
      </c>
      <c r="B794" s="1832">
        <f>'Expenditures 15-22'!D56</f>
        <v>2342</v>
      </c>
      <c r="D794" s="2" t="str">
        <f t="shared" si="11"/>
        <v>Error?</v>
      </c>
    </row>
    <row r="795" spans="1:4" x14ac:dyDescent="0.2">
      <c r="A795" s="5">
        <v>734</v>
      </c>
      <c r="B795" s="1832">
        <f>'Expenditures 15-22'!D57</f>
        <v>45518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5870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2616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8486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83864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420071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30420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315</v>
      </c>
      <c r="D833" s="2" t="str">
        <f t="shared" si="12"/>
        <v>Error?</v>
      </c>
    </row>
    <row r="834" spans="1:4" x14ac:dyDescent="0.2">
      <c r="A834" s="5">
        <v>773</v>
      </c>
      <c r="B834" s="1832">
        <f>'Expenditures 15-22'!E14</f>
        <v>8444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39624</v>
      </c>
      <c r="C836" s="2" t="s">
        <v>569</v>
      </c>
      <c r="D836" s="2" t="str">
        <f t="shared" si="12"/>
        <v>Error?</v>
      </c>
    </row>
    <row r="837" spans="1:4" x14ac:dyDescent="0.2">
      <c r="A837" s="5">
        <v>776</v>
      </c>
      <c r="B837" s="1832">
        <f>'Expenditures 15-22'!E36</f>
        <v>16452</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16452</v>
      </c>
      <c r="C843" s="2" t="s">
        <v>569</v>
      </c>
      <c r="D843" s="2" t="str">
        <f t="shared" si="12"/>
        <v>Error?</v>
      </c>
    </row>
    <row r="844" spans="1:4" x14ac:dyDescent="0.2">
      <c r="A844" s="5">
        <v>783</v>
      </c>
      <c r="B844" s="1832">
        <f>'Expenditures 15-22'!E44</f>
        <v>12203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12203</v>
      </c>
      <c r="C847" s="2" t="s">
        <v>569</v>
      </c>
      <c r="D847" s="2" t="str">
        <f t="shared" si="12"/>
        <v>Error?</v>
      </c>
    </row>
    <row r="848" spans="1:4" x14ac:dyDescent="0.2">
      <c r="A848" s="5">
        <v>787</v>
      </c>
      <c r="B848" s="1832">
        <f>'Expenditures 15-22'!E49</f>
        <v>42560</v>
      </c>
      <c r="D848" s="2" t="str">
        <f t="shared" si="12"/>
        <v>Error?</v>
      </c>
    </row>
    <row r="849" spans="1:4" x14ac:dyDescent="0.2">
      <c r="A849" s="5">
        <v>788</v>
      </c>
      <c r="B849" s="1832">
        <f>'Expenditures 15-22'!E50</f>
        <v>580</v>
      </c>
      <c r="D849" s="2" t="str">
        <f t="shared" si="12"/>
        <v>Error?</v>
      </c>
    </row>
    <row r="850" spans="1:4" x14ac:dyDescent="0.2">
      <c r="A850" s="5">
        <v>789</v>
      </c>
      <c r="B850" s="1832">
        <f>'Expenditures 15-22'!E53</f>
        <v>43140</v>
      </c>
      <c r="C850" s="2" t="s">
        <v>569</v>
      </c>
      <c r="D850" s="2" t="str">
        <f t="shared" si="12"/>
        <v>Error?</v>
      </c>
    </row>
    <row r="851" spans="1:4" x14ac:dyDescent="0.2">
      <c r="A851" s="5">
        <v>790</v>
      </c>
      <c r="B851" s="1832">
        <f>'Expenditures 15-22'!E55</f>
        <v>2944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2944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1232</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1232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75979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339543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87931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4966</v>
      </c>
      <c r="D891" s="2" t="str">
        <f t="shared" si="12"/>
        <v>Error?</v>
      </c>
    </row>
    <row r="892" spans="1:4" x14ac:dyDescent="0.2">
      <c r="A892" s="5">
        <v>831</v>
      </c>
      <c r="B892" s="1832">
        <f>'Expenditures 15-22'!F14</f>
        <v>24057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121508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125</v>
      </c>
      <c r="D896" s="2" t="str">
        <f t="shared" si="13"/>
        <v>Error?</v>
      </c>
    </row>
    <row r="897" spans="1:4" x14ac:dyDescent="0.2">
      <c r="A897" s="5">
        <v>836</v>
      </c>
      <c r="B897" s="1832">
        <f>'Expenditures 15-22'!F38</f>
        <v>254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624</v>
      </c>
      <c r="D899" s="2" t="str">
        <f t="shared" si="13"/>
        <v>Error?</v>
      </c>
    </row>
    <row r="900" spans="1:4" x14ac:dyDescent="0.2">
      <c r="A900" s="5">
        <v>839</v>
      </c>
      <c r="B900" s="1832">
        <f>'Expenditures 15-22'!F41</f>
        <v>985</v>
      </c>
      <c r="D900" s="2" t="str">
        <f t="shared" si="13"/>
        <v>Error?</v>
      </c>
    </row>
    <row r="901" spans="1:4" x14ac:dyDescent="0.2">
      <c r="A901" s="5">
        <v>840</v>
      </c>
      <c r="B901" s="1832">
        <f>'Expenditures 15-22'!F42</f>
        <v>1988</v>
      </c>
      <c r="C901" s="2" t="s">
        <v>569</v>
      </c>
      <c r="D901" s="2" t="str">
        <f t="shared" si="13"/>
        <v>Error?</v>
      </c>
    </row>
    <row r="902" spans="1:4" x14ac:dyDescent="0.2">
      <c r="A902" s="5">
        <v>841</v>
      </c>
      <c r="B902" s="1832">
        <f>'Expenditures 15-22'!F44</f>
        <v>5235</v>
      </c>
      <c r="D902" s="2" t="str">
        <f t="shared" si="13"/>
        <v>Error?</v>
      </c>
    </row>
    <row r="903" spans="1:4" x14ac:dyDescent="0.2">
      <c r="A903" s="5">
        <v>842</v>
      </c>
      <c r="B903" s="1832">
        <f>'Expenditures 15-22'!F45</f>
        <v>500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5735</v>
      </c>
      <c r="C905" s="2" t="s">
        <v>569</v>
      </c>
      <c r="D905" s="2" t="str">
        <f t="shared" si="13"/>
        <v>Error?</v>
      </c>
    </row>
    <row r="906" spans="1:4" x14ac:dyDescent="0.2">
      <c r="A906" s="5">
        <v>845</v>
      </c>
      <c r="B906" s="1832">
        <f>'Expenditures 15-22'!F49</f>
        <v>4983</v>
      </c>
      <c r="D906" s="2" t="str">
        <f t="shared" si="13"/>
        <v>Error?</v>
      </c>
    </row>
    <row r="907" spans="1:4" x14ac:dyDescent="0.2">
      <c r="A907" s="5">
        <v>846</v>
      </c>
      <c r="B907" s="1832">
        <f>'Expenditures 15-22'!F50</f>
        <v>4885</v>
      </c>
      <c r="D907" s="2" t="str">
        <f t="shared" si="13"/>
        <v>Error?</v>
      </c>
    </row>
    <row r="908" spans="1:4" x14ac:dyDescent="0.2">
      <c r="A908" s="5">
        <v>847</v>
      </c>
      <c r="B908" s="1832">
        <f>'Expenditures 15-22'!F53</f>
        <v>9868</v>
      </c>
      <c r="C908" s="2" t="s">
        <v>569</v>
      </c>
      <c r="D908" s="2" t="str">
        <f t="shared" si="13"/>
        <v>Error?</v>
      </c>
    </row>
    <row r="909" spans="1:4" x14ac:dyDescent="0.2">
      <c r="A909" s="5">
        <v>848</v>
      </c>
      <c r="B909" s="1832">
        <f>'Expenditures 15-22'!F55</f>
        <v>18450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18450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798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72488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73286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109327</v>
      </c>
      <c r="C929" s="2" t="s">
        <v>569</v>
      </c>
      <c r="D929" s="2" t="str">
        <f t="shared" si="13"/>
        <v>Error?</v>
      </c>
    </row>
    <row r="930" spans="1:4" x14ac:dyDescent="0.2">
      <c r="A930" s="5">
        <v>869</v>
      </c>
      <c r="B930" s="1832">
        <f>'Expenditures 15-22'!F75</f>
        <v>109</v>
      </c>
      <c r="D930" s="2" t="str">
        <f t="shared" si="13"/>
        <v>Error?</v>
      </c>
    </row>
    <row r="931" spans="1:4" x14ac:dyDescent="0.2">
      <c r="A931" s="5">
        <v>870</v>
      </c>
      <c r="B931" s="1832">
        <f>'Expenditures 15-22'!F114</f>
        <v>230944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1110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4345</v>
      </c>
      <c r="D949" s="2" t="str">
        <f t="shared" si="13"/>
        <v>Error?</v>
      </c>
    </row>
    <row r="950" spans="1:4" x14ac:dyDescent="0.2">
      <c r="A950" s="5">
        <v>889</v>
      </c>
      <c r="B950" s="1832">
        <f>'Expenditures 15-22'!G14</f>
        <v>5569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11024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14256</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14256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40000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40000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54256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65280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2369</v>
      </c>
      <c r="D1022" s="2" t="str">
        <f t="shared" si="14"/>
        <v>Error?</v>
      </c>
    </row>
    <row r="1023" spans="1:4" x14ac:dyDescent="0.2">
      <c r="A1023" s="5">
        <v>962</v>
      </c>
      <c r="B1023" s="1832">
        <f>'Expenditures 15-22'!H50</f>
        <v>350</v>
      </c>
      <c r="D1023" s="2" t="str">
        <f t="shared" ref="D1023:D1086" si="15">IF(ISBLANK(B1023),"OK",IF(A1023-B1023=0,"OK","Error?"))</f>
        <v>Error?</v>
      </c>
    </row>
    <row r="1024" spans="1:4" x14ac:dyDescent="0.2">
      <c r="A1024" s="5">
        <v>963</v>
      </c>
      <c r="B1024" s="1832">
        <f>'Expenditures 15-22'!H53</f>
        <v>2719</v>
      </c>
      <c r="C1024" s="2" t="s">
        <v>569</v>
      </c>
      <c r="D1024" s="2" t="str">
        <f t="shared" si="15"/>
        <v>Error?</v>
      </c>
    </row>
    <row r="1025" spans="1:4" x14ac:dyDescent="0.2">
      <c r="A1025" s="5">
        <v>964</v>
      </c>
      <c r="B1025" s="1832">
        <f>'Expenditures 15-22'!H55</f>
        <v>782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782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3501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3501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1459320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58036</v>
      </c>
      <c r="C1105" s="2" t="s">
        <v>569</v>
      </c>
      <c r="D1105" s="2" t="str">
        <f t="shared" si="16"/>
        <v>Error?</v>
      </c>
    </row>
    <row r="1106" spans="1:4" x14ac:dyDescent="0.2">
      <c r="A1106" s="5">
        <v>1045</v>
      </c>
      <c r="B1106" s="1832">
        <f>'Expenditures 15-22'!K14</f>
        <v>84626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1985362</v>
      </c>
      <c r="C1108" s="2" t="s">
        <v>569</v>
      </c>
      <c r="D1108" s="2" t="str">
        <f t="shared" si="16"/>
        <v>Error?</v>
      </c>
    </row>
    <row r="1109" spans="1:4" x14ac:dyDescent="0.2">
      <c r="A1109" s="5">
        <v>1048</v>
      </c>
      <c r="B1109" s="1832">
        <f>'Expenditures 15-22'!K36</f>
        <v>16452</v>
      </c>
      <c r="C1109" s="2" t="s">
        <v>569</v>
      </c>
      <c r="D1109" s="2" t="str">
        <f t="shared" si="16"/>
        <v>Error?</v>
      </c>
    </row>
    <row r="1110" spans="1:4" x14ac:dyDescent="0.2">
      <c r="A1110" s="5">
        <v>1049</v>
      </c>
      <c r="B1110" s="1832">
        <f>'Expenditures 15-22'!K37</f>
        <v>78995</v>
      </c>
      <c r="C1110" s="2" t="s">
        <v>569</v>
      </c>
      <c r="D1110" s="2" t="str">
        <f t="shared" si="16"/>
        <v>Error?</v>
      </c>
    </row>
    <row r="1111" spans="1:4" x14ac:dyDescent="0.2">
      <c r="A1111" s="5">
        <v>1050</v>
      </c>
      <c r="B1111" s="1832">
        <f>'Expenditures 15-22'!K38</f>
        <v>12048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54387</v>
      </c>
      <c r="C1113" s="2" t="s">
        <v>569</v>
      </c>
      <c r="D1113" s="2" t="str">
        <f t="shared" si="16"/>
        <v>Error?</v>
      </c>
    </row>
    <row r="1114" spans="1:4" x14ac:dyDescent="0.2">
      <c r="A1114" s="5">
        <v>1053</v>
      </c>
      <c r="B1114" s="1832">
        <f>'Expenditures 15-22'!K41</f>
        <v>985</v>
      </c>
      <c r="C1114" s="2" t="s">
        <v>569</v>
      </c>
      <c r="D1114" s="2" t="str">
        <f t="shared" si="16"/>
        <v>Error?</v>
      </c>
    </row>
    <row r="1115" spans="1:4" x14ac:dyDescent="0.2">
      <c r="A1115" s="5">
        <v>1054</v>
      </c>
      <c r="B1115" s="1832">
        <f>'Expenditures 15-22'!K42</f>
        <v>162867</v>
      </c>
      <c r="C1115" s="2" t="s">
        <v>569</v>
      </c>
      <c r="D1115" s="2" t="str">
        <f t="shared" si="16"/>
        <v>Error?</v>
      </c>
    </row>
    <row r="1116" spans="1:4" x14ac:dyDescent="0.2">
      <c r="A1116" s="5">
        <v>1055</v>
      </c>
      <c r="B1116" s="1832">
        <f>'Expenditures 15-22'!K44</f>
        <v>32851</v>
      </c>
      <c r="C1116" s="2" t="s">
        <v>569</v>
      </c>
      <c r="D1116" s="2" t="str">
        <f t="shared" si="16"/>
        <v>Error?</v>
      </c>
    </row>
    <row r="1117" spans="1:4" x14ac:dyDescent="0.2">
      <c r="A1117" s="5">
        <v>1056</v>
      </c>
      <c r="B1117" s="1832">
        <f>'Expenditures 15-22'!K45</f>
        <v>28151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61002</v>
      </c>
      <c r="C1119" s="2" t="s">
        <v>569</v>
      </c>
      <c r="D1119" s="2" t="str">
        <f t="shared" si="16"/>
        <v>Error?</v>
      </c>
    </row>
    <row r="1120" spans="1:4" x14ac:dyDescent="0.2">
      <c r="A1120" s="5">
        <v>1059</v>
      </c>
      <c r="B1120" s="1832">
        <f>'Expenditures 15-22'!K49</f>
        <v>49912</v>
      </c>
      <c r="C1120" s="2" t="s">
        <v>569</v>
      </c>
      <c r="D1120" s="2" t="str">
        <f t="shared" si="16"/>
        <v>Error?</v>
      </c>
    </row>
    <row r="1121" spans="1:4" x14ac:dyDescent="0.2">
      <c r="A1121" s="5">
        <v>1060</v>
      </c>
      <c r="B1121" s="1832">
        <f>'Expenditures 15-22'!K50</f>
        <v>111419</v>
      </c>
      <c r="C1121" s="2" t="s">
        <v>569</v>
      </c>
      <c r="D1121" s="2" t="str">
        <f t="shared" si="16"/>
        <v>Error?</v>
      </c>
    </row>
    <row r="1122" spans="1:4" x14ac:dyDescent="0.2">
      <c r="A1122" s="5">
        <v>1061</v>
      </c>
      <c r="B1122" s="1832">
        <f>'Expenditures 15-22'!K53</f>
        <v>161331</v>
      </c>
      <c r="C1122" s="2" t="s">
        <v>569</v>
      </c>
      <c r="D1122" s="2" t="str">
        <f t="shared" si="16"/>
        <v>Error?</v>
      </c>
    </row>
    <row r="1123" spans="1:4" x14ac:dyDescent="0.2">
      <c r="A1123" s="5">
        <v>1062</v>
      </c>
      <c r="B1123" s="1832">
        <f>'Expenditures 15-22'!K55</f>
        <v>220330</v>
      </c>
      <c r="C1123" s="2" t="s">
        <v>569</v>
      </c>
      <c r="D1123" s="2" t="str">
        <f t="shared" si="16"/>
        <v>Error?</v>
      </c>
    </row>
    <row r="1124" spans="1:4" x14ac:dyDescent="0.2">
      <c r="A1124" s="5">
        <v>1063</v>
      </c>
      <c r="B1124" s="1832">
        <f>'Expenditures 15-22'!K56</f>
        <v>57662</v>
      </c>
      <c r="C1124" s="2" t="s">
        <v>569</v>
      </c>
      <c r="D1124" s="2" t="str">
        <f t="shared" si="16"/>
        <v>Error?</v>
      </c>
    </row>
    <row r="1125" spans="1:4" x14ac:dyDescent="0.2">
      <c r="A1125" s="5">
        <v>1064</v>
      </c>
      <c r="B1125" s="1832">
        <f>'Expenditures 15-22'!K57</f>
        <v>277992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97183</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141363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238546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1232</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1232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902970</v>
      </c>
      <c r="C1143" s="2" t="s">
        <v>569</v>
      </c>
      <c r="D1143" s="2" t="str">
        <f t="shared" si="16"/>
        <v>Error?</v>
      </c>
    </row>
    <row r="1144" spans="1:4" x14ac:dyDescent="0.2">
      <c r="A1144" s="5">
        <v>1083</v>
      </c>
      <c r="B1144" s="1832">
        <f>'Expenditures 15-22'!K75</f>
        <v>109</v>
      </c>
      <c r="C1144" s="2" t="s">
        <v>569</v>
      </c>
      <c r="D1144" s="2" t="str">
        <f t="shared" si="16"/>
        <v>Error?</v>
      </c>
    </row>
    <row r="1145" spans="1:4" x14ac:dyDescent="0.2">
      <c r="A1145" s="5">
        <v>1084</v>
      </c>
      <c r="B1145" s="1832">
        <f>'Expenditures 15-22'!K102</f>
        <v>223940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3112381</v>
      </c>
      <c r="C1152" s="2" t="s">
        <v>569</v>
      </c>
      <c r="D1152" s="2" t="str">
        <f t="shared" si="17"/>
        <v>Error?</v>
      </c>
    </row>
    <row r="1153" spans="1:4" x14ac:dyDescent="0.2">
      <c r="A1153" s="5">
        <v>1092</v>
      </c>
      <c r="B1153" s="1832">
        <f>'Expenditures 15-22'!K115</f>
        <v>-85877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147786</v>
      </c>
      <c r="D1221" s="2" t="str">
        <f t="shared" si="18"/>
        <v>Error?</v>
      </c>
    </row>
    <row r="1222" spans="1:4" x14ac:dyDescent="0.2">
      <c r="A1222" s="10">
        <v>1161</v>
      </c>
      <c r="B1222" s="1832"/>
      <c r="D1222" s="2" t="str">
        <f t="shared" si="18"/>
        <v>OK</v>
      </c>
    </row>
    <row r="1223" spans="1:4" x14ac:dyDescent="0.2">
      <c r="A1223" s="5">
        <v>1162</v>
      </c>
      <c r="B1223" s="1832">
        <f>'Expenditures 15-22'!C127</f>
        <v>147786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147786</v>
      </c>
      <c r="C1225" s="2" t="s">
        <v>569</v>
      </c>
      <c r="D1225" s="2" t="str">
        <f t="shared" si="18"/>
        <v>Error?</v>
      </c>
    </row>
    <row r="1226" spans="1:4" x14ac:dyDescent="0.2">
      <c r="A1226" s="5">
        <v>1165</v>
      </c>
      <c r="B1226" s="1832">
        <f>'Expenditures 15-22'!C151</f>
        <v>147786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26113</v>
      </c>
      <c r="D1229" s="2" t="str">
        <f t="shared" si="18"/>
        <v>Error?</v>
      </c>
    </row>
    <row r="1230" spans="1:4" x14ac:dyDescent="0.2">
      <c r="A1230" s="10">
        <v>1169</v>
      </c>
      <c r="B1230" s="1832"/>
      <c r="D1230" s="2" t="str">
        <f t="shared" si="18"/>
        <v>OK</v>
      </c>
    </row>
    <row r="1231" spans="1:4" x14ac:dyDescent="0.2">
      <c r="A1231" s="5">
        <v>1170</v>
      </c>
      <c r="B1231" s="1832">
        <f>'Expenditures 15-22'!D127</f>
        <v>26113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26113</v>
      </c>
      <c r="C1233" s="2" t="s">
        <v>569</v>
      </c>
      <c r="D1233" s="2" t="str">
        <f t="shared" si="18"/>
        <v>Error?</v>
      </c>
    </row>
    <row r="1234" spans="1:4" x14ac:dyDescent="0.2">
      <c r="A1234" s="5">
        <v>1173</v>
      </c>
      <c r="B1234" s="1832">
        <f>'Expenditures 15-22'!D151</f>
        <v>26113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73963</v>
      </c>
      <c r="D1237" s="2" t="str">
        <f t="shared" si="18"/>
        <v>Error?</v>
      </c>
    </row>
    <row r="1238" spans="1:4" x14ac:dyDescent="0.2">
      <c r="A1238" s="10">
        <v>1177</v>
      </c>
      <c r="B1238" s="1832"/>
      <c r="D1238" s="2" t="str">
        <f t="shared" si="18"/>
        <v>OK</v>
      </c>
    </row>
    <row r="1239" spans="1:4" x14ac:dyDescent="0.2">
      <c r="A1239" s="5">
        <v>1178</v>
      </c>
      <c r="B1239" s="1832">
        <f>'Expenditures 15-22'!E127</f>
        <v>73963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73963</v>
      </c>
      <c r="C1241" s="2" t="s">
        <v>569</v>
      </c>
      <c r="D1241" s="2" t="str">
        <f t="shared" si="18"/>
        <v>Error?</v>
      </c>
    </row>
    <row r="1242" spans="1:4" x14ac:dyDescent="0.2">
      <c r="A1242" s="5">
        <v>1181</v>
      </c>
      <c r="B1242" s="1832">
        <f>'Expenditures 15-22'!E151</f>
        <v>73963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97929</v>
      </c>
      <c r="D1245" s="2" t="str">
        <f t="shared" si="18"/>
        <v>Error?</v>
      </c>
    </row>
    <row r="1246" spans="1:4" x14ac:dyDescent="0.2">
      <c r="A1246" s="10">
        <v>1185</v>
      </c>
      <c r="B1246" s="1832"/>
      <c r="D1246" s="2" t="str">
        <f t="shared" si="18"/>
        <v>OK</v>
      </c>
    </row>
    <row r="1247" spans="1:4" x14ac:dyDescent="0.2">
      <c r="A1247" s="5">
        <v>1186</v>
      </c>
      <c r="B1247" s="1832">
        <f>'Expenditures 15-22'!F127</f>
        <v>97929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97929</v>
      </c>
      <c r="C1249" s="2" t="s">
        <v>569</v>
      </c>
      <c r="D1249" s="2" t="str">
        <f t="shared" si="18"/>
        <v>Error?</v>
      </c>
    </row>
    <row r="1250" spans="1:4" x14ac:dyDescent="0.2">
      <c r="A1250" s="5">
        <v>1189</v>
      </c>
      <c r="B1250" s="1832">
        <f>'Expenditures 15-22'!F151</f>
        <v>97929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13650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13650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13650</v>
      </c>
      <c r="C1258" s="2" t="s">
        <v>569</v>
      </c>
      <c r="D1258" s="2" t="str">
        <f t="shared" si="18"/>
        <v>Error?</v>
      </c>
    </row>
    <row r="1259" spans="1:4" x14ac:dyDescent="0.2">
      <c r="A1259" s="5">
        <v>1198</v>
      </c>
      <c r="B1259" s="1832">
        <f>'Expenditures 15-22'!G151</f>
        <v>13650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359441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359441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359441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359441</v>
      </c>
      <c r="C1288" s="2" t="s">
        <v>569</v>
      </c>
      <c r="D1288" s="2" t="str">
        <f t="shared" si="19"/>
        <v>Error?</v>
      </c>
    </row>
    <row r="1289" spans="1:4" x14ac:dyDescent="0.2">
      <c r="A1289" s="5">
        <v>1228</v>
      </c>
      <c r="B1289" s="1832">
        <f>'Expenditures 15-22'!K152</f>
        <v>258262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215010</v>
      </c>
      <c r="C1314" s="2" t="s">
        <v>569</v>
      </c>
      <c r="D1314" s="2" t="str">
        <f t="shared" si="19"/>
        <v>Error?</v>
      </c>
    </row>
    <row r="1315" spans="1:4" x14ac:dyDescent="0.2">
      <c r="A1315" s="5">
        <v>1254</v>
      </c>
      <c r="B1315" s="1832">
        <f>'Expenditures 15-22'!H170</f>
        <v>145000</v>
      </c>
      <c r="D1315" s="2" t="str">
        <f t="shared" si="19"/>
        <v>Error?</v>
      </c>
    </row>
    <row r="1316" spans="1:4" x14ac:dyDescent="0.2">
      <c r="A1316" s="5">
        <v>1255</v>
      </c>
      <c r="B1316" s="1832">
        <f>'Expenditures 15-22'!H171</f>
        <v>400</v>
      </c>
      <c r="D1316" s="2" t="str">
        <f t="shared" si="19"/>
        <v>Error?</v>
      </c>
    </row>
    <row r="1317" spans="1:4" x14ac:dyDescent="0.2">
      <c r="A1317" s="5">
        <v>1256</v>
      </c>
      <c r="B1317" s="1832">
        <f>'Expenditures 15-22'!H172</f>
        <v>360410</v>
      </c>
      <c r="C1317" s="2" t="s">
        <v>569</v>
      </c>
      <c r="D1317" s="2" t="str">
        <f t="shared" si="19"/>
        <v>Error?</v>
      </c>
    </row>
    <row r="1318" spans="1:4" x14ac:dyDescent="0.2">
      <c r="A1318" s="5">
        <v>1257</v>
      </c>
      <c r="B1318" s="1832">
        <f>'Expenditures 15-22'!H174</f>
        <v>360410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215010</v>
      </c>
      <c r="C1328" s="2" t="s">
        <v>569</v>
      </c>
      <c r="D1328" s="2" t="str">
        <f t="shared" si="19"/>
        <v>Error?</v>
      </c>
    </row>
    <row r="1329" spans="1:4" x14ac:dyDescent="0.2">
      <c r="A1329" s="5">
        <v>1268</v>
      </c>
      <c r="B1329" s="1832">
        <f>'Expenditures 15-22'!K170</f>
        <v>145000</v>
      </c>
      <c r="C1329" s="2" t="s">
        <v>569</v>
      </c>
      <c r="D1329" s="2" t="str">
        <f t="shared" si="19"/>
        <v>Error?</v>
      </c>
    </row>
    <row r="1330" spans="1:4" x14ac:dyDescent="0.2">
      <c r="A1330" s="5">
        <v>1269</v>
      </c>
      <c r="B1330" s="1832">
        <f>'Expenditures 15-22'!K171</f>
        <v>400</v>
      </c>
      <c r="C1330" s="2" t="s">
        <v>569</v>
      </c>
      <c r="D1330" s="2" t="str">
        <f t="shared" si="19"/>
        <v>Error?</v>
      </c>
    </row>
    <row r="1331" spans="1:4" x14ac:dyDescent="0.2">
      <c r="A1331" s="5">
        <v>1270</v>
      </c>
      <c r="B1331" s="1832">
        <f>'Expenditures 15-22'!K172</f>
        <v>360410</v>
      </c>
      <c r="C1331" s="2" t="s">
        <v>569</v>
      </c>
      <c r="D1331" s="2" t="str">
        <f t="shared" si="19"/>
        <v>Error?</v>
      </c>
    </row>
    <row r="1332" spans="1:4" x14ac:dyDescent="0.2">
      <c r="A1332" s="5">
        <v>1271</v>
      </c>
      <c r="B1332" s="1832">
        <f>'Expenditures 15-22'!K174</f>
        <v>360410</v>
      </c>
      <c r="C1332" s="2" t="s">
        <v>569</v>
      </c>
      <c r="D1332" s="2" t="str">
        <f t="shared" si="19"/>
        <v>Error?</v>
      </c>
    </row>
    <row r="1333" spans="1:4" x14ac:dyDescent="0.2">
      <c r="A1333" s="5">
        <v>1272</v>
      </c>
      <c r="B1333" s="1832">
        <f>'Expenditures 15-22'!K175</f>
        <v>-143653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168528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168528</v>
      </c>
      <c r="C1339" s="2" t="s">
        <v>569</v>
      </c>
      <c r="D1339" s="2" t="str">
        <f t="shared" si="19"/>
        <v>Error?</v>
      </c>
    </row>
    <row r="1340" spans="1:4" x14ac:dyDescent="0.2">
      <c r="A1340" s="5">
        <v>1279</v>
      </c>
      <c r="B1340" s="1832">
        <f>'Expenditures 15-22'!C210</f>
        <v>168528</v>
      </c>
      <c r="C1340" s="2" t="s">
        <v>569</v>
      </c>
      <c r="D1340" s="2" t="str">
        <f t="shared" si="19"/>
        <v>Error?</v>
      </c>
    </row>
    <row r="1341" spans="1:4" x14ac:dyDescent="0.2">
      <c r="A1341" s="5">
        <v>1280</v>
      </c>
      <c r="B1341" s="1832">
        <f>'Expenditures 15-22'!D182</f>
        <v>2609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2609</v>
      </c>
      <c r="C1345" s="2" t="s">
        <v>569</v>
      </c>
      <c r="D1345" s="2" t="str">
        <f t="shared" si="20"/>
        <v>Error?</v>
      </c>
    </row>
    <row r="1346" spans="1:4" x14ac:dyDescent="0.2">
      <c r="A1346" s="5">
        <v>1285</v>
      </c>
      <c r="B1346" s="1832">
        <f>'Expenditures 15-22'!D210</f>
        <v>2609</v>
      </c>
      <c r="C1346" s="2" t="s">
        <v>569</v>
      </c>
      <c r="D1346" s="2" t="str">
        <f t="shared" si="20"/>
        <v>Error?</v>
      </c>
    </row>
    <row r="1347" spans="1:4" x14ac:dyDescent="0.2">
      <c r="A1347" s="5">
        <v>1286</v>
      </c>
      <c r="B1347" s="1832">
        <f>'Expenditures 15-22'!E182</f>
        <v>12303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12303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12303</v>
      </c>
      <c r="C1353" s="2" t="s">
        <v>569</v>
      </c>
      <c r="D1353" s="2" t="str">
        <f t="shared" si="20"/>
        <v>Error?</v>
      </c>
    </row>
    <row r="1354" spans="1:4" x14ac:dyDescent="0.2">
      <c r="A1354" s="5">
        <v>1293</v>
      </c>
      <c r="B1354" s="1832">
        <f>'Expenditures 15-22'!F182</f>
        <v>45873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45873</v>
      </c>
      <c r="C1358" s="2" t="s">
        <v>569</v>
      </c>
      <c r="D1358" s="2" t="str">
        <f t="shared" si="20"/>
        <v>Error?</v>
      </c>
    </row>
    <row r="1359" spans="1:4" x14ac:dyDescent="0.2">
      <c r="A1359" s="5">
        <v>1298</v>
      </c>
      <c r="B1359" s="1832">
        <f>'Expenditures 15-22'!F210</f>
        <v>45873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229313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229313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229313</v>
      </c>
      <c r="C1388" s="2" t="s">
        <v>569</v>
      </c>
      <c r="D1388" s="2" t="str">
        <f t="shared" si="20"/>
        <v>Error?</v>
      </c>
    </row>
    <row r="1389" spans="1:4" x14ac:dyDescent="0.2">
      <c r="A1389" s="5">
        <v>1328</v>
      </c>
      <c r="B1389" s="1832">
        <f>'Expenditures 15-22'!K211</f>
        <v>33784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619</v>
      </c>
      <c r="D1407" s="2" t="str">
        <f t="shared" ref="D1407:D1470" si="21">IF(ISBLANK(B1407),"OK",IF(A1407-B1407=0,"OK","Error?"))</f>
        <v>Error?</v>
      </c>
    </row>
    <row r="1408" spans="1:4" x14ac:dyDescent="0.2">
      <c r="A1408" s="5">
        <v>1347</v>
      </c>
      <c r="B1408" s="1832">
        <f>'Expenditures 15-22'!D223</f>
        <v>1572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50105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935</v>
      </c>
      <c r="D1412" s="2" t="str">
        <f t="shared" si="21"/>
        <v>Error?</v>
      </c>
    </row>
    <row r="1413" spans="1:4" x14ac:dyDescent="0.2">
      <c r="A1413" s="5">
        <v>1352</v>
      </c>
      <c r="B1413" s="1832">
        <f>'Expenditures 15-22'!D234</f>
        <v>2120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613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3668</v>
      </c>
      <c r="C1417" s="2" t="s">
        <v>569</v>
      </c>
      <c r="D1417" s="2" t="str">
        <f t="shared" si="21"/>
        <v>Error?</v>
      </c>
    </row>
    <row r="1418" spans="1:4" x14ac:dyDescent="0.2">
      <c r="A1418" s="5">
        <v>1357</v>
      </c>
      <c r="B1418" s="1832">
        <f>'Expenditures 15-22'!D240</f>
        <v>10</v>
      </c>
      <c r="D1418" s="2" t="str">
        <f t="shared" si="21"/>
        <v>Error?</v>
      </c>
    </row>
    <row r="1419" spans="1:4" x14ac:dyDescent="0.2">
      <c r="A1419" s="5">
        <v>1358</v>
      </c>
      <c r="B1419" s="1832">
        <f>'Expenditures 15-22'!D241</f>
        <v>352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362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6835</v>
      </c>
      <c r="D1423" s="2" t="str">
        <f t="shared" si="21"/>
        <v>Error?</v>
      </c>
    </row>
    <row r="1424" spans="1:4" x14ac:dyDescent="0.2">
      <c r="A1424" s="5">
        <v>1363</v>
      </c>
      <c r="B1424" s="1832">
        <f>'Expenditures 15-22'!D257</f>
        <v>6835</v>
      </c>
      <c r="C1424" s="2" t="s">
        <v>569</v>
      </c>
      <c r="D1424" s="2" t="str">
        <f t="shared" si="21"/>
        <v>Error?</v>
      </c>
    </row>
    <row r="1425" spans="1:4" x14ac:dyDescent="0.2">
      <c r="A1425" s="5">
        <v>1364</v>
      </c>
      <c r="B1425" s="1832">
        <f>'Expenditures 15-22'!D259</f>
        <v>2247</v>
      </c>
      <c r="D1425" s="2" t="str">
        <f t="shared" si="21"/>
        <v>Error?</v>
      </c>
    </row>
    <row r="1426" spans="1:4" x14ac:dyDescent="0.2">
      <c r="A1426" s="5">
        <v>1365</v>
      </c>
      <c r="B1426" s="1832">
        <f>'Expenditures 15-22'!D260</f>
        <v>9648</v>
      </c>
      <c r="D1426" s="2" t="str">
        <f t="shared" si="21"/>
        <v>Error?</v>
      </c>
    </row>
    <row r="1427" spans="1:4" x14ac:dyDescent="0.2">
      <c r="A1427" s="5">
        <v>1366</v>
      </c>
      <c r="B1427" s="1832">
        <f>'Expenditures 15-22'!D261</f>
        <v>11895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8830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25366</v>
      </c>
      <c r="D1431" s="2" t="str">
        <f t="shared" si="21"/>
        <v>Error?</v>
      </c>
    </row>
    <row r="1432" spans="1:4" x14ac:dyDescent="0.2">
      <c r="A1432" s="5">
        <v>1371</v>
      </c>
      <c r="B1432" s="1832">
        <f>'Expenditures 15-22'!D267</f>
        <v>28192</v>
      </c>
      <c r="D1432" s="2" t="str">
        <f t="shared" si="21"/>
        <v>Error?</v>
      </c>
    </row>
    <row r="1433" spans="1:4" x14ac:dyDescent="0.2">
      <c r="A1433" s="5">
        <v>1372</v>
      </c>
      <c r="B1433" s="1832">
        <f>'Expenditures 15-22'!D268</f>
        <v>11284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73672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96432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146537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619</v>
      </c>
      <c r="C1471" s="2" t="s">
        <v>569</v>
      </c>
      <c r="D1471" s="2" t="str">
        <f t="shared" ref="D1471:D1534" si="22">IF(ISBLANK(B1471),"OK",IF(A1471-B1471=0,"OK","Error?"))</f>
        <v>Error?</v>
      </c>
    </row>
    <row r="1472" spans="1:4" x14ac:dyDescent="0.2">
      <c r="A1472" s="5">
        <v>1411</v>
      </c>
      <c r="B1472" s="1832">
        <f>'Expenditures 15-22'!K223</f>
        <v>1572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50105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935</v>
      </c>
      <c r="C1476" s="2" t="s">
        <v>569</v>
      </c>
      <c r="D1476" s="2" t="str">
        <f t="shared" si="22"/>
        <v>Error?</v>
      </c>
    </row>
    <row r="1477" spans="1:4" x14ac:dyDescent="0.2">
      <c r="A1477" s="5">
        <v>1416</v>
      </c>
      <c r="B1477" s="1832">
        <f>'Expenditures 15-22'!K234</f>
        <v>2120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613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3668</v>
      </c>
      <c r="C1481" s="2" t="s">
        <v>569</v>
      </c>
      <c r="D1481" s="2" t="str">
        <f t="shared" si="22"/>
        <v>Error?</v>
      </c>
    </row>
    <row r="1482" spans="1:4" x14ac:dyDescent="0.2">
      <c r="A1482" s="5">
        <v>1421</v>
      </c>
      <c r="B1482" s="1832">
        <f>'Expenditures 15-22'!K240</f>
        <v>10</v>
      </c>
      <c r="C1482" s="2" t="s">
        <v>569</v>
      </c>
      <c r="D1482" s="2" t="str">
        <f t="shared" si="22"/>
        <v>Error?</v>
      </c>
    </row>
    <row r="1483" spans="1:4" x14ac:dyDescent="0.2">
      <c r="A1483" s="5">
        <v>1422</v>
      </c>
      <c r="B1483" s="1832">
        <f>'Expenditures 15-22'!K241</f>
        <v>352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362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6835</v>
      </c>
      <c r="C1487" s="2" t="s">
        <v>569</v>
      </c>
      <c r="D1487" s="2" t="str">
        <f t="shared" si="22"/>
        <v>Error?</v>
      </c>
    </row>
    <row r="1488" spans="1:4" x14ac:dyDescent="0.2">
      <c r="A1488" s="5">
        <v>1427</v>
      </c>
      <c r="B1488" s="1832">
        <f>'Expenditures 15-22'!K257</f>
        <v>6835</v>
      </c>
      <c r="C1488" s="2" t="s">
        <v>569</v>
      </c>
      <c r="D1488" s="2" t="str">
        <f t="shared" si="22"/>
        <v>Error?</v>
      </c>
    </row>
    <row r="1489" spans="1:4" x14ac:dyDescent="0.2">
      <c r="A1489" s="5">
        <v>1428</v>
      </c>
      <c r="B1489" s="1832">
        <f>'Expenditures 15-22'!K259</f>
        <v>2247</v>
      </c>
      <c r="C1489" s="2" t="s">
        <v>569</v>
      </c>
      <c r="D1489" s="2" t="str">
        <f t="shared" si="22"/>
        <v>Error?</v>
      </c>
    </row>
    <row r="1490" spans="1:4" x14ac:dyDescent="0.2">
      <c r="A1490" s="5">
        <v>1429</v>
      </c>
      <c r="B1490" s="1832">
        <f>'Expenditures 15-22'!K260</f>
        <v>9648</v>
      </c>
      <c r="C1490" s="2" t="s">
        <v>569</v>
      </c>
      <c r="D1490" s="2" t="str">
        <f t="shared" si="22"/>
        <v>Error?</v>
      </c>
    </row>
    <row r="1491" spans="1:4" x14ac:dyDescent="0.2">
      <c r="A1491" s="5">
        <v>1430</v>
      </c>
      <c r="B1491" s="1832">
        <f>'Expenditures 15-22'!K261</f>
        <v>11895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8830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25366</v>
      </c>
      <c r="C1495" s="2" t="s">
        <v>569</v>
      </c>
      <c r="D1495" s="2" t="str">
        <f t="shared" si="22"/>
        <v>Error?</v>
      </c>
    </row>
    <row r="1496" spans="1:4" x14ac:dyDescent="0.2">
      <c r="A1496" s="5">
        <v>1435</v>
      </c>
      <c r="B1496" s="1832">
        <f>'Expenditures 15-22'!K267</f>
        <v>28192</v>
      </c>
      <c r="C1496" s="2" t="s">
        <v>569</v>
      </c>
      <c r="D1496" s="2" t="str">
        <f t="shared" si="22"/>
        <v>Error?</v>
      </c>
    </row>
    <row r="1497" spans="1:4" x14ac:dyDescent="0.2">
      <c r="A1497" s="5">
        <v>1436</v>
      </c>
      <c r="B1497" s="1832">
        <f>'Expenditures 15-22'!K268</f>
        <v>11284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73672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96432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146537</v>
      </c>
      <c r="C1517" s="2" t="s">
        <v>569</v>
      </c>
      <c r="D1517" s="2" t="str">
        <f t="shared" si="22"/>
        <v>Error?</v>
      </c>
    </row>
    <row r="1518" spans="1:4" x14ac:dyDescent="0.2">
      <c r="A1518" s="5">
        <v>1457</v>
      </c>
      <c r="B1518" s="1832">
        <f>'Expenditures 15-22'!K296</f>
        <v>22287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28927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28927</v>
      </c>
      <c r="C1535" s="2" t="s">
        <v>569</v>
      </c>
      <c r="D1535" s="2" t="str">
        <f t="shared" ref="D1535:D1598" si="23">IF(ISBLANK(B1535),"OK",IF(A1535-B1535=0,"OK","Error?"))</f>
        <v>Error?</v>
      </c>
    </row>
    <row r="1536" spans="1:4" x14ac:dyDescent="0.2">
      <c r="A1536" s="5">
        <v>1475</v>
      </c>
      <c r="B1536" s="1832">
        <f>'Expenditures 15-22'!E312</f>
        <v>28927</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252572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252572</v>
      </c>
      <c r="C1547" s="2" t="s">
        <v>569</v>
      </c>
      <c r="D1547" s="2" t="str">
        <f t="shared" si="23"/>
        <v>Error?</v>
      </c>
    </row>
    <row r="1548" spans="1:4" x14ac:dyDescent="0.2">
      <c r="A1548" s="5">
        <v>1487</v>
      </c>
      <c r="B1548" s="1832">
        <f>'Expenditures 15-22'!G312</f>
        <v>252572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281499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281499</v>
      </c>
      <c r="C1559" s="2" t="s">
        <v>569</v>
      </c>
      <c r="D1559" s="2" t="str">
        <f t="shared" si="23"/>
        <v>Error?</v>
      </c>
    </row>
    <row r="1560" spans="1:4" x14ac:dyDescent="0.2">
      <c r="A1560" s="5">
        <v>1499</v>
      </c>
      <c r="B1560" s="1832">
        <f>'Expenditures 15-22'!K312</f>
        <v>281499</v>
      </c>
      <c r="C1560" s="2" t="s">
        <v>569</v>
      </c>
      <c r="D1560" s="2" t="str">
        <f t="shared" si="23"/>
        <v>Error?</v>
      </c>
    </row>
    <row r="1561" spans="1:4" x14ac:dyDescent="0.2">
      <c r="A1561" s="5">
        <v>1500</v>
      </c>
      <c r="B1561" s="1832">
        <f>'Expenditures 15-22'!K313</f>
        <v>-61391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678056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592179</v>
      </c>
      <c r="C1630" s="2" t="s">
        <v>569</v>
      </c>
      <c r="D1630" s="2" t="str">
        <f t="shared" si="24"/>
        <v>Error?</v>
      </c>
    </row>
    <row r="1631" spans="1:4" x14ac:dyDescent="0.2">
      <c r="A1631" s="5">
        <v>1570</v>
      </c>
      <c r="B1631" s="1832">
        <f>'Acct Summary 7-8'!D79</f>
        <v>-206661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51601</v>
      </c>
      <c r="C1644" s="2" t="s">
        <v>569</v>
      </c>
      <c r="D1644" s="2" t="str">
        <f t="shared" si="24"/>
        <v>Error?</v>
      </c>
    </row>
    <row r="1645" spans="1:4" x14ac:dyDescent="0.2">
      <c r="A1645" s="5">
        <v>1584</v>
      </c>
      <c r="B1645" s="1832">
        <f>'Acct Summary 7-8'!E79</f>
        <v>3636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1068</v>
      </c>
      <c r="C1658" s="2" t="s">
        <v>569</v>
      </c>
      <c r="D1658" s="2" t="str">
        <f t="shared" si="24"/>
        <v>Error?</v>
      </c>
    </row>
    <row r="1659" spans="1:4" x14ac:dyDescent="0.2">
      <c r="A1659" s="5">
        <v>1598</v>
      </c>
      <c r="B1659" s="1832">
        <f>'Acct Summary 7-8'!F79</f>
        <v>990746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1024530</v>
      </c>
      <c r="C1672" s="2" t="s">
        <v>569</v>
      </c>
      <c r="D1672" s="2" t="str">
        <f t="shared" si="25"/>
        <v>Error?</v>
      </c>
    </row>
    <row r="1673" spans="1:4" x14ac:dyDescent="0.2">
      <c r="A1673" s="5">
        <v>1612</v>
      </c>
      <c r="B1673" s="1832">
        <f>'Acct Summary 7-8'!G79</f>
        <v>36217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58504</v>
      </c>
      <c r="C1686" s="2" t="s">
        <v>569</v>
      </c>
      <c r="D1686" s="2" t="str">
        <f t="shared" si="25"/>
        <v>Error?</v>
      </c>
    </row>
    <row r="1687" spans="1:4" x14ac:dyDescent="0.2">
      <c r="A1687" s="5">
        <v>1626</v>
      </c>
      <c r="B1687" s="1832">
        <f>'Acct Summary 7-8'!H79</f>
        <v>1604908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1402432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2040388</v>
      </c>
      <c r="C1744" s="2" t="s">
        <v>569</v>
      </c>
      <c r="D1744" s="2" t="str">
        <f t="shared" si="26"/>
        <v>Error?</v>
      </c>
    </row>
    <row r="1745" spans="1:5" x14ac:dyDescent="0.2">
      <c r="A1745" s="5">
        <v>1684</v>
      </c>
      <c r="B1745" s="1832">
        <f>'Tax Sched 23'!B5</f>
        <v>531490</v>
      </c>
      <c r="C1745" s="2" t="s">
        <v>569</v>
      </c>
      <c r="D1745" s="2" t="str">
        <f t="shared" si="26"/>
        <v>Error?</v>
      </c>
    </row>
    <row r="1746" spans="1:5" x14ac:dyDescent="0.2">
      <c r="A1746" s="5">
        <v>1685</v>
      </c>
      <c r="B1746" s="1832">
        <f>'Tax Sched 23'!B6</f>
        <v>216757</v>
      </c>
      <c r="C1746" s="2" t="s">
        <v>569</v>
      </c>
      <c r="D1746" s="2" t="str">
        <f t="shared" si="26"/>
        <v>Error?</v>
      </c>
    </row>
    <row r="1747" spans="1:5" x14ac:dyDescent="0.2">
      <c r="A1747" s="5">
        <v>1686</v>
      </c>
      <c r="B1747" s="1832">
        <f>'Tax Sched 23'!B7</f>
        <v>73896</v>
      </c>
      <c r="C1747" s="2" t="s">
        <v>569</v>
      </c>
      <c r="D1747" s="2" t="str">
        <f t="shared" si="26"/>
        <v>Error?</v>
      </c>
    </row>
    <row r="1748" spans="1:5" x14ac:dyDescent="0.2">
      <c r="A1748" s="5">
        <v>1687</v>
      </c>
      <c r="B1748" s="1832">
        <f>'Tax Sched 23'!B8</f>
        <v>96982</v>
      </c>
      <c r="C1748" s="2" t="s">
        <v>569</v>
      </c>
      <c r="D1748" s="2" t="str">
        <f t="shared" si="26"/>
        <v>Error?</v>
      </c>
    </row>
    <row r="1749" spans="1:5" x14ac:dyDescent="0.2">
      <c r="A1749" s="5">
        <v>1688</v>
      </c>
      <c r="B1749" s="1832">
        <f>'Tax Sched 23'!B10</f>
        <v>18973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50803</v>
      </c>
      <c r="C1752" s="2" t="s">
        <v>569</v>
      </c>
      <c r="D1752" s="2" t="str">
        <f t="shared" si="26"/>
        <v>Error?</v>
      </c>
    </row>
    <row r="1753" spans="1:5" x14ac:dyDescent="0.2">
      <c r="A1753" s="5">
        <v>1692</v>
      </c>
      <c r="B1753" s="1832">
        <f>'Tax Sched 23'!B12</f>
        <v>986</v>
      </c>
      <c r="C1753" s="2" t="s">
        <v>569</v>
      </c>
      <c r="D1753" s="2" t="str">
        <f t="shared" si="26"/>
        <v>Error?</v>
      </c>
    </row>
    <row r="1754" spans="1:5" x14ac:dyDescent="0.2">
      <c r="A1754" s="5">
        <v>1693</v>
      </c>
      <c r="B1754" s="1832">
        <f>'Tax Sched 23'!B14</f>
        <v>38796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3161440</v>
      </c>
      <c r="C1759" s="2" t="s">
        <v>569</v>
      </c>
      <c r="D1759" s="2" t="str">
        <f t="shared" si="26"/>
        <v>Error?</v>
      </c>
    </row>
    <row r="1760" spans="1:5" x14ac:dyDescent="0.2">
      <c r="A1760" s="5">
        <v>1699</v>
      </c>
      <c r="B1760" s="1832">
        <f>'Tax Sched 23'!D4</f>
        <v>2040388</v>
      </c>
      <c r="C1760" s="2" t="s">
        <v>569</v>
      </c>
      <c r="D1760" s="2" t="str">
        <f t="shared" si="26"/>
        <v>Error?</v>
      </c>
    </row>
    <row r="1761" spans="1:7" x14ac:dyDescent="0.2">
      <c r="A1761" s="5">
        <v>1700</v>
      </c>
      <c r="B1761" s="1832">
        <f>'Tax Sched 23'!D5</f>
        <v>531490</v>
      </c>
      <c r="C1761" s="2" t="s">
        <v>569</v>
      </c>
      <c r="D1761" s="2" t="str">
        <f t="shared" si="26"/>
        <v>Error?</v>
      </c>
    </row>
    <row r="1762" spans="1:7" s="8" customFormat="1" x14ac:dyDescent="0.2">
      <c r="A1762" s="5">
        <v>1701</v>
      </c>
      <c r="B1762" s="1832">
        <f>'Tax Sched 23'!D6</f>
        <v>216757</v>
      </c>
      <c r="C1762" s="2" t="s">
        <v>569</v>
      </c>
      <c r="D1762" s="2" t="str">
        <f t="shared" si="26"/>
        <v>Error?</v>
      </c>
      <c r="E1762" s="9"/>
      <c r="G1762"/>
    </row>
    <row r="1763" spans="1:7" x14ac:dyDescent="0.2">
      <c r="A1763" s="5">
        <v>1702</v>
      </c>
      <c r="B1763" s="1832">
        <f>'Tax Sched 23'!D7</f>
        <v>73896</v>
      </c>
      <c r="C1763" s="2" t="s">
        <v>569</v>
      </c>
      <c r="D1763" s="2" t="str">
        <f t="shared" si="26"/>
        <v>Error?</v>
      </c>
    </row>
    <row r="1764" spans="1:7" x14ac:dyDescent="0.2">
      <c r="A1764" s="5">
        <v>1703</v>
      </c>
      <c r="B1764" s="1832">
        <f>'Tax Sched 23'!D8</f>
        <v>96982</v>
      </c>
      <c r="C1764" s="2" t="s">
        <v>569</v>
      </c>
      <c r="D1764" s="2" t="str">
        <f t="shared" si="26"/>
        <v>Error?</v>
      </c>
    </row>
    <row r="1765" spans="1:7" x14ac:dyDescent="0.2">
      <c r="A1765" s="5">
        <v>1704</v>
      </c>
      <c r="B1765" s="1832">
        <f>'Tax Sched 23'!D10</f>
        <v>18973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50803</v>
      </c>
      <c r="C1768" s="2" t="s">
        <v>569</v>
      </c>
      <c r="D1768" s="2" t="str">
        <f t="shared" si="26"/>
        <v>Error?</v>
      </c>
    </row>
    <row r="1769" spans="1:7" x14ac:dyDescent="0.2">
      <c r="A1769" s="5">
        <v>1708</v>
      </c>
      <c r="B1769" s="1832">
        <f>'Tax Sched 23'!D12</f>
        <v>986</v>
      </c>
      <c r="C1769" s="2" t="s">
        <v>569</v>
      </c>
      <c r="D1769" s="2" t="str">
        <f t="shared" si="26"/>
        <v>Error?</v>
      </c>
    </row>
    <row r="1770" spans="1:7" x14ac:dyDescent="0.2">
      <c r="A1770" s="5">
        <v>1709</v>
      </c>
      <c r="B1770" s="1832">
        <f>'Tax Sched 23'!D14</f>
        <v>38796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3161440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2103716</v>
      </c>
      <c r="C1792" s="2" t="s">
        <v>569</v>
      </c>
      <c r="D1792" s="2" t="str">
        <f t="shared" si="27"/>
        <v>Error?</v>
      </c>
    </row>
    <row r="1793" spans="1:4" x14ac:dyDescent="0.2">
      <c r="A1793" s="5">
        <v>1732</v>
      </c>
      <c r="B1793" s="1832">
        <f>'Tax Sched 23'!F5</f>
        <v>278547</v>
      </c>
      <c r="C1793" s="2" t="s">
        <v>569</v>
      </c>
      <c r="D1793" s="2" t="str">
        <f t="shared" si="27"/>
        <v>Error?</v>
      </c>
    </row>
    <row r="1794" spans="1:4" x14ac:dyDescent="0.2">
      <c r="A1794" s="5">
        <v>1733</v>
      </c>
      <c r="B1794" s="1832">
        <f>'Tax Sched 23'!F6</f>
        <v>220083</v>
      </c>
      <c r="C1794" s="2" t="s">
        <v>569</v>
      </c>
      <c r="D1794" s="2" t="str">
        <f t="shared" si="27"/>
        <v>Error?</v>
      </c>
    </row>
    <row r="1795" spans="1:4" x14ac:dyDescent="0.2">
      <c r="A1795" s="5">
        <v>1734</v>
      </c>
      <c r="B1795" s="1832">
        <f>'Tax Sched 23'!F7</f>
        <v>81847</v>
      </c>
      <c r="C1795" s="2" t="s">
        <v>569</v>
      </c>
      <c r="D1795" s="2" t="str">
        <f t="shared" si="27"/>
        <v>Error?</v>
      </c>
    </row>
    <row r="1796" spans="1:4" x14ac:dyDescent="0.2">
      <c r="A1796" s="5">
        <v>1735</v>
      </c>
      <c r="B1796" s="1832">
        <f>'Tax Sched 23'!F8</f>
        <v>96292</v>
      </c>
      <c r="C1796" s="2" t="s">
        <v>569</v>
      </c>
      <c r="D1796" s="2" t="str">
        <f t="shared" si="27"/>
        <v>Error?</v>
      </c>
    </row>
    <row r="1797" spans="1:4" x14ac:dyDescent="0.2">
      <c r="A1797" s="5">
        <v>1736</v>
      </c>
      <c r="B1797" s="1832">
        <f>'Tax Sched 23'!F10</f>
        <v>19568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52960</v>
      </c>
      <c r="C1800" s="2" t="s">
        <v>569</v>
      </c>
      <c r="D1800" s="2" t="str">
        <f t="shared" si="27"/>
        <v>Error?</v>
      </c>
    </row>
    <row r="1801" spans="1:4" x14ac:dyDescent="0.2">
      <c r="A1801" s="5">
        <v>1740</v>
      </c>
      <c r="B1801" s="1832">
        <f>'Tax Sched 23'!F12</f>
        <v>1015</v>
      </c>
      <c r="C1801" s="2" t="s">
        <v>569</v>
      </c>
      <c r="D1801" s="2" t="str">
        <f t="shared" si="27"/>
        <v>Error?</v>
      </c>
    </row>
    <row r="1802" spans="1:4" x14ac:dyDescent="0.2">
      <c r="A1802" s="5">
        <v>1741</v>
      </c>
      <c r="B1802" s="1832">
        <f>'Tax Sched 23'!F14</f>
        <v>41714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2996577</v>
      </c>
      <c r="C1807" s="2" t="s">
        <v>569</v>
      </c>
      <c r="D1807" s="2" t="str">
        <f t="shared" si="27"/>
        <v>Error?</v>
      </c>
    </row>
    <row r="1808" spans="1:4" x14ac:dyDescent="0.2">
      <c r="A1808" s="5">
        <v>1747</v>
      </c>
      <c r="B1808" s="1832">
        <f>'Tax Sched 23'!E4</f>
        <v>2103716</v>
      </c>
      <c r="D1808" s="2" t="str">
        <f t="shared" si="27"/>
        <v>Error?</v>
      </c>
    </row>
    <row r="1809" spans="1:4" x14ac:dyDescent="0.2">
      <c r="A1809" s="5">
        <v>1748</v>
      </c>
      <c r="B1809" s="1832">
        <f>'Tax Sched 23'!E5</f>
        <v>278547</v>
      </c>
      <c r="D1809" s="2" t="str">
        <f t="shared" si="27"/>
        <v>Error?</v>
      </c>
    </row>
    <row r="1810" spans="1:4" x14ac:dyDescent="0.2">
      <c r="A1810" s="5">
        <v>1749</v>
      </c>
      <c r="B1810" s="1832">
        <f>'Tax Sched 23'!E6</f>
        <v>220083</v>
      </c>
      <c r="D1810" s="2" t="str">
        <f t="shared" si="27"/>
        <v>Error?</v>
      </c>
    </row>
    <row r="1811" spans="1:4" x14ac:dyDescent="0.2">
      <c r="A1811" s="5">
        <v>1750</v>
      </c>
      <c r="B1811" s="1832">
        <f>'Tax Sched 23'!E7</f>
        <v>81847</v>
      </c>
      <c r="D1811" s="2" t="str">
        <f t="shared" si="27"/>
        <v>Error?</v>
      </c>
    </row>
    <row r="1812" spans="1:4" x14ac:dyDescent="0.2">
      <c r="A1812" s="5">
        <v>1751</v>
      </c>
      <c r="B1812" s="1832">
        <f>'Tax Sched 23'!E8</f>
        <v>96292</v>
      </c>
      <c r="D1812" s="2" t="str">
        <f t="shared" si="27"/>
        <v>Error?</v>
      </c>
    </row>
    <row r="1813" spans="1:4" x14ac:dyDescent="0.2">
      <c r="A1813" s="5">
        <v>1752</v>
      </c>
      <c r="B1813" s="1832">
        <f>'Tax Sched 23'!E10</f>
        <v>19568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52960</v>
      </c>
      <c r="D1816" s="2" t="str">
        <f t="shared" si="27"/>
        <v>Error?</v>
      </c>
    </row>
    <row r="1817" spans="1:4" x14ac:dyDescent="0.2">
      <c r="A1817" s="5">
        <v>1756</v>
      </c>
      <c r="B1817" s="1832">
        <f>'Tax Sched 23'!E12</f>
        <v>1015</v>
      </c>
      <c r="D1817" s="2" t="str">
        <f t="shared" si="27"/>
        <v>Error?</v>
      </c>
    </row>
    <row r="1818" spans="1:4" x14ac:dyDescent="0.2">
      <c r="A1818" s="5">
        <v>1757</v>
      </c>
      <c r="B1818" s="1832">
        <f>'Tax Sched 23'!E14</f>
        <v>41714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2996577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6280000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38796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38796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38796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17486</v>
      </c>
      <c r="D2008" s="2" t="str">
        <f t="shared" si="30"/>
        <v>Error?</v>
      </c>
    </row>
    <row r="2009" spans="1:4" x14ac:dyDescent="0.2">
      <c r="A2009" s="5">
        <v>1948</v>
      </c>
      <c r="B2009" s="1832">
        <f>'Cap Outlay Deprec 26'!C8</f>
        <v>7449648</v>
      </c>
      <c r="D2009" s="2" t="str">
        <f t="shared" si="30"/>
        <v>Error?</v>
      </c>
    </row>
    <row r="2010" spans="1:4" x14ac:dyDescent="0.2">
      <c r="A2010" s="5">
        <v>1949</v>
      </c>
      <c r="B2010" s="1832">
        <f>'Cap Outlay Deprec 26'!C10</f>
        <v>45278</v>
      </c>
      <c r="D2010" s="2" t="str">
        <f t="shared" si="30"/>
        <v>Error?</v>
      </c>
    </row>
    <row r="2011" spans="1:4" x14ac:dyDescent="0.2">
      <c r="A2011" s="5">
        <v>1950</v>
      </c>
      <c r="B2011" s="1832">
        <f>'Cap Outlay Deprec 26'!C12</f>
        <v>1161309</v>
      </c>
      <c r="D2011" s="2" t="str">
        <f t="shared" si="30"/>
        <v>Error?</v>
      </c>
    </row>
    <row r="2012" spans="1:4" x14ac:dyDescent="0.2">
      <c r="A2012" s="5">
        <v>1951</v>
      </c>
      <c r="B2012" s="1832">
        <f>'Cap Outlay Deprec 26'!C13</f>
        <v>645870</v>
      </c>
      <c r="D2012" s="2" t="str">
        <f t="shared" si="30"/>
        <v>Error?</v>
      </c>
    </row>
    <row r="2013" spans="1:4" x14ac:dyDescent="0.2">
      <c r="A2013" s="5">
        <v>1952</v>
      </c>
      <c r="B2013" s="1832">
        <f>'Cap Outlay Deprec 26'!C16</f>
        <v>9319591</v>
      </c>
      <c r="C2013" s="2" t="s">
        <v>569</v>
      </c>
      <c r="D2013" s="2" t="str">
        <f t="shared" si="30"/>
        <v>Error?</v>
      </c>
    </row>
    <row r="2014" spans="1:4" x14ac:dyDescent="0.2">
      <c r="A2014" s="5">
        <v>1953</v>
      </c>
      <c r="B2014" s="1832">
        <f>'Cap Outlay Deprec 26'!D5</f>
        <v>78170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16600</v>
      </c>
      <c r="D2016" s="2" t="str">
        <f t="shared" si="30"/>
        <v>Error?</v>
      </c>
    </row>
    <row r="2017" spans="1:4" x14ac:dyDescent="0.2">
      <c r="A2017" s="5">
        <v>1956</v>
      </c>
      <c r="B2017" s="1832">
        <f>'Cap Outlay Deprec 26'!D12</f>
        <v>201179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295949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4438</v>
      </c>
      <c r="D2023" s="2" t="str">
        <f t="shared" si="30"/>
        <v>Error?</v>
      </c>
    </row>
    <row r="2024" spans="1:4" x14ac:dyDescent="0.2">
      <c r="A2024" s="5">
        <v>1963</v>
      </c>
      <c r="B2024" s="1832">
        <f>'Cap Outlay Deprec 26'!E13</f>
        <v>2800</v>
      </c>
      <c r="D2024" s="2" t="str">
        <f t="shared" si="30"/>
        <v>Error?</v>
      </c>
    </row>
    <row r="2025" spans="1:4" x14ac:dyDescent="0.2">
      <c r="A2025" s="5">
        <v>1964</v>
      </c>
      <c r="B2025" s="1832">
        <f>'Cap Outlay Deprec 26'!E16</f>
        <v>7238</v>
      </c>
      <c r="C2025" s="2" t="s">
        <v>569</v>
      </c>
      <c r="D2025" s="2" t="str">
        <f t="shared" si="30"/>
        <v>Error?</v>
      </c>
    </row>
    <row r="2026" spans="1:4" x14ac:dyDescent="0.2">
      <c r="A2026" s="5">
        <v>1965</v>
      </c>
      <c r="B2026" s="1832">
        <f>'Cap Outlay Deprec 26'!F5</f>
        <v>95656</v>
      </c>
      <c r="C2026" s="2" t="s">
        <v>569</v>
      </c>
      <c r="D2026" s="2" t="str">
        <f t="shared" si="30"/>
        <v>Error?</v>
      </c>
    </row>
    <row r="2027" spans="1:4" x14ac:dyDescent="0.2">
      <c r="A2027" s="5">
        <v>1966</v>
      </c>
      <c r="B2027" s="1832">
        <f>'Cap Outlay Deprec 26'!F8</f>
        <v>7449648</v>
      </c>
      <c r="C2027" s="2" t="s">
        <v>569</v>
      </c>
      <c r="D2027" s="2" t="str">
        <f t="shared" si="30"/>
        <v>Error?</v>
      </c>
    </row>
    <row r="2028" spans="1:4" x14ac:dyDescent="0.2">
      <c r="A2028" s="5">
        <v>1967</v>
      </c>
      <c r="B2028" s="1832">
        <f>'Cap Outlay Deprec 26'!F10</f>
        <v>61878</v>
      </c>
      <c r="C2028" s="2" t="s">
        <v>569</v>
      </c>
      <c r="D2028" s="2" t="str">
        <f t="shared" si="30"/>
        <v>Error?</v>
      </c>
    </row>
    <row r="2029" spans="1:4" x14ac:dyDescent="0.2">
      <c r="A2029" s="5">
        <v>1968</v>
      </c>
      <c r="B2029" s="1832">
        <f>'Cap Outlay Deprec 26'!F12</f>
        <v>1358050</v>
      </c>
      <c r="C2029" s="2" t="s">
        <v>569</v>
      </c>
      <c r="D2029" s="2" t="str">
        <f t="shared" si="30"/>
        <v>Error?</v>
      </c>
    </row>
    <row r="2030" spans="1:4" x14ac:dyDescent="0.2">
      <c r="A2030" s="5">
        <v>1969</v>
      </c>
      <c r="B2030" s="1832">
        <f>'Cap Outlay Deprec 26'!F13</f>
        <v>643070</v>
      </c>
      <c r="C2030" s="2" t="s">
        <v>569</v>
      </c>
      <c r="D2030" s="2" t="str">
        <f t="shared" si="30"/>
        <v>Error?</v>
      </c>
    </row>
    <row r="2031" spans="1:4" x14ac:dyDescent="0.2">
      <c r="A2031" s="5">
        <v>1970</v>
      </c>
      <c r="B2031" s="1832">
        <f>'Cap Outlay Deprec 26'!F16</f>
        <v>9608302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1334283</v>
      </c>
      <c r="D2033" s="2" t="str">
        <f t="shared" si="30"/>
        <v>Error?</v>
      </c>
    </row>
    <row r="2034" spans="1:4" x14ac:dyDescent="0.2">
      <c r="A2034" s="5">
        <v>1973</v>
      </c>
      <c r="B2034" s="1832">
        <f>'Cap Outlay Deprec 26'!H10</f>
        <v>39138</v>
      </c>
      <c r="D2034" s="2" t="str">
        <f t="shared" si="30"/>
        <v>Error?</v>
      </c>
    </row>
    <row r="2035" spans="1:4" x14ac:dyDescent="0.2">
      <c r="A2035" s="5">
        <v>1974</v>
      </c>
      <c r="B2035" s="1832">
        <f>'Cap Outlay Deprec 26'!H12</f>
        <v>1072035</v>
      </c>
      <c r="D2035" s="2" t="str">
        <f t="shared" si="30"/>
        <v>Error?</v>
      </c>
    </row>
    <row r="2036" spans="1:4" x14ac:dyDescent="0.2">
      <c r="A2036" s="5">
        <v>1975</v>
      </c>
      <c r="B2036" s="1832">
        <f>'Cap Outlay Deprec 26'!H13</f>
        <v>394049</v>
      </c>
      <c r="D2036" s="2" t="str">
        <f t="shared" si="30"/>
        <v>Error?</v>
      </c>
    </row>
    <row r="2037" spans="1:4" x14ac:dyDescent="0.2">
      <c r="A2037" s="5">
        <v>1976</v>
      </c>
      <c r="B2037" s="1832">
        <f>'Cap Outlay Deprec 26'!H16</f>
        <v>2839505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125494</v>
      </c>
      <c r="D2039" s="2" t="str">
        <f t="shared" si="30"/>
        <v>Error?</v>
      </c>
    </row>
    <row r="2040" spans="1:4" x14ac:dyDescent="0.2">
      <c r="A2040" s="5">
        <v>1979</v>
      </c>
      <c r="B2040" s="1832">
        <f>'Cap Outlay Deprec 26'!I10</f>
        <v>1056</v>
      </c>
      <c r="D2040" s="2" t="str">
        <f t="shared" si="30"/>
        <v>Error?</v>
      </c>
    </row>
    <row r="2041" spans="1:4" x14ac:dyDescent="0.2">
      <c r="A2041" s="5">
        <v>1980</v>
      </c>
      <c r="B2041" s="1832">
        <f>'Cap Outlay Deprec 26'!I12</f>
        <v>24069</v>
      </c>
      <c r="D2041" s="2" t="str">
        <f t="shared" si="30"/>
        <v>Error?</v>
      </c>
    </row>
    <row r="2042" spans="1:4" x14ac:dyDescent="0.2">
      <c r="A2042" s="5">
        <v>1981</v>
      </c>
      <c r="B2042" s="1832">
        <f>'Cap Outlay Deprec 26'!I13</f>
        <v>71896</v>
      </c>
      <c r="D2042" s="2" t="str">
        <f t="shared" si="30"/>
        <v>Error?</v>
      </c>
    </row>
    <row r="2043" spans="1:4" x14ac:dyDescent="0.2">
      <c r="A2043" s="5">
        <v>1982</v>
      </c>
      <c r="B2043" s="1832">
        <f>'Cap Outlay Deprec 26'!I16</f>
        <v>222515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2800</v>
      </c>
      <c r="D2048" s="2" t="str">
        <f t="shared" si="31"/>
        <v>Error?</v>
      </c>
    </row>
    <row r="2049" spans="1:4" x14ac:dyDescent="0.2">
      <c r="A2049" s="5">
        <v>1988</v>
      </c>
      <c r="B2049" s="1832">
        <f>'Cap Outlay Deprec 26'!J16</f>
        <v>2800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1459777</v>
      </c>
      <c r="C2051" s="2" t="s">
        <v>569</v>
      </c>
      <c r="D2051" s="2" t="str">
        <f t="shared" si="31"/>
        <v>Error?</v>
      </c>
    </row>
    <row r="2052" spans="1:4" x14ac:dyDescent="0.2">
      <c r="A2052" s="5">
        <v>1991</v>
      </c>
      <c r="B2052" s="1832">
        <f>'Cap Outlay Deprec 26'!K10</f>
        <v>40194</v>
      </c>
      <c r="C2052" s="2" t="s">
        <v>569</v>
      </c>
      <c r="D2052" s="2" t="str">
        <f t="shared" si="31"/>
        <v>Error?</v>
      </c>
    </row>
    <row r="2053" spans="1:4" x14ac:dyDescent="0.2">
      <c r="A2053" s="5">
        <v>1992</v>
      </c>
      <c r="B2053" s="1832">
        <f>'Cap Outlay Deprec 26'!K12</f>
        <v>1096104</v>
      </c>
      <c r="C2053" s="2" t="s">
        <v>569</v>
      </c>
      <c r="D2053" s="2" t="str">
        <f t="shared" si="31"/>
        <v>Error?</v>
      </c>
    </row>
    <row r="2054" spans="1:4" x14ac:dyDescent="0.2">
      <c r="A2054" s="5">
        <v>1993</v>
      </c>
      <c r="B2054" s="1832">
        <f>'Cap Outlay Deprec 26'!K13</f>
        <v>463145</v>
      </c>
      <c r="C2054" s="2" t="s">
        <v>569</v>
      </c>
      <c r="D2054" s="2" t="str">
        <f t="shared" si="31"/>
        <v>Error?</v>
      </c>
    </row>
    <row r="2055" spans="1:4" x14ac:dyDescent="0.2">
      <c r="A2055" s="5">
        <v>1994</v>
      </c>
      <c r="B2055" s="1832">
        <f>'Cap Outlay Deprec 26'!K16</f>
        <v>3059220</v>
      </c>
      <c r="C2055" s="2" t="s">
        <v>569</v>
      </c>
      <c r="D2055" s="2" t="str">
        <f t="shared" si="31"/>
        <v>Error?</v>
      </c>
    </row>
    <row r="2056" spans="1:4" x14ac:dyDescent="0.2">
      <c r="A2056" s="5">
        <v>1995</v>
      </c>
      <c r="B2056" s="1832">
        <f>'Cap Outlay Deprec 26'!L5</f>
        <v>95656</v>
      </c>
      <c r="C2056" s="2" t="s">
        <v>569</v>
      </c>
      <c r="D2056" s="2" t="str">
        <f t="shared" si="31"/>
        <v>Error?</v>
      </c>
    </row>
    <row r="2057" spans="1:4" x14ac:dyDescent="0.2">
      <c r="A2057" s="5">
        <v>1996</v>
      </c>
      <c r="B2057" s="1832">
        <f>'Cap Outlay Deprec 26'!L8</f>
        <v>5989871</v>
      </c>
      <c r="C2057" s="2" t="s">
        <v>569</v>
      </c>
      <c r="D2057" s="2" t="str">
        <f t="shared" si="31"/>
        <v>Error?</v>
      </c>
    </row>
    <row r="2058" spans="1:4" x14ac:dyDescent="0.2">
      <c r="A2058" s="5">
        <v>1997</v>
      </c>
      <c r="B2058" s="1832">
        <f>'Cap Outlay Deprec 26'!L10</f>
        <v>21684</v>
      </c>
      <c r="C2058" s="2" t="s">
        <v>569</v>
      </c>
      <c r="D2058" s="2" t="str">
        <f t="shared" si="31"/>
        <v>Error?</v>
      </c>
    </row>
    <row r="2059" spans="1:4" x14ac:dyDescent="0.2">
      <c r="A2059" s="5">
        <v>1998</v>
      </c>
      <c r="B2059" s="1832">
        <f>'Cap Outlay Deprec 26'!L12</f>
        <v>261946</v>
      </c>
      <c r="C2059" s="2" t="s">
        <v>569</v>
      </c>
      <c r="D2059" s="2" t="str">
        <f t="shared" si="31"/>
        <v>Error?</v>
      </c>
    </row>
    <row r="2060" spans="1:4" x14ac:dyDescent="0.2">
      <c r="A2060" s="5">
        <v>1999</v>
      </c>
      <c r="B2060" s="1832">
        <f>'Cap Outlay Deprec 26'!L13</f>
        <v>179925</v>
      </c>
      <c r="C2060" s="2" t="s">
        <v>569</v>
      </c>
      <c r="D2060" s="2" t="str">
        <f t="shared" si="31"/>
        <v>Error?</v>
      </c>
    </row>
    <row r="2061" spans="1:4" x14ac:dyDescent="0.2">
      <c r="A2061" s="5">
        <v>2000</v>
      </c>
      <c r="B2061" s="1832">
        <f>'Cap Outlay Deprec 26'!L16</f>
        <v>6549082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223940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890092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2237660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576351</v>
      </c>
      <c r="C2553" s="2" t="s">
        <v>569</v>
      </c>
      <c r="D2553" s="2" t="str">
        <f t="shared" si="38"/>
        <v>Error?</v>
      </c>
    </row>
    <row r="2554" spans="1:4" x14ac:dyDescent="0.2">
      <c r="A2554" s="5">
        <v>2493</v>
      </c>
      <c r="B2554" s="1832">
        <f>'Acct Summary 7-8'!C7</f>
        <v>212493</v>
      </c>
      <c r="C2554" s="2" t="s">
        <v>569</v>
      </c>
      <c r="D2554" s="2" t="str">
        <f t="shared" si="38"/>
        <v>Error?</v>
      </c>
    </row>
    <row r="2555" spans="1:4" x14ac:dyDescent="0.2">
      <c r="A2555" s="5">
        <v>2494</v>
      </c>
      <c r="B2555" s="1832">
        <f>'Acct Summary 7-8'!C8</f>
        <v>3026504</v>
      </c>
      <c r="C2555" s="2" t="s">
        <v>569</v>
      </c>
      <c r="D2555" s="2" t="str">
        <f t="shared" si="38"/>
        <v>Error?</v>
      </c>
    </row>
    <row r="2556" spans="1:4" x14ac:dyDescent="0.2">
      <c r="A2556" s="5">
        <v>2495</v>
      </c>
      <c r="B2556" s="1832">
        <f>'Acct Summary 7-8'!C12</f>
        <v>1985362</v>
      </c>
      <c r="C2556" s="2" t="s">
        <v>569</v>
      </c>
      <c r="D2556" s="2" t="str">
        <f t="shared" si="38"/>
        <v>Error?</v>
      </c>
    </row>
    <row r="2557" spans="1:4" x14ac:dyDescent="0.2">
      <c r="A2557" s="5">
        <v>2496</v>
      </c>
      <c r="B2557" s="1832">
        <f>'Acct Summary 7-8'!C13</f>
        <v>902970</v>
      </c>
      <c r="C2557" s="2" t="s">
        <v>569</v>
      </c>
      <c r="D2557" s="2" t="str">
        <f t="shared" si="38"/>
        <v>Error?</v>
      </c>
    </row>
    <row r="2558" spans="1:4" x14ac:dyDescent="0.2">
      <c r="A2558" s="5">
        <v>2497</v>
      </c>
      <c r="B2558" s="1832">
        <f>'Acct Summary 7-8'!C14</f>
        <v>109</v>
      </c>
      <c r="C2558" s="2" t="s">
        <v>569</v>
      </c>
      <c r="D2558" s="2" t="str">
        <f t="shared" si="38"/>
        <v>Error?</v>
      </c>
    </row>
    <row r="2559" spans="1:4" x14ac:dyDescent="0.2">
      <c r="A2559" s="5">
        <v>2498</v>
      </c>
      <c r="B2559" s="1832">
        <f>'Acct Summary 7-8'!C15</f>
        <v>223940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3112381</v>
      </c>
      <c r="C2561" s="2" t="s">
        <v>569</v>
      </c>
      <c r="D2561" s="2" t="str">
        <f t="shared" si="39"/>
        <v>Error?</v>
      </c>
    </row>
    <row r="2562" spans="1:4" x14ac:dyDescent="0.2">
      <c r="A2562" s="5">
        <v>2501</v>
      </c>
      <c r="B2562" s="1832">
        <f>'Acct Summary 7-8'!C20</f>
        <v>-85877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617703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617703</v>
      </c>
      <c r="C2568" s="2" t="s">
        <v>569</v>
      </c>
      <c r="D2568" s="2" t="str">
        <f t="shared" si="39"/>
        <v>Error?</v>
      </c>
    </row>
    <row r="2569" spans="1:4" x14ac:dyDescent="0.2">
      <c r="A2569" s="5">
        <v>2508</v>
      </c>
      <c r="B2569" s="1832">
        <f>'Acct Summary 7-8'!D13</f>
        <v>359441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359441</v>
      </c>
      <c r="C2573" s="2" t="s">
        <v>569</v>
      </c>
      <c r="D2573" s="2" t="str">
        <f t="shared" si="39"/>
        <v>Error?</v>
      </c>
    </row>
    <row r="2574" spans="1:4" x14ac:dyDescent="0.2">
      <c r="A2574" s="5">
        <v>2513</v>
      </c>
      <c r="B2574" s="1832">
        <f>'Acct Summary 7-8'!D20</f>
        <v>258262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96896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166201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263097</v>
      </c>
      <c r="C2595" s="2" t="s">
        <v>569</v>
      </c>
      <c r="D2595" s="2" t="str">
        <f t="shared" si="39"/>
        <v>Error?</v>
      </c>
    </row>
    <row r="2596" spans="1:4" x14ac:dyDescent="0.2">
      <c r="A2596" s="5">
        <v>2535</v>
      </c>
      <c r="B2596" s="1832">
        <f>'Acct Summary 7-8'!F13</f>
        <v>229313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229313</v>
      </c>
      <c r="C2600" s="2" t="s">
        <v>569</v>
      </c>
      <c r="D2600" s="2" t="str">
        <f t="shared" si="39"/>
        <v>Error?</v>
      </c>
    </row>
    <row r="2601" spans="1:4" x14ac:dyDescent="0.2">
      <c r="A2601" s="5">
        <v>2540</v>
      </c>
      <c r="B2601" s="1832">
        <f>'Acct Summary 7-8'!F20</f>
        <v>33784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168824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168824</v>
      </c>
      <c r="C2606" s="2" t="s">
        <v>569</v>
      </c>
      <c r="D2606" s="2" t="str">
        <f t="shared" si="39"/>
        <v>Error?</v>
      </c>
    </row>
    <row r="2607" spans="1:4" x14ac:dyDescent="0.2">
      <c r="A2607" s="5">
        <v>2546</v>
      </c>
      <c r="B2607" s="1832">
        <f>'Acct Summary 7-8'!G12</f>
        <v>50105</v>
      </c>
      <c r="C2607" s="2" t="s">
        <v>569</v>
      </c>
      <c r="D2607" s="2" t="str">
        <f t="shared" si="39"/>
        <v>Error?</v>
      </c>
    </row>
    <row r="2608" spans="1:4" x14ac:dyDescent="0.2">
      <c r="A2608" s="5">
        <v>2547</v>
      </c>
      <c r="B2608" s="1832">
        <f>'Acct Summary 7-8'!G13</f>
        <v>96432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146537</v>
      </c>
      <c r="C2612" s="2" t="s">
        <v>569</v>
      </c>
      <c r="D2612" s="2" t="str">
        <f t="shared" si="39"/>
        <v>Error?</v>
      </c>
    </row>
    <row r="2613" spans="1:4" x14ac:dyDescent="0.2">
      <c r="A2613" s="5">
        <v>2552</v>
      </c>
      <c r="B2613" s="1832">
        <f>'Acct Summary 7-8'!G20</f>
        <v>22287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216757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216757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360410</v>
      </c>
      <c r="C2634" s="2" t="s">
        <v>569</v>
      </c>
      <c r="D2634" s="2" t="str">
        <f t="shared" si="40"/>
        <v>Error?</v>
      </c>
    </row>
    <row r="2635" spans="1:4" x14ac:dyDescent="0.2">
      <c r="A2635" s="5">
        <v>2574</v>
      </c>
      <c r="B2635" s="1832">
        <f>'Acct Summary 7-8'!E17</f>
        <v>360410</v>
      </c>
      <c r="C2635" s="2" t="s">
        <v>569</v>
      </c>
      <c r="D2635" s="2" t="str">
        <f t="shared" si="40"/>
        <v>Error?</v>
      </c>
    </row>
    <row r="2636" spans="1:4" x14ac:dyDescent="0.2">
      <c r="A2636" s="5">
        <v>2575</v>
      </c>
      <c r="B2636" s="1832">
        <f>'Acct Summary 7-8'!E20</f>
        <v>-143653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220108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220108</v>
      </c>
      <c r="C2658" s="2" t="s">
        <v>569</v>
      </c>
      <c r="D2658" s="2" t="str">
        <f t="shared" si="40"/>
        <v>Error?</v>
      </c>
    </row>
    <row r="2659" spans="1:4" x14ac:dyDescent="0.2">
      <c r="A2659" s="5">
        <v>2598</v>
      </c>
      <c r="B2659" s="1832">
        <f>'Acct Summary 7-8'!H13</f>
        <v>281499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281499</v>
      </c>
      <c r="C2661" s="2" t="s">
        <v>569</v>
      </c>
      <c r="D2661" s="2" t="str">
        <f t="shared" si="40"/>
        <v>Error?</v>
      </c>
    </row>
    <row r="2662" spans="1:4" x14ac:dyDescent="0.2">
      <c r="A2662" s="5">
        <v>2601</v>
      </c>
      <c r="B2662" s="1832">
        <f>'Acct Summary 7-8'!H20</f>
        <v>-61391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223940</v>
      </c>
      <c r="C2789" s="2" t="s">
        <v>569</v>
      </c>
      <c r="D2789" s="2" t="str">
        <f t="shared" si="42"/>
        <v>Error?</v>
      </c>
    </row>
    <row r="2790" spans="1:4" x14ac:dyDescent="0.2">
      <c r="A2790" s="5">
        <v>2729</v>
      </c>
      <c r="B2790" s="1832">
        <f>'Expenditures 15-22'!E102</f>
        <v>223940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215010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215010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1287772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1293733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32991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180726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7459</v>
      </c>
      <c r="D2908" s="2" t="str">
        <f t="shared" si="44"/>
        <v>Error?</v>
      </c>
    </row>
    <row r="2909" spans="1:4" x14ac:dyDescent="0.2">
      <c r="A2909" s="10">
        <v>2848</v>
      </c>
      <c r="B2909" s="1832"/>
      <c r="D2909" s="2" t="str">
        <f t="shared" si="44"/>
        <v>OK</v>
      </c>
    </row>
    <row r="2910" spans="1:4" x14ac:dyDescent="0.2">
      <c r="A2910" s="5">
        <v>2849</v>
      </c>
      <c r="B2910" s="1832">
        <f>'Assets-Liab 5-6'!I34</f>
        <v>7459</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1286274</v>
      </c>
      <c r="D2912" s="2" t="str">
        <f t="shared" si="44"/>
        <v>Error?</v>
      </c>
    </row>
    <row r="2913" spans="1:4" x14ac:dyDescent="0.2">
      <c r="A2913" s="5">
        <v>2852</v>
      </c>
      <c r="B2913" s="1832">
        <f>'Assets-Liab 5-6'!I41</f>
        <v>1293733</v>
      </c>
      <c r="C2913" s="2" t="s">
        <v>569</v>
      </c>
      <c r="D2913" s="2" t="str">
        <f t="shared" si="44"/>
        <v>Error?</v>
      </c>
    </row>
    <row r="2914" spans="1:4" x14ac:dyDescent="0.2">
      <c r="A2914" s="5">
        <v>2853</v>
      </c>
      <c r="B2914" s="1832">
        <f>'Assets-Liab 5-6'!L33</f>
        <v>180726</v>
      </c>
      <c r="D2914" s="2" t="str">
        <f t="shared" si="44"/>
        <v>Error?</v>
      </c>
    </row>
    <row r="2915" spans="1:4" x14ac:dyDescent="0.2">
      <c r="A2915" s="10">
        <v>2854</v>
      </c>
      <c r="B2915" s="1832"/>
      <c r="D2915" s="2" t="str">
        <f t="shared" si="44"/>
        <v>OK</v>
      </c>
    </row>
    <row r="2916" spans="1:4" x14ac:dyDescent="0.2">
      <c r="A2916" s="5">
        <v>2855</v>
      </c>
      <c r="B2916" s="1832">
        <f>'Assets-Liab 5-6'!L34</f>
        <v>180726</v>
      </c>
      <c r="C2916" s="2" t="s">
        <v>569</v>
      </c>
      <c r="D2916" s="2" t="str">
        <f t="shared" si="44"/>
        <v>Error?</v>
      </c>
    </row>
    <row r="2917" spans="1:4" x14ac:dyDescent="0.2">
      <c r="A2917" s="5">
        <v>2856</v>
      </c>
      <c r="B2917" s="1832">
        <f>'Assets-Liab 5-6'!L41</f>
        <v>180726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995</v>
      </c>
      <c r="D2949" s="2" t="str">
        <f t="shared" si="45"/>
        <v>Error?</v>
      </c>
    </row>
    <row r="2950" spans="1:4" x14ac:dyDescent="0.2">
      <c r="A2950" s="5">
        <v>2889</v>
      </c>
      <c r="B2950" s="1832">
        <f>'Expenditures 15-22'!E79</f>
        <v>199077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23868</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995</v>
      </c>
      <c r="C2973" s="2" t="s">
        <v>569</v>
      </c>
      <c r="D2973" s="2" t="str">
        <f t="shared" si="45"/>
        <v>Error?</v>
      </c>
    </row>
    <row r="2974" spans="1:4" x14ac:dyDescent="0.2">
      <c r="A2974" s="5">
        <v>2913</v>
      </c>
      <c r="B2974" s="1832">
        <f>'Expenditures 15-22'!K79</f>
        <v>199077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23868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69537</v>
      </c>
      <c r="D3055" s="2" t="str">
        <f t="shared" si="46"/>
        <v>Error?</v>
      </c>
    </row>
    <row r="3056" spans="1:4" x14ac:dyDescent="0.2">
      <c r="A3056" s="5">
        <v>2995</v>
      </c>
      <c r="B3056" s="1832">
        <f>'Expenditures 15-22'!D10</f>
        <v>24063</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93600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1008</v>
      </c>
      <c r="D3064" s="2" t="str">
        <f t="shared" si="46"/>
        <v>Error?</v>
      </c>
    </row>
    <row r="3065" spans="1:4" x14ac:dyDescent="0.2">
      <c r="A3065" s="5">
        <v>3004</v>
      </c>
      <c r="B3065" s="1832">
        <f>'Expenditures 15-22'!K219</f>
        <v>1008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42794</v>
      </c>
      <c r="C3225" s="2" t="s">
        <v>569</v>
      </c>
      <c r="D3225" s="2" t="str">
        <f t="shared" si="49"/>
        <v>Error?</v>
      </c>
    </row>
    <row r="3226" spans="1:4" x14ac:dyDescent="0.2">
      <c r="A3226" s="5">
        <v>3165</v>
      </c>
      <c r="B3226" s="1832">
        <f>'Acct Summary 7-8'!I8</f>
        <v>42794</v>
      </c>
      <c r="C3226" s="2" t="s">
        <v>569</v>
      </c>
      <c r="D3226" s="2" t="str">
        <f t="shared" si="49"/>
        <v>Error?</v>
      </c>
    </row>
    <row r="3227" spans="1:4" x14ac:dyDescent="0.2">
      <c r="A3227" s="5">
        <v>3166</v>
      </c>
      <c r="B3227" s="1832">
        <f>'Acct Summary 7-8'!I20</f>
        <v>42794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-85877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258262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33784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22287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141085</v>
      </c>
      <c r="D3273" s="2" t="str">
        <f t="shared" si="50"/>
        <v>Error?</v>
      </c>
    </row>
    <row r="3274" spans="1:4" x14ac:dyDescent="0.2">
      <c r="A3274" s="5">
        <v>3213</v>
      </c>
      <c r="B3274" s="1832">
        <f>'Acct Summary 7-8'!E44</f>
        <v>141085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141085</v>
      </c>
      <c r="C3277" s="2" t="s">
        <v>569</v>
      </c>
      <c r="D3277" s="2" t="str">
        <f t="shared" si="50"/>
        <v>Error?</v>
      </c>
    </row>
    <row r="3278" spans="1:4" x14ac:dyDescent="0.2">
      <c r="A3278" s="5">
        <v>3217</v>
      </c>
      <c r="B3278" s="1832">
        <f>'Acct Summary 7-8'!E78</f>
        <v>-2568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141085</v>
      </c>
      <c r="D3297" s="2" t="str">
        <f t="shared" si="50"/>
        <v>Error?</v>
      </c>
    </row>
    <row r="3298" spans="1:4" x14ac:dyDescent="0.2">
      <c r="A3298" s="5">
        <v>3237</v>
      </c>
      <c r="B3298" s="1832">
        <f>'Acct Summary 7-8'!H76</f>
        <v>141085</v>
      </c>
      <c r="C3298" s="2" t="s">
        <v>569</v>
      </c>
      <c r="D3298" s="2" t="str">
        <f t="shared" si="50"/>
        <v>Error?</v>
      </c>
    </row>
    <row r="3299" spans="1:4" x14ac:dyDescent="0.2">
      <c r="A3299" s="5">
        <v>3238</v>
      </c>
      <c r="B3299" s="1832">
        <f>'Acct Summary 7-8'!H77</f>
        <v>-141085</v>
      </c>
      <c r="C3299" s="2" t="s">
        <v>569</v>
      </c>
      <c r="D3299" s="2" t="str">
        <f t="shared" si="50"/>
        <v>Error?</v>
      </c>
    </row>
    <row r="3300" spans="1:4" x14ac:dyDescent="0.2">
      <c r="A3300" s="5">
        <v>3239</v>
      </c>
      <c r="B3300" s="1832">
        <f>'Acct Summary 7-8'!H78</f>
        <v>-202476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42794</v>
      </c>
      <c r="C3320" s="2" t="s">
        <v>569</v>
      </c>
      <c r="D3320" s="2" t="str">
        <f t="shared" si="50"/>
        <v>Error?</v>
      </c>
    </row>
    <row r="3321" spans="1:4" x14ac:dyDescent="0.2">
      <c r="A3321" s="5">
        <v>3260</v>
      </c>
      <c r="B3321" s="1832">
        <f>'Acct Summary 7-8'!I79</f>
        <v>1243480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1286274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168808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37228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445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1439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207920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41156</v>
      </c>
      <c r="D3387" s="2" t="str">
        <f t="shared" si="51"/>
        <v>Error?</v>
      </c>
    </row>
    <row r="3388" spans="1:4" x14ac:dyDescent="0.2">
      <c r="A3388" s="5">
        <v>3327</v>
      </c>
      <c r="B3388" s="1832">
        <f>'Expenditures 15-22'!D217</f>
        <v>2448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41156</v>
      </c>
      <c r="C3390" s="2" t="s">
        <v>569</v>
      </c>
      <c r="D3390" s="2" t="str">
        <f t="shared" si="51"/>
        <v>Error?</v>
      </c>
    </row>
    <row r="3391" spans="1:4" x14ac:dyDescent="0.2">
      <c r="A3391" s="5">
        <v>3330</v>
      </c>
      <c r="B3391" s="1832">
        <f>'Expenditures 15-22'!K217</f>
        <v>2448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1106011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131603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84957</v>
      </c>
      <c r="D3417" s="2" t="str">
        <f t="shared" si="52"/>
        <v>Error?</v>
      </c>
    </row>
    <row r="3418" spans="1:4" x14ac:dyDescent="0.2">
      <c r="A3418" s="10">
        <v>3357</v>
      </c>
      <c r="B3418" s="1832"/>
      <c r="D3418" s="2" t="str">
        <f t="shared" si="52"/>
        <v>OK</v>
      </c>
    </row>
    <row r="3419" spans="1:4" x14ac:dyDescent="0.2">
      <c r="A3419" s="5">
        <v>3358</v>
      </c>
      <c r="B3419" s="1832">
        <f>'Assets-Liab 5-6'!F4</f>
        <v>215728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89570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402432</v>
      </c>
      <c r="D3425" s="2" t="str">
        <f t="shared" si="52"/>
        <v>Error?</v>
      </c>
    </row>
    <row r="3426" spans="1:4" x14ac:dyDescent="0.2">
      <c r="A3426" s="10">
        <v>3365</v>
      </c>
      <c r="B3426" s="1832"/>
      <c r="D3426" s="2" t="str">
        <f t="shared" si="52"/>
        <v>OK</v>
      </c>
    </row>
    <row r="3427" spans="1:4" x14ac:dyDescent="0.2">
      <c r="A3427" s="5">
        <v>3366</v>
      </c>
      <c r="B3427" s="1832">
        <f>'Assets-Liab 5-6'!I4</f>
        <v>5961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147735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69277</v>
      </c>
      <c r="C3446" s="2" t="s">
        <v>569</v>
      </c>
      <c r="D3446" s="2" t="str">
        <f t="shared" si="52"/>
        <v>Error?</v>
      </c>
    </row>
    <row r="3447" spans="1:4" x14ac:dyDescent="0.2">
      <c r="A3447" s="5">
        <v>3386</v>
      </c>
      <c r="B3447" s="1832">
        <f>'Tax Sched 23'!D16</f>
        <v>69277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77019</v>
      </c>
      <c r="C3449" s="2" t="s">
        <v>569</v>
      </c>
      <c r="D3449" s="2" t="str">
        <f t="shared" si="52"/>
        <v>Error?</v>
      </c>
    </row>
    <row r="3450" spans="1:4" x14ac:dyDescent="0.2">
      <c r="A3450" s="5">
        <v>3389</v>
      </c>
      <c r="B3450" s="1832">
        <f>'Tax Sched 23'!E16</f>
        <v>77019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27282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27282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387</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387</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26895</v>
      </c>
      <c r="D3567" s="2" t="str">
        <f t="shared" si="54"/>
        <v>Error?</v>
      </c>
    </row>
    <row r="3568" spans="1:4" x14ac:dyDescent="0.2">
      <c r="A3568" s="5">
        <v>3507</v>
      </c>
      <c r="B3568" s="1832">
        <f>'Assets-Liab 5-6'!K41</f>
        <v>27282</v>
      </c>
      <c r="C3568" s="2" t="s">
        <v>569</v>
      </c>
      <c r="D3568" s="2" t="str">
        <f t="shared" si="54"/>
        <v>Error?</v>
      </c>
    </row>
    <row r="3569" spans="1:4" x14ac:dyDescent="0.2">
      <c r="A3569" s="5">
        <v>3508</v>
      </c>
      <c r="B3569" s="1832">
        <f>'Acct Summary 7-8'!K4</f>
        <v>986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986</v>
      </c>
      <c r="C3571" s="2" t="s">
        <v>569</v>
      </c>
      <c r="D3571" s="2" t="str">
        <f t="shared" si="54"/>
        <v>Error?</v>
      </c>
    </row>
    <row r="3572" spans="1:4" x14ac:dyDescent="0.2">
      <c r="A3572" s="5">
        <v>3511</v>
      </c>
      <c r="B3572" s="1832">
        <f>'Acct Summary 7-8'!K13</f>
        <v>1955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1955</v>
      </c>
      <c r="C3575" s="2" t="s">
        <v>569</v>
      </c>
      <c r="D3575" s="2" t="str">
        <f t="shared" si="54"/>
        <v>Error?</v>
      </c>
    </row>
    <row r="3576" spans="1:4" x14ac:dyDescent="0.2">
      <c r="A3576" s="5">
        <v>3515</v>
      </c>
      <c r="B3576" s="1832">
        <f>'Acct Summary 7-8'!K20</f>
        <v>-969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-969</v>
      </c>
      <c r="C3588" s="2" t="s">
        <v>569</v>
      </c>
      <c r="D3588" s="2" t="str">
        <f t="shared" si="55"/>
        <v>Error?</v>
      </c>
    </row>
    <row r="3589" spans="1:4" x14ac:dyDescent="0.2">
      <c r="A3589" s="5">
        <v>3528</v>
      </c>
      <c r="B3589" s="1832">
        <f>'Acct Summary 7-8'!K79</f>
        <v>27864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26895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1955</v>
      </c>
      <c r="D3639" s="2" t="str">
        <f t="shared" si="55"/>
        <v>Error?</v>
      </c>
    </row>
    <row r="3640" spans="1:4" x14ac:dyDescent="0.2">
      <c r="A3640" s="5">
        <v>3579</v>
      </c>
      <c r="B3640" s="1832">
        <f>'Expenditures 15-22'!F350</f>
        <v>1955</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1955</v>
      </c>
      <c r="C3642" s="2" t="s">
        <v>569</v>
      </c>
      <c r="D3642" s="2" t="str">
        <f t="shared" si="55"/>
        <v>Error?</v>
      </c>
    </row>
    <row r="3643" spans="1:4" x14ac:dyDescent="0.2">
      <c r="A3643" s="5">
        <v>3582</v>
      </c>
      <c r="B3643" s="1832">
        <f>'Expenditures 15-22'!F367</f>
        <v>1955</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1955</v>
      </c>
      <c r="C3669" s="2" t="s">
        <v>569</v>
      </c>
      <c r="D3669" s="2" t="str">
        <f t="shared" si="56"/>
        <v>Error?</v>
      </c>
    </row>
    <row r="3670" spans="1:4" x14ac:dyDescent="0.2">
      <c r="A3670" s="5">
        <v>3609</v>
      </c>
      <c r="B3670" s="1832">
        <f>'Expenditures 15-22'!K350</f>
        <v>1955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1955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1955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-969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23092</v>
      </c>
      <c r="C3725" s="2" t="s">
        <v>569</v>
      </c>
      <c r="D3725" s="2" t="str">
        <f t="shared" si="57"/>
        <v>Error?</v>
      </c>
    </row>
    <row r="3726" spans="1:4" x14ac:dyDescent="0.2">
      <c r="A3726" s="5">
        <v>3665</v>
      </c>
      <c r="B3726" s="1832">
        <f>'Tax Sched 23'!D13</f>
        <v>23092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23816</v>
      </c>
      <c r="C3728" s="2" t="s">
        <v>569</v>
      </c>
      <c r="D3728" s="2" t="str">
        <f t="shared" si="57"/>
        <v>Error?</v>
      </c>
    </row>
    <row r="3729" spans="1:4" x14ac:dyDescent="0.2">
      <c r="A3729" s="5">
        <v>3668</v>
      </c>
      <c r="B3729" s="1832">
        <f>'Tax Sched 23'!E13</f>
        <v>23816</v>
      </c>
      <c r="D3729" s="2" t="str">
        <f t="shared" si="57"/>
        <v>Error?</v>
      </c>
    </row>
    <row r="3730" spans="1:4" x14ac:dyDescent="0.2">
      <c r="A3730" s="5">
        <v>3669</v>
      </c>
      <c r="B3730" s="1832">
        <f>'ICR Computation 30'!E10</f>
        <v>71418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1413967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4440471</v>
      </c>
      <c r="C4122" s="2" t="s">
        <v>569</v>
      </c>
      <c r="D4122" s="2" t="str">
        <f t="shared" si="63"/>
        <v>Error?</v>
      </c>
    </row>
    <row r="4123" spans="1:4" x14ac:dyDescent="0.2">
      <c r="A4123" s="5">
        <v>4062</v>
      </c>
      <c r="B4123" s="1832">
        <f>'Acct Summary 7-8'!D10</f>
        <v>617703</v>
      </c>
      <c r="C4123" s="2" t="s">
        <v>569</v>
      </c>
      <c r="D4123" s="2" t="str">
        <f t="shared" si="63"/>
        <v>Error?</v>
      </c>
    </row>
    <row r="4124" spans="1:4" x14ac:dyDescent="0.2">
      <c r="A4124" s="5">
        <v>4063</v>
      </c>
      <c r="B4124" s="1832">
        <f>'Acct Summary 7-8'!E10</f>
        <v>216757</v>
      </c>
      <c r="C4124" s="2" t="s">
        <v>569</v>
      </c>
      <c r="D4124" s="2" t="str">
        <f t="shared" si="63"/>
        <v>Error?</v>
      </c>
    </row>
    <row r="4125" spans="1:4" x14ac:dyDescent="0.2">
      <c r="A4125" s="5">
        <v>4064</v>
      </c>
      <c r="B4125" s="1832">
        <f>'Acct Summary 7-8'!F10</f>
        <v>263097</v>
      </c>
      <c r="C4125" s="2" t="s">
        <v>569</v>
      </c>
      <c r="D4125" s="2" t="str">
        <f t="shared" si="63"/>
        <v>Error?</v>
      </c>
    </row>
    <row r="4126" spans="1:4" x14ac:dyDescent="0.2">
      <c r="A4126" s="5">
        <v>4065</v>
      </c>
      <c r="B4126" s="1832">
        <f>'Acct Summary 7-8'!G10</f>
        <v>168824</v>
      </c>
      <c r="C4126" s="2" t="s">
        <v>569</v>
      </c>
      <c r="D4126" s="2" t="str">
        <f t="shared" si="63"/>
        <v>Error?</v>
      </c>
    </row>
    <row r="4127" spans="1:4" x14ac:dyDescent="0.2">
      <c r="A4127" s="5">
        <v>4066</v>
      </c>
      <c r="B4127" s="1832">
        <f>'Acct Summary 7-8'!H10</f>
        <v>220108</v>
      </c>
      <c r="C4127" s="2" t="s">
        <v>569</v>
      </c>
      <c r="D4127" s="2" t="str">
        <f t="shared" si="63"/>
        <v>Error?</v>
      </c>
    </row>
    <row r="4128" spans="1:4" x14ac:dyDescent="0.2">
      <c r="A4128" s="5">
        <v>4067</v>
      </c>
      <c r="B4128" s="1832">
        <f>'Acct Summary 7-8'!I10</f>
        <v>42794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986</v>
      </c>
      <c r="C4130" s="2" t="s">
        <v>569</v>
      </c>
      <c r="D4130" s="2" t="str">
        <f t="shared" si="63"/>
        <v>Error?</v>
      </c>
    </row>
    <row r="4131" spans="1:4" x14ac:dyDescent="0.2">
      <c r="A4131" s="5">
        <v>4070</v>
      </c>
      <c r="B4131" s="1832">
        <f>'Acct Summary 7-8'!C18</f>
        <v>1413967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4526348</v>
      </c>
      <c r="C4136" s="2" t="s">
        <v>569</v>
      </c>
      <c r="D4136" s="2" t="str">
        <f t="shared" si="63"/>
        <v>Error?</v>
      </c>
    </row>
    <row r="4137" spans="1:4" x14ac:dyDescent="0.2">
      <c r="A4137" s="5">
        <v>4076</v>
      </c>
      <c r="B4137" s="1832">
        <f>'Acct Summary 7-8'!D19</f>
        <v>359441</v>
      </c>
      <c r="C4137" s="2" t="s">
        <v>569</v>
      </c>
      <c r="D4137" s="2" t="str">
        <f t="shared" si="63"/>
        <v>Error?</v>
      </c>
    </row>
    <row r="4138" spans="1:4" x14ac:dyDescent="0.2">
      <c r="A4138" s="5">
        <v>4077</v>
      </c>
      <c r="B4138" s="1832">
        <f>'Acct Summary 7-8'!E19</f>
        <v>360410</v>
      </c>
      <c r="C4138" s="2" t="s">
        <v>569</v>
      </c>
      <c r="D4138" s="2" t="str">
        <f t="shared" si="63"/>
        <v>Error?</v>
      </c>
    </row>
    <row r="4139" spans="1:4" x14ac:dyDescent="0.2">
      <c r="A4139" s="5">
        <v>4078</v>
      </c>
      <c r="B4139" s="1832">
        <f>'Acct Summary 7-8'!F19</f>
        <v>229313</v>
      </c>
      <c r="C4139" s="2" t="s">
        <v>569</v>
      </c>
      <c r="D4139" s="2" t="str">
        <f t="shared" si="63"/>
        <v>Error?</v>
      </c>
    </row>
    <row r="4140" spans="1:4" x14ac:dyDescent="0.2">
      <c r="A4140" s="5">
        <v>4079</v>
      </c>
      <c r="B4140" s="1832">
        <f>'Acct Summary 7-8'!G19</f>
        <v>146537</v>
      </c>
      <c r="C4140" s="2" t="s">
        <v>569</v>
      </c>
      <c r="D4140" s="2" t="str">
        <f t="shared" si="63"/>
        <v>Error?</v>
      </c>
    </row>
    <row r="4141" spans="1:4" x14ac:dyDescent="0.2">
      <c r="A4141" s="5">
        <v>4080</v>
      </c>
      <c r="B4141" s="1832">
        <f>'Acct Summary 7-8'!H19</f>
        <v>281499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1955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6135000</v>
      </c>
      <c r="C4171" s="2" t="s">
        <v>569</v>
      </c>
      <c r="D4171" s="2" t="str">
        <f t="shared" si="64"/>
        <v>Error?</v>
      </c>
    </row>
    <row r="4172" spans="1:4" x14ac:dyDescent="0.2">
      <c r="A4172" s="5">
        <v>4111</v>
      </c>
      <c r="B4172" s="1832">
        <f>'Short-Term Long-Term Debt 24'!J49</f>
        <v>6133932</v>
      </c>
      <c r="C4172" s="2" t="s">
        <v>569</v>
      </c>
      <c r="D4172" s="2" t="str">
        <f t="shared" si="64"/>
        <v>Error?</v>
      </c>
    </row>
    <row r="4173" spans="1:4" x14ac:dyDescent="0.2">
      <c r="A4173" s="5">
        <v>4112</v>
      </c>
      <c r="B4173" s="1832">
        <f>'Short-Term Long-Term Debt 24'!H49</f>
        <v>145000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3189.7200000000003</v>
      </c>
      <c r="C4265" s="2" t="s">
        <v>569</v>
      </c>
      <c r="D4265" s="2" t="str">
        <f t="shared" si="65"/>
        <v>Error?</v>
      </c>
      <c r="E4265" s="125"/>
    </row>
    <row r="4266" spans="1:5" x14ac:dyDescent="0.2">
      <c r="A4266" s="12">
        <v>4205</v>
      </c>
      <c r="B4266" s="1832">
        <f>('FP Info 3'!F10)*100000</f>
        <v>422.34000000000003</v>
      </c>
      <c r="C4266" s="2" t="s">
        <v>569</v>
      </c>
      <c r="D4266" s="2" t="str">
        <f t="shared" si="65"/>
        <v>Error?</v>
      </c>
      <c r="E4266" s="125"/>
    </row>
    <row r="4267" spans="1:5" x14ac:dyDescent="0.2">
      <c r="A4267" s="12">
        <v>4206</v>
      </c>
      <c r="B4267" s="1832">
        <f>('FP Info 3'!H10)*100000</f>
        <v>124.1</v>
      </c>
      <c r="C4267" s="2" t="s">
        <v>569</v>
      </c>
      <c r="D4267" s="2" t="str">
        <f t="shared" si="65"/>
        <v>Error?</v>
      </c>
      <c r="E4267" s="125"/>
    </row>
    <row r="4268" spans="1:5" x14ac:dyDescent="0.2">
      <c r="A4268" s="12">
        <v>4207</v>
      </c>
      <c r="B4268" s="1832">
        <f>('FP Info 3'!J10)*100000</f>
        <v>3735.9999999999995</v>
      </c>
      <c r="C4268" s="2" t="s">
        <v>569</v>
      </c>
      <c r="D4268" s="2" t="str">
        <f t="shared" si="65"/>
        <v>Error?</v>
      </c>
    </row>
    <row r="4269" spans="1:5" x14ac:dyDescent="0.2">
      <c r="A4269" s="12">
        <v>4208</v>
      </c>
      <c r="B4269" s="1832">
        <f>'FP Info 3'!J16</f>
        <v>2954584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8488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3988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19471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19471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5961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30.810000000000002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21035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65952504</v>
      </c>
      <c r="D4995" s="2" t="str">
        <f t="shared" si="77"/>
        <v>Error?</v>
      </c>
    </row>
    <row r="4996" spans="1:4" x14ac:dyDescent="0.2">
      <c r="A4996" s="12">
        <v>4935</v>
      </c>
      <c r="B4996" s="1832">
        <f>'FP Info 3'!H31</f>
        <v>9101445.5520000011</v>
      </c>
      <c r="D4996" s="2" t="str">
        <f t="shared" si="77"/>
        <v>Error?</v>
      </c>
    </row>
    <row r="4997" spans="1:4" x14ac:dyDescent="0.2">
      <c r="A4997" s="12">
        <v>4936</v>
      </c>
      <c r="B4997" s="1832">
        <f>'FP Info 3'!H37</f>
        <v>6135000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23092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2040388</v>
      </c>
      <c r="D5061" s="2" t="str">
        <f t="shared" si="78"/>
        <v>Error?</v>
      </c>
    </row>
    <row r="5062" spans="1:4" x14ac:dyDescent="0.2">
      <c r="A5062" s="10">
        <v>5001</v>
      </c>
      <c r="B5062" s="1832"/>
      <c r="D5062" s="2" t="str">
        <f t="shared" si="78"/>
        <v>OK</v>
      </c>
    </row>
    <row r="5063" spans="1:4" x14ac:dyDescent="0.2">
      <c r="A5063" s="5">
        <v>5002</v>
      </c>
      <c r="B5063" s="1832">
        <f>'Revenues 9-14'!C7</f>
        <v>38796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2102276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35070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11009</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46079</v>
      </c>
      <c r="C5087" s="2" t="s">
        <v>569</v>
      </c>
      <c r="D5087" s="2" t="str">
        <f t="shared" si="78"/>
        <v>Error?</v>
      </c>
    </row>
    <row r="5088" spans="1:4" x14ac:dyDescent="0.2">
      <c r="A5088" s="5">
        <v>5027</v>
      </c>
      <c r="B5088" s="1832">
        <f>'Revenues 9-14'!C65</f>
        <v>8356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8356</v>
      </c>
      <c r="C5090" s="2" t="s">
        <v>569</v>
      </c>
      <c r="D5090" s="2" t="str">
        <f t="shared" si="78"/>
        <v>Error?</v>
      </c>
    </row>
    <row r="5091" spans="1:4" x14ac:dyDescent="0.2">
      <c r="A5091" s="5">
        <v>5030</v>
      </c>
      <c r="B5091" s="1832">
        <f>'Revenues 9-14'!C70</f>
        <v>7537</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33175</v>
      </c>
      <c r="C5096" s="2" t="s">
        <v>569</v>
      </c>
      <c r="D5096" s="2" t="str">
        <f t="shared" si="78"/>
        <v>Error?</v>
      </c>
    </row>
    <row r="5097" spans="1:4" x14ac:dyDescent="0.2">
      <c r="A5097" s="5">
        <v>5036</v>
      </c>
      <c r="B5097" s="1832">
        <f>'Revenues 9-14'!C77</f>
        <v>6879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2842</v>
      </c>
      <c r="D5099" s="2" t="str">
        <f t="shared" si="78"/>
        <v>Error?</v>
      </c>
    </row>
    <row r="5100" spans="1:4" x14ac:dyDescent="0.2">
      <c r="A5100" s="5">
        <v>5039</v>
      </c>
      <c r="B5100" s="1832">
        <f>'Revenues 9-14'!C80</f>
        <v>600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10321</v>
      </c>
      <c r="C5102" s="2" t="s">
        <v>569</v>
      </c>
      <c r="D5102" s="2" t="str">
        <f t="shared" si="78"/>
        <v>Error?</v>
      </c>
    </row>
    <row r="5103" spans="1:4" x14ac:dyDescent="0.2">
      <c r="A5103" s="5">
        <v>5042</v>
      </c>
      <c r="B5103" s="1832">
        <f>'Revenues 9-14'!C84</f>
        <v>13028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13028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3390</v>
      </c>
      <c r="D5119" s="2" t="str">
        <f t="shared" ref="D5119:D5182" si="79">IF(ISBLANK(B5119),"OK",IF(A5119-B5119=0,"OK","Error?"))</f>
        <v>Error?</v>
      </c>
    </row>
    <row r="5120" spans="1:4" x14ac:dyDescent="0.2">
      <c r="A5120" s="5">
        <v>5059</v>
      </c>
      <c r="B5120" s="1832">
        <f>'Revenues 9-14'!C108</f>
        <v>24425</v>
      </c>
      <c r="C5120" s="2" t="s">
        <v>569</v>
      </c>
      <c r="D5120" s="2" t="str">
        <f t="shared" si="79"/>
        <v>Error?</v>
      </c>
    </row>
    <row r="5121" spans="1:4" x14ac:dyDescent="0.2">
      <c r="A5121" s="5">
        <v>5060</v>
      </c>
      <c r="B5121" s="1832">
        <f>'Revenues 9-14'!C109</f>
        <v>2237660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506783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506783</v>
      </c>
      <c r="C5132" s="2" t="s">
        <v>569</v>
      </c>
      <c r="D5132" s="2" t="str">
        <f t="shared" si="79"/>
        <v>Error?</v>
      </c>
    </row>
    <row r="5133" spans="1:4" x14ac:dyDescent="0.2">
      <c r="A5133" s="5">
        <v>5072</v>
      </c>
      <c r="B5133" s="1832">
        <f>'Revenues 9-14'!C125</f>
        <v>48660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7432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56092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9409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509</v>
      </c>
      <c r="D5167" s="2" t="str">
        <f t="shared" si="79"/>
        <v>Error?</v>
      </c>
    </row>
    <row r="5168" spans="1:4" x14ac:dyDescent="0.2">
      <c r="A5168" s="5">
        <v>5107</v>
      </c>
      <c r="B5168" s="1832">
        <f>'Revenues 9-14'!C148</f>
        <v>2808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69568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576351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30895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7489</v>
      </c>
      <c r="D5241" s="2" t="str">
        <f t="shared" si="80"/>
        <v>Error?</v>
      </c>
    </row>
    <row r="5242" spans="1:4" x14ac:dyDescent="0.2">
      <c r="A5242" s="5">
        <v>5181</v>
      </c>
      <c r="B5242" s="1832">
        <f>'Revenues 9-14'!C194</f>
        <v>19289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57673</v>
      </c>
      <c r="C5246" s="2" t="s">
        <v>569</v>
      </c>
      <c r="D5246" s="2" t="str">
        <f t="shared" si="80"/>
        <v>Error?</v>
      </c>
    </row>
    <row r="5247" spans="1:4" x14ac:dyDescent="0.2">
      <c r="A5247" s="5">
        <v>5186</v>
      </c>
      <c r="B5247" s="1832">
        <f>'Revenues 9-14'!C200</f>
        <v>116912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116912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212493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212493</v>
      </c>
      <c r="C5326" s="2" t="s">
        <v>569</v>
      </c>
      <c r="D5326" s="2" t="str">
        <f t="shared" si="82"/>
        <v>Error?</v>
      </c>
    </row>
    <row r="5327" spans="1:5" x14ac:dyDescent="0.2">
      <c r="A5327" s="5">
        <v>5266</v>
      </c>
      <c r="B5327" s="1832">
        <f>'Revenues 9-14'!C268</f>
        <v>3026504</v>
      </c>
      <c r="C5327" s="2" t="s">
        <v>569</v>
      </c>
      <c r="D5327" s="2" t="str">
        <f t="shared" si="82"/>
        <v>Error?</v>
      </c>
    </row>
    <row r="5328" spans="1:5" x14ac:dyDescent="0.2">
      <c r="A5328" s="5">
        <v>5267</v>
      </c>
      <c r="B5328" s="1832">
        <f>'Revenues 9-14'!D5</f>
        <v>531490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531490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86213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86213</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617703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617703</v>
      </c>
      <c r="C5508" s="2" t="s">
        <v>569</v>
      </c>
      <c r="D5508" s="2" t="str">
        <f t="shared" si="85"/>
        <v>Error?</v>
      </c>
    </row>
    <row r="5509" spans="1:4" x14ac:dyDescent="0.2">
      <c r="A5509" s="5">
        <v>5448</v>
      </c>
      <c r="B5509" s="1832">
        <f>'Revenues 9-14'!E5</f>
        <v>216757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216757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216757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216757</v>
      </c>
      <c r="C5552" s="2" t="s">
        <v>569</v>
      </c>
      <c r="D5552" s="2" t="str">
        <f t="shared" si="85"/>
        <v>Error?</v>
      </c>
    </row>
    <row r="5553" spans="1:4" x14ac:dyDescent="0.2">
      <c r="A5553" s="5">
        <v>5492</v>
      </c>
      <c r="B5553" s="1832">
        <f>'Revenues 9-14'!F5</f>
        <v>73896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73896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23000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23000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96896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105191</v>
      </c>
      <c r="D5615" s="2" t="str">
        <f t="shared" si="86"/>
        <v>Error?</v>
      </c>
    </row>
    <row r="5616" spans="1:4" x14ac:dyDescent="0.2">
      <c r="A5616" s="10">
        <v>5555</v>
      </c>
      <c r="B5616" s="1832"/>
      <c r="D5616" s="2" t="str">
        <f t="shared" si="86"/>
        <v>OK</v>
      </c>
    </row>
    <row r="5617" spans="1:5" x14ac:dyDescent="0.2">
      <c r="A5617" s="5">
        <v>5556</v>
      </c>
      <c r="B5617" s="1832">
        <f>'Revenues 9-14'!F153</f>
        <v>61010</v>
      </c>
      <c r="D5617" s="2" t="str">
        <f t="shared" si="86"/>
        <v>Error?</v>
      </c>
    </row>
    <row r="5618" spans="1:5" x14ac:dyDescent="0.2">
      <c r="A5618" s="5">
        <v>5557</v>
      </c>
      <c r="B5618" s="1832">
        <f>'Revenues 9-14'!F155</f>
        <v>166201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166201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166201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263097</v>
      </c>
      <c r="C5720" s="2" t="s">
        <v>569</v>
      </c>
      <c r="D5720" s="2" t="str">
        <f t="shared" si="88"/>
        <v>Error?</v>
      </c>
    </row>
    <row r="5721" spans="1:4" x14ac:dyDescent="0.2">
      <c r="A5721" s="5">
        <v>5660</v>
      </c>
      <c r="B5721" s="1832">
        <f>'Revenues 9-14'!G5</f>
        <v>96982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69277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166259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2000</v>
      </c>
      <c r="C5730" s="2" t="s">
        <v>569</v>
      </c>
      <c r="D5730" s="2" t="str">
        <f t="shared" si="88"/>
        <v>Error?</v>
      </c>
    </row>
    <row r="5731" spans="1:4" x14ac:dyDescent="0.2">
      <c r="A5731" s="5">
        <v>5670</v>
      </c>
      <c r="B5731" s="1832">
        <f>'Revenues 9-14'!G65</f>
        <v>565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565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168824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13028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13028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207080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220108</v>
      </c>
      <c r="C5915" s="2" t="s">
        <v>569</v>
      </c>
      <c r="D5915" s="2" t="str">
        <f t="shared" si="91"/>
        <v>Error?</v>
      </c>
    </row>
    <row r="5916" spans="1:4" x14ac:dyDescent="0.2">
      <c r="A5916" s="5">
        <v>5855</v>
      </c>
      <c r="B5916" s="1832">
        <f>'Revenues 9-14'!I5</f>
        <v>18973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18973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23821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23821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42794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986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986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986</v>
      </c>
      <c r="C6023" s="2" t="s">
        <v>569</v>
      </c>
      <c r="D6023" s="2" t="str">
        <f t="shared" si="93"/>
        <v>Error?</v>
      </c>
    </row>
    <row r="6024" spans="1:5" x14ac:dyDescent="0.2">
      <c r="A6024" s="5">
        <v>5963</v>
      </c>
      <c r="B6024" s="1832">
        <f>'Revenues 9-14'!G109</f>
        <v>168824</v>
      </c>
      <c r="C6024" s="2" t="s">
        <v>569</v>
      </c>
      <c r="D6024" s="2" t="str">
        <f t="shared" si="93"/>
        <v>Error?</v>
      </c>
    </row>
    <row r="6025" spans="1:5" x14ac:dyDescent="0.2">
      <c r="A6025" s="5">
        <v>5964</v>
      </c>
      <c r="B6025" s="1832">
        <f>'Revenues 9-14'!H109</f>
        <v>220108</v>
      </c>
      <c r="C6025" s="2" t="s">
        <v>569</v>
      </c>
      <c r="D6025" s="2" t="str">
        <f t="shared" si="93"/>
        <v>Error?</v>
      </c>
    </row>
    <row r="6026" spans="1:5" x14ac:dyDescent="0.2">
      <c r="A6026" s="5">
        <v>5965</v>
      </c>
      <c r="B6026" s="1832">
        <f>'Revenues 9-14'!I109</f>
        <v>42794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986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25638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13416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267.3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42669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12050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20186</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20186</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22483</v>
      </c>
      <c r="D6215" s="2" t="str">
        <f t="shared" si="96"/>
        <v>Error?</v>
      </c>
      <c r="E6215" s="2" t="s">
        <v>189</v>
      </c>
    </row>
    <row r="6216" spans="1:5" x14ac:dyDescent="0.2">
      <c r="A6216">
        <v>6155</v>
      </c>
      <c r="B6216" s="1832">
        <f>'Assets-Liab 5-6'!J41</f>
        <v>42669</v>
      </c>
      <c r="D6216" s="2" t="str">
        <f t="shared" si="96"/>
        <v>Error?</v>
      </c>
      <c r="E6216" s="2" t="s">
        <v>189</v>
      </c>
    </row>
    <row r="6217" spans="1:5" x14ac:dyDescent="0.2">
      <c r="A6217">
        <v>6156</v>
      </c>
      <c r="B6217" s="1832">
        <f>'Assets-Liab 5-6'!J4</f>
        <v>42669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50803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50803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50803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38165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38165</v>
      </c>
      <c r="D6229" s="2" t="str">
        <f t="shared" si="96"/>
        <v>Error?</v>
      </c>
      <c r="E6229" s="2" t="s">
        <v>189</v>
      </c>
    </row>
    <row r="6230" spans="1:5" x14ac:dyDescent="0.2">
      <c r="A6230">
        <v>6169</v>
      </c>
      <c r="B6230" s="1832">
        <f>'Acct Summary 7-8'!J20</f>
        <v>12638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12638</v>
      </c>
      <c r="D6263" s="2" t="str">
        <f t="shared" si="96"/>
        <v>Error?</v>
      </c>
      <c r="E6263" s="2" t="s">
        <v>189</v>
      </c>
    </row>
    <row r="6264" spans="1:5" x14ac:dyDescent="0.2">
      <c r="A6264">
        <v>6203</v>
      </c>
      <c r="B6264" s="1832">
        <f>'Acct Summary 7-8'!J79</f>
        <v>9845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22483</v>
      </c>
      <c r="D6266" s="2" t="str">
        <f t="shared" si="96"/>
        <v>Error?</v>
      </c>
      <c r="E6266" s="2" t="s">
        <v>189</v>
      </c>
    </row>
    <row r="6267" spans="1:5" x14ac:dyDescent="0.2">
      <c r="A6267">
        <v>6206</v>
      </c>
      <c r="B6267" s="1832">
        <f>'Acct Summary 7-8'!C82</f>
        <v>-85877</v>
      </c>
      <c r="D6267" s="2" t="str">
        <f t="shared" si="96"/>
        <v>Error?</v>
      </c>
      <c r="E6267" s="2" t="s">
        <v>189</v>
      </c>
    </row>
    <row r="6268" spans="1:5" x14ac:dyDescent="0.2">
      <c r="A6268">
        <v>6207</v>
      </c>
      <c r="B6268" s="1832">
        <f>'Acct Summary 7-8'!D82</f>
        <v>258262</v>
      </c>
      <c r="D6268" s="2" t="str">
        <f t="shared" si="96"/>
        <v>Error?</v>
      </c>
      <c r="E6268" s="2" t="s">
        <v>189</v>
      </c>
    </row>
    <row r="6269" spans="1:5" x14ac:dyDescent="0.2">
      <c r="A6269">
        <v>6208</v>
      </c>
      <c r="B6269" s="1832">
        <f>'Acct Summary 7-8'!E82</f>
        <v>-2568</v>
      </c>
      <c r="D6269" s="2" t="str">
        <f t="shared" si="96"/>
        <v>Error?</v>
      </c>
      <c r="E6269" s="2" t="s">
        <v>189</v>
      </c>
    </row>
    <row r="6270" spans="1:5" x14ac:dyDescent="0.2">
      <c r="A6270">
        <v>6209</v>
      </c>
      <c r="B6270" s="1832">
        <f>'Acct Summary 7-8'!F82</f>
        <v>33784</v>
      </c>
      <c r="D6270" s="2" t="str">
        <f t="shared" si="96"/>
        <v>Error?</v>
      </c>
      <c r="E6270" s="2" t="s">
        <v>189</v>
      </c>
    </row>
    <row r="6271" spans="1:5" x14ac:dyDescent="0.2">
      <c r="A6271">
        <v>6210</v>
      </c>
      <c r="B6271" s="1832">
        <f>'Acct Summary 7-8'!G82</f>
        <v>22287</v>
      </c>
      <c r="D6271" s="2" t="str">
        <f t="shared" ref="D6271:D6334" si="97">IF(ISBLANK(B6271),"OK",IF(A6271-B6271=0,"OK","Error?"))</f>
        <v>Error?</v>
      </c>
      <c r="E6271" s="2" t="s">
        <v>189</v>
      </c>
    </row>
    <row r="6272" spans="1:5" x14ac:dyDescent="0.2">
      <c r="A6272">
        <v>6211</v>
      </c>
      <c r="B6272" s="1832">
        <f>'Acct Summary 7-8'!H82</f>
        <v>-202476</v>
      </c>
      <c r="D6272" s="2" t="str">
        <f t="shared" si="97"/>
        <v>Error?</v>
      </c>
      <c r="E6272" s="2" t="s">
        <v>189</v>
      </c>
    </row>
    <row r="6273" spans="1:5" x14ac:dyDescent="0.2">
      <c r="A6273">
        <v>6212</v>
      </c>
      <c r="B6273" s="1832">
        <f>'Acct Summary 7-8'!I82</f>
        <v>42794</v>
      </c>
      <c r="D6273" s="2" t="str">
        <f t="shared" si="97"/>
        <v>Error?</v>
      </c>
      <c r="E6273" s="2" t="s">
        <v>189</v>
      </c>
    </row>
    <row r="6274" spans="1:5" x14ac:dyDescent="0.2">
      <c r="A6274">
        <v>6213</v>
      </c>
      <c r="B6274" s="1832">
        <f>'Acct Summary 7-8'!J82</f>
        <v>12638</v>
      </c>
      <c r="D6274" s="2" t="str">
        <f t="shared" si="97"/>
        <v>Error?</v>
      </c>
      <c r="E6274" s="2" t="s">
        <v>189</v>
      </c>
    </row>
    <row r="6275" spans="1:5" x14ac:dyDescent="0.2">
      <c r="A6275">
        <v>6214</v>
      </c>
      <c r="B6275" s="1832">
        <f>'Acct Summary 7-8'!K82</f>
        <v>-969</v>
      </c>
      <c r="D6275" s="2" t="str">
        <f t="shared" si="97"/>
        <v>Error?</v>
      </c>
      <c r="E6275" s="2" t="s">
        <v>189</v>
      </c>
    </row>
    <row r="6276" spans="1:5" x14ac:dyDescent="0.2">
      <c r="A6276">
        <v>6215</v>
      </c>
      <c r="B6276" s="1832">
        <f>'Acct Summary 7-8'!C83</f>
        <v>-0.14501865145504991</v>
      </c>
      <c r="D6276" s="2" t="str">
        <f t="shared" si="97"/>
        <v>Error?</v>
      </c>
      <c r="E6276" s="2" t="s">
        <v>189</v>
      </c>
    </row>
    <row r="6277" spans="1:5" x14ac:dyDescent="0.2">
      <c r="A6277">
        <v>6216</v>
      </c>
      <c r="B6277" s="1832">
        <f>'Acct Summary 7-8'!D83</f>
        <v>5.0049805236332627</v>
      </c>
      <c r="D6277" s="2" t="str">
        <f t="shared" si="97"/>
        <v>Error?</v>
      </c>
      <c r="E6277" s="2" t="s">
        <v>189</v>
      </c>
    </row>
    <row r="6278" spans="1:5" x14ac:dyDescent="0.2">
      <c r="A6278">
        <v>6217</v>
      </c>
      <c r="B6278" s="1832">
        <f>'Acct Summary 7-8'!E83</f>
        <v>-2.404494382022472</v>
      </c>
      <c r="D6278" s="2" t="str">
        <f t="shared" si="97"/>
        <v>Error?</v>
      </c>
      <c r="E6278" s="2" t="s">
        <v>189</v>
      </c>
    </row>
    <row r="6279" spans="1:5" x14ac:dyDescent="0.2">
      <c r="A6279">
        <v>6218</v>
      </c>
      <c r="B6279" s="1832">
        <f>'Acct Summary 7-8'!F83</f>
        <v>3.2975120299063958E-2</v>
      </c>
      <c r="D6279" s="2" t="str">
        <f t="shared" si="97"/>
        <v>Error?</v>
      </c>
      <c r="E6279" s="2" t="s">
        <v>189</v>
      </c>
    </row>
    <row r="6280" spans="1:5" x14ac:dyDescent="0.2">
      <c r="A6280">
        <v>6219</v>
      </c>
      <c r="B6280" s="1832">
        <f>'Acct Summary 7-8'!G83</f>
        <v>0.38094831122658279</v>
      </c>
      <c r="D6280" s="2" t="str">
        <f t="shared" si="97"/>
        <v>Error?</v>
      </c>
      <c r="E6280" s="2" t="s">
        <v>189</v>
      </c>
    </row>
    <row r="6281" spans="1:5" x14ac:dyDescent="0.2">
      <c r="A6281">
        <v>6220</v>
      </c>
      <c r="B6281" s="1832">
        <f>'Acct Summary 7-8'!H83</f>
        <v>-0.14437491443435405</v>
      </c>
      <c r="D6281" s="2" t="str">
        <f t="shared" si="97"/>
        <v>Error?</v>
      </c>
      <c r="E6281" s="2" t="s">
        <v>189</v>
      </c>
    </row>
    <row r="6282" spans="1:5" x14ac:dyDescent="0.2">
      <c r="A6282">
        <v>6221</v>
      </c>
      <c r="B6282" s="1832">
        <f>'Acct Summary 7-8'!I83</f>
        <v>3.3269738795933063E-2</v>
      </c>
      <c r="D6282" s="2" t="str">
        <f t="shared" si="97"/>
        <v>Error?</v>
      </c>
      <c r="E6282" s="2" t="s">
        <v>189</v>
      </c>
    </row>
    <row r="6283" spans="1:5" x14ac:dyDescent="0.2">
      <c r="A6283">
        <v>6222</v>
      </c>
      <c r="B6283" s="1832">
        <f>'Acct Summary 7-8'!J83</f>
        <v>0.56211359693991014</v>
      </c>
      <c r="D6283" s="2" t="str">
        <f t="shared" si="97"/>
        <v>Error?</v>
      </c>
      <c r="E6283" s="2" t="s">
        <v>189</v>
      </c>
    </row>
    <row r="6284" spans="1:5" x14ac:dyDescent="0.2">
      <c r="A6284">
        <v>6223</v>
      </c>
      <c r="B6284" s="1832">
        <f>'Acct Summary 7-8'!K83</f>
        <v>-3.6029001673173452E-2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50803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50803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50803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9409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66145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78925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2935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38165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50803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3302</v>
      </c>
      <c r="D7073" s="2" t="str">
        <f t="shared" si="109"/>
        <v>Error?</v>
      </c>
    </row>
    <row r="7074" spans="1:4" x14ac:dyDescent="0.2">
      <c r="A7074">
        <v>7013</v>
      </c>
      <c r="B7074" s="1832">
        <f>'Expenditures 15-22'!K216</f>
        <v>3302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20925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20925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1668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1668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38165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38165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38165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38165</v>
      </c>
      <c r="D7224" s="2" t="str">
        <f t="shared" si="111"/>
        <v>Error?</v>
      </c>
    </row>
    <row r="7225" spans="1:4" x14ac:dyDescent="0.2">
      <c r="A7225">
        <v>7164</v>
      </c>
      <c r="B7225" s="1832">
        <f>'Expenditures 15-22'!K343</f>
        <v>12638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12600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2935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222515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15572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15572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451531</v>
      </c>
      <c r="D7708" s="2" t="str">
        <f t="shared" si="126"/>
        <v>Error?</v>
      </c>
      <c r="E7708" s="2" t="s">
        <v>822</v>
      </c>
    </row>
    <row r="7709" spans="1:5" x14ac:dyDescent="0.2">
      <c r="A7709">
        <v>7648</v>
      </c>
      <c r="B7709" s="1832">
        <f>'Rest Tax Levies-Tort Im 25'!K3</f>
        <v>4051</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212097</v>
      </c>
      <c r="D7713" s="2" t="str">
        <f t="shared" si="126"/>
        <v>Error?</v>
      </c>
      <c r="E7713" s="2" t="s">
        <v>822</v>
      </c>
    </row>
    <row r="7714" spans="1:6" x14ac:dyDescent="0.2">
      <c r="A7714">
        <v>7653</v>
      </c>
      <c r="B7714" s="1832">
        <f>'Rest Tax Levies-Tort Im 25'!K9</f>
        <v>2808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212097</v>
      </c>
      <c r="D7718" s="2" t="str">
        <f t="shared" si="126"/>
        <v>Error?</v>
      </c>
      <c r="E7718" s="2" t="s">
        <v>822</v>
      </c>
    </row>
    <row r="7719" spans="1:6" x14ac:dyDescent="0.2">
      <c r="A7719">
        <v>7658</v>
      </c>
      <c r="B7719" s="1832">
        <f>'Rest Tax Levies-Tort Im 25'!K12</f>
        <v>2808</v>
      </c>
      <c r="D7719" s="2" t="str">
        <f t="shared" si="126"/>
        <v>Error?</v>
      </c>
      <c r="E7719" s="2" t="s">
        <v>822</v>
      </c>
    </row>
    <row r="7720" spans="1:6" x14ac:dyDescent="0.2">
      <c r="A7720">
        <v>7659</v>
      </c>
      <c r="B7720" s="1832">
        <f>'Rest Tax Levies-Tort Im 25'!H14</f>
        <v>38796</v>
      </c>
      <c r="D7720" s="2" t="str">
        <f t="shared" si="126"/>
        <v>Error?</v>
      </c>
      <c r="E7720" s="2" t="s">
        <v>822</v>
      </c>
    </row>
    <row r="7721" spans="1:6" x14ac:dyDescent="0.2">
      <c r="A7721">
        <v>7660</v>
      </c>
      <c r="B7721" s="1832">
        <f>'Rest Tax Levies-Tort Im 25'!K14</f>
        <v>2935</v>
      </c>
      <c r="D7721" s="2" t="str">
        <f t="shared" si="126"/>
        <v>Error?</v>
      </c>
      <c r="E7721" s="2" t="s">
        <v>822</v>
      </c>
    </row>
    <row r="7722" spans="1:6" x14ac:dyDescent="0.2">
      <c r="A7722">
        <v>7661</v>
      </c>
      <c r="B7722" s="1832">
        <f>'Rest Tax Levies-Tort Im 25'!J15</f>
        <v>151288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151288</v>
      </c>
      <c r="D7730" s="2" t="str">
        <f t="shared" si="126"/>
        <v>Error?</v>
      </c>
      <c r="E7730" s="2" t="s">
        <v>822</v>
      </c>
    </row>
    <row r="7731" spans="1:6" x14ac:dyDescent="0.2">
      <c r="A7731">
        <v>7670</v>
      </c>
      <c r="B7731" s="1832">
        <f>'Revenues 9-14'!H103</f>
        <v>207080</v>
      </c>
      <c r="D7731" s="2" t="str">
        <f t="shared" si="126"/>
        <v>Error?</v>
      </c>
      <c r="E7731" s="2" t="s">
        <v>822</v>
      </c>
    </row>
    <row r="7732" spans="1:6" x14ac:dyDescent="0.2">
      <c r="A7732">
        <v>7671</v>
      </c>
      <c r="B7732" s="1832">
        <f>'Rest Tax Levies-Tort Im 25'!J24</f>
        <v>512340</v>
      </c>
      <c r="D7732" s="2" t="str">
        <f t="shared" si="126"/>
        <v>Error?</v>
      </c>
      <c r="E7732" s="2" t="s">
        <v>822</v>
      </c>
    </row>
    <row r="7733" spans="1:6" x14ac:dyDescent="0.2">
      <c r="A7733">
        <v>7672</v>
      </c>
      <c r="B7733" s="1832">
        <f>'Rest Tax Levies-Tort Im 25'!K24</f>
        <v>3924</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512340</v>
      </c>
      <c r="D7742" s="2" t="str">
        <f t="shared" si="126"/>
        <v>Error?</v>
      </c>
      <c r="E7742" s="2" t="s">
        <v>822</v>
      </c>
    </row>
    <row r="7743" spans="1:6" x14ac:dyDescent="0.2">
      <c r="A7743">
        <v>7682</v>
      </c>
      <c r="B7743" s="1832">
        <f>'Rest Tax Levies-Tort Im 25'!K26</f>
        <v>3924</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2935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6280000</v>
      </c>
      <c r="D7817" s="2" t="str">
        <f t="shared" si="128"/>
        <v>Error?</v>
      </c>
      <c r="E7817" s="4" t="s">
        <v>1966</v>
      </c>
    </row>
    <row r="7818" spans="1:5" x14ac:dyDescent="0.2">
      <c r="A7818">
        <v>7757</v>
      </c>
      <c r="B7818" s="1832">
        <f>'PCTC-OEPP 27-28'!F172</f>
        <v>98213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4246247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78925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109</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530206</v>
      </c>
      <c r="D7834" s="2" t="str">
        <f t="shared" si="129"/>
        <v>Error?</v>
      </c>
      <c r="E7834" s="4" t="s">
        <v>1998</v>
      </c>
    </row>
    <row r="7835" spans="1:5" x14ac:dyDescent="0.2">
      <c r="A7835">
        <v>7774</v>
      </c>
      <c r="B7835" s="1832">
        <f>'PCTC-OEPP 27-28'!F78</f>
        <v>3716041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13902.13617658062</v>
      </c>
      <c r="D7837" s="2" t="str">
        <f t="shared" si="129"/>
        <v>Error?</v>
      </c>
      <c r="E7837" s="4" t="s">
        <v>1998</v>
      </c>
    </row>
    <row r="7838" spans="1:5" x14ac:dyDescent="0.2">
      <c r="A7838">
        <v>7777</v>
      </c>
      <c r="B7838" s="1832">
        <f>'PCTC-OEPP 27-28'!F96</f>
        <v>10321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21035</v>
      </c>
      <c r="D7841" s="2" t="str">
        <f t="shared" si="129"/>
        <v>Error?</v>
      </c>
      <c r="E7841" s="4" t="s">
        <v>1998</v>
      </c>
    </row>
    <row r="7842" spans="1:5" x14ac:dyDescent="0.2">
      <c r="A7842">
        <v>7781</v>
      </c>
      <c r="B7842" s="1832">
        <f>'PCTC-OEPP 27-28'!F106</f>
        <v>56092</v>
      </c>
      <c r="D7842" s="2" t="str">
        <f t="shared" si="129"/>
        <v>Error?</v>
      </c>
      <c r="E7842" s="4" t="s">
        <v>1998</v>
      </c>
    </row>
    <row r="7843" spans="1:5" x14ac:dyDescent="0.2">
      <c r="A7843">
        <v>7782</v>
      </c>
      <c r="B7843" s="1832">
        <f>'PCTC-OEPP 27-28'!F107</f>
        <v>9409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2808</v>
      </c>
      <c r="D7846" s="2" t="str">
        <f t="shared" si="129"/>
        <v>Error?</v>
      </c>
      <c r="E7846" s="4" t="s">
        <v>1998</v>
      </c>
    </row>
    <row r="7847" spans="1:5" x14ac:dyDescent="0.2">
      <c r="A7847">
        <v>7786</v>
      </c>
      <c r="B7847" s="1832">
        <f>'PCTC-OEPP 27-28'!F112</f>
        <v>166201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19471</v>
      </c>
      <c r="D7857" s="2" t="str">
        <f t="shared" si="129"/>
        <v>Error?</v>
      </c>
      <c r="E7857" s="4" t="s">
        <v>1998</v>
      </c>
    </row>
    <row r="7858" spans="1:5" x14ac:dyDescent="0.2">
      <c r="A7858">
        <v>7797</v>
      </c>
      <c r="B7858" s="1832">
        <f>'PCTC-OEPP 27-28'!F126</f>
        <v>57673</v>
      </c>
      <c r="D7858" s="2" t="str">
        <f t="shared" si="129"/>
        <v>Error?</v>
      </c>
      <c r="E7858" s="4" t="s">
        <v>1998</v>
      </c>
    </row>
    <row r="7859" spans="1:5" x14ac:dyDescent="0.2">
      <c r="A7859">
        <v>7798</v>
      </c>
      <c r="B7859" s="1832">
        <f>'PCTC-OEPP 27-28'!F127</f>
        <v>116912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5961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8488</v>
      </c>
      <c r="D7874" s="2" t="str">
        <f t="shared" si="129"/>
        <v>Error?</v>
      </c>
      <c r="E7874" s="4" t="s">
        <v>1998</v>
      </c>
    </row>
    <row r="7875" spans="1:5" x14ac:dyDescent="0.2">
      <c r="A7875">
        <v>7814</v>
      </c>
      <c r="B7875" s="1832">
        <f>'PCTC-OEPP 27-28'!F170</f>
        <v>3988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624034</v>
      </c>
      <c r="D7877" s="2" t="str">
        <f t="shared" si="129"/>
        <v>Error?</v>
      </c>
      <c r="E7877" s="4" t="s">
        <v>1998</v>
      </c>
    </row>
    <row r="7878" spans="1:5" x14ac:dyDescent="0.2">
      <c r="A7878">
        <v>7817</v>
      </c>
      <c r="B7878" s="1832">
        <f>'PCTC-OEPP 27-28'!F176</f>
        <v>3092007</v>
      </c>
      <c r="D7878" s="2" t="str">
        <f t="shared" si="129"/>
        <v>Error?</v>
      </c>
      <c r="E7878" s="4" t="s">
        <v>1998</v>
      </c>
    </row>
    <row r="7879" spans="1:5" x14ac:dyDescent="0.2">
      <c r="A7879">
        <v>7818</v>
      </c>
      <c r="B7879" s="1832">
        <f>'PCTC-OEPP 27-28'!F178</f>
        <v>3314522</v>
      </c>
      <c r="D7879" s="2" t="str">
        <f t="shared" si="129"/>
        <v>Error?</v>
      </c>
      <c r="E7879" s="4" t="s">
        <v>1998</v>
      </c>
    </row>
    <row r="7880" spans="1:5" x14ac:dyDescent="0.2">
      <c r="A7880">
        <v>7819</v>
      </c>
      <c r="B7880" s="1832">
        <f>'PCTC-OEPP 27-28'!F180</f>
        <v>12400.007482229705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Franklin CUSD #1</v>
      </c>
      <c r="B7" s="2537"/>
      <c r="C7" s="2537"/>
      <c r="D7" s="2538"/>
      <c r="E7" s="2539" t="str">
        <f>COVER!A13</f>
        <v>01-069-0010-26</v>
      </c>
      <c r="F7" s="2540"/>
      <c r="G7" s="2546">
        <f>COVER!T23</f>
        <v>66.005100999999996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Scheffel Boyle</v>
      </c>
      <c r="H9" s="2552"/>
      <c r="I9" s="2552"/>
      <c r="J9" s="2552"/>
      <c r="K9" s="2552"/>
      <c r="L9" s="2553"/>
    </row>
    <row r="10" spans="1:29" ht="13.5" customHeight="1" x14ac:dyDescent="0.2">
      <c r="A10" s="2525" t="str">
        <f>COVER!A38</f>
        <v>Curt Simonson</v>
      </c>
      <c r="B10" s="2526"/>
      <c r="C10" s="2526"/>
      <c r="D10" s="2526"/>
      <c r="E10" s="2526"/>
      <c r="F10" s="2527"/>
      <c r="G10" s="2519" t="str">
        <f>COVER!T17</f>
        <v>106 W. County Road</v>
      </c>
      <c r="H10" s="2520"/>
      <c r="I10" s="2520"/>
      <c r="J10" s="2520"/>
      <c r="K10" s="2520"/>
      <c r="L10" s="2521"/>
    </row>
    <row r="11" spans="1:29" ht="13.5" customHeight="1" x14ac:dyDescent="0.2">
      <c r="A11" s="963" t="s">
        <v>1502</v>
      </c>
      <c r="B11" s="964"/>
      <c r="C11" s="965"/>
      <c r="D11" s="970"/>
      <c r="E11" s="965"/>
      <c r="F11" s="969"/>
      <c r="G11" s="2519" t="str">
        <f>COVER!T19</f>
        <v>Jerseyville</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danny.phipps@scheffelboyle.com</v>
      </c>
      <c r="J13" s="2532"/>
      <c r="K13" s="2532"/>
      <c r="L13" s="2533"/>
    </row>
    <row r="14" spans="1:29" ht="13.5" customHeight="1" x14ac:dyDescent="0.2">
      <c r="A14" s="2519" t="str">
        <f>COVER!A19</f>
        <v>110 State Street</v>
      </c>
      <c r="B14" s="2520"/>
      <c r="C14" s="2520"/>
      <c r="D14" s="2520"/>
      <c r="E14" s="2520"/>
      <c r="F14" s="2521"/>
      <c r="G14" s="974" t="s">
        <v>1175</v>
      </c>
      <c r="H14" s="972"/>
      <c r="I14" s="972"/>
      <c r="J14" s="972"/>
      <c r="K14" s="972"/>
      <c r="L14" s="973"/>
    </row>
    <row r="15" spans="1:29" ht="13.5" customHeight="1" x14ac:dyDescent="0.2">
      <c r="A15" s="2519" t="str">
        <f>COVER!A21</f>
        <v>Franklin</v>
      </c>
      <c r="B15" s="2520"/>
      <c r="C15" s="2520"/>
      <c r="D15" s="2520"/>
      <c r="E15" s="2520"/>
      <c r="F15" s="2521"/>
      <c r="G15" s="2516" t="str">
        <f>COVER!T15</f>
        <v>Danny Phipps</v>
      </c>
      <c r="H15" s="2517"/>
      <c r="I15" s="2517"/>
      <c r="J15" s="2517"/>
      <c r="K15" s="2517"/>
      <c r="L15" s="2518"/>
    </row>
    <row r="16" spans="1:29" ht="12.2" customHeight="1" x14ac:dyDescent="0.2">
      <c r="A16" s="2542">
        <f>COVER!A25</f>
        <v>0</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618-498-6841</v>
      </c>
      <c r="H18" s="2537"/>
      <c r="I18" s="2537"/>
      <c r="J18" s="2537"/>
      <c r="K18" s="2536" t="str">
        <f>COVER!X21</f>
        <v>618-498-6842</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Franklin CUSD #1</v>
      </c>
      <c r="B1" s="2559"/>
      <c r="C1" s="2559"/>
      <c r="D1" s="2559"/>
    </row>
    <row r="2" spans="1:11" s="991" customFormat="1" ht="12.75" x14ac:dyDescent="0.2">
      <c r="A2" s="2560" t="str">
        <f>'Single Audit Cover'!E7</f>
        <v>01-069-0010-26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Franklin CUSD #1</v>
      </c>
      <c r="B1" s="2563"/>
      <c r="C1" s="2563"/>
      <c r="D1" s="2563"/>
      <c r="E1" s="2563"/>
    </row>
    <row r="2" spans="1:5" x14ac:dyDescent="0.2">
      <c r="A2" s="2564" t="str">
        <f>'Single Audit Cover'!E7</f>
        <v>01-069-0010-26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212493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13416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-3988</v>
      </c>
    </row>
    <row r="19" spans="1:4" ht="13.5" thickBot="1" x14ac:dyDescent="0.25">
      <c r="A19" s="1041" t="s">
        <v>1224</v>
      </c>
      <c r="D19" s="1042">
        <f>SUM(D10:D17)</f>
        <v>221921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221921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221921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Franklin CUSD #1</v>
      </c>
      <c r="C1" s="2567"/>
      <c r="D1" s="2567"/>
      <c r="E1" s="2567"/>
      <c r="F1" s="2567"/>
      <c r="G1" s="2567"/>
      <c r="H1" s="2567"/>
      <c r="I1" s="2567"/>
      <c r="J1" s="2567"/>
      <c r="K1" s="2567"/>
      <c r="L1" s="2567"/>
      <c r="M1" s="2567"/>
    </row>
    <row r="2" spans="2:14" ht="15" x14ac:dyDescent="0.2">
      <c r="B2" s="2568" t="str">
        <f>'Single Audit Cover'!E7</f>
        <v>01-069-0010-26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 zoomScale="120" zoomScaleNormal="120" workbookViewId="0">
      <selection activeCell="I20" sqref="I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Franklin CUSD #1</v>
      </c>
      <c r="B1" s="2580"/>
      <c r="C1" s="2580"/>
      <c r="D1" s="2580"/>
      <c r="E1" s="2580"/>
      <c r="F1" s="2580"/>
    </row>
    <row r="2" spans="1:7" ht="13.5" customHeight="1" x14ac:dyDescent="0.2">
      <c r="A2" s="2568" t="str">
        <f>'Single Audit Cover'!E7</f>
        <v>01-069-0010-26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1"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35370</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2070</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First="1" scaleWithDoc="0">
    <oddHeader>&amp;LPage &amp;P&amp;RPage &amp;P</oddHeader>
    <oddFooter>&amp;LSee notes to financial statements.&amp;C7</oddFooter>
    <evenFooter>&amp;LSee notes to financial statements.</even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Q34" sqref="Q3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Franklin CUSD #1</v>
      </c>
      <c r="C1" s="2595"/>
      <c r="D1" s="2595"/>
      <c r="E1" s="2595"/>
      <c r="F1" s="2595"/>
      <c r="G1" s="2595"/>
      <c r="H1" s="2595"/>
      <c r="I1" s="2595"/>
      <c r="J1" s="1178"/>
    </row>
    <row r="2" spans="2:10" s="295" customFormat="1" ht="12.75" customHeight="1" x14ac:dyDescent="0.2">
      <c r="B2" s="2596" t="str">
        <f>'Single Audit Cover'!E7</f>
        <v>01-069-0010-26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E695-4604-49D4-A3B0-C005C939A347}">
  <dimension ref="A1:M41"/>
  <sheetViews>
    <sheetView showGridLines="0" topLeftCell="A25"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Franklin CUSD #1</v>
      </c>
      <c r="C1" s="2594"/>
      <c r="D1" s="2594"/>
      <c r="E1" s="2594"/>
      <c r="F1" s="2594"/>
      <c r="G1" s="2594"/>
      <c r="H1" s="2594"/>
      <c r="I1" s="2594"/>
      <c r="J1" s="2594"/>
      <c r="K1" s="2594"/>
      <c r="L1" s="1144"/>
      <c r="M1" s="1144"/>
    </row>
    <row r="2" spans="1:13" ht="12" customHeight="1" x14ac:dyDescent="0.2">
      <c r="B2" s="2596" t="str">
        <f>'Single Audit Cover'!E7</f>
        <v>01-069-0010-26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6"/>
      <c r="M3" s="2036"/>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2087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2094</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2095</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2096</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2097</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2111</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2112</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2098</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21" sqref="B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Franklin CUSD #1</v>
      </c>
      <c r="C1" s="2594"/>
      <c r="D1" s="2594"/>
      <c r="E1" s="2594"/>
      <c r="F1" s="2594"/>
      <c r="G1" s="2594"/>
      <c r="H1" s="2594"/>
      <c r="I1" s="2594"/>
      <c r="J1" s="2594"/>
      <c r="K1" s="2594"/>
      <c r="L1" s="1144"/>
      <c r="M1" s="1144"/>
    </row>
    <row r="2" spans="1:13" ht="12" customHeight="1" x14ac:dyDescent="0.2">
      <c r="B2" s="2596" t="str">
        <f>'Single Audit Cover'!E7</f>
        <v>01-069-0010-26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2087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2088</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2089</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2110</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2090</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2091</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2092</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2093</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1"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Franklin CUSD #1</v>
      </c>
      <c r="C1" s="2617"/>
      <c r="D1" s="2617"/>
      <c r="E1" s="2617"/>
      <c r="F1" s="2617"/>
      <c r="G1" s="2617"/>
      <c r="H1" s="2617"/>
      <c r="I1" s="2617"/>
      <c r="J1" s="2617"/>
      <c r="K1" s="2617"/>
      <c r="L1" s="1221"/>
    </row>
    <row r="2" spans="1:12" ht="12.75" customHeight="1" x14ac:dyDescent="0.2">
      <c r="B2" s="2618" t="str">
        <f>'Single Audit Cover'!E7</f>
        <v>01-069-0010-26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22" sqref="G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Franklin CUSD #1</v>
      </c>
      <c r="C1" s="2594"/>
      <c r="D1" s="2594"/>
      <c r="E1" s="1240"/>
    </row>
    <row r="2" spans="2:5" s="1058" customFormat="1" ht="12.75" customHeight="1" x14ac:dyDescent="0.2">
      <c r="B2" s="2596" t="str">
        <f>'Single Audit Cover'!E7</f>
        <v>01-069-0010-26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2102</v>
      </c>
      <c r="C7" s="302" t="s">
        <v>2099</v>
      </c>
      <c r="D7" s="302" t="s">
        <v>2101</v>
      </c>
      <c r="E7" s="302"/>
    </row>
    <row r="8" spans="2:5" ht="13.5" customHeight="1" x14ac:dyDescent="0.2">
      <c r="B8" s="1245"/>
      <c r="C8" s="302" t="s">
        <v>2100</v>
      </c>
      <c r="D8" s="302"/>
      <c r="E8" s="302"/>
    </row>
    <row r="9" spans="2:5" ht="13.5" customHeight="1" x14ac:dyDescent="0.2">
      <c r="B9" s="1246"/>
      <c r="C9" s="301"/>
      <c r="D9" s="301"/>
      <c r="E9" s="301"/>
    </row>
    <row r="10" spans="2:5" ht="13.5" customHeight="1" x14ac:dyDescent="0.2">
      <c r="B10" s="1245" t="s">
        <v>2103</v>
      </c>
      <c r="C10" s="301" t="s">
        <v>2104</v>
      </c>
      <c r="D10" s="301" t="s">
        <v>2107</v>
      </c>
      <c r="E10" s="301"/>
    </row>
    <row r="11" spans="2:5" ht="13.5" customHeight="1" x14ac:dyDescent="0.2">
      <c r="B11" s="1245"/>
      <c r="C11" s="301" t="s">
        <v>2105</v>
      </c>
      <c r="D11" s="301"/>
      <c r="E11" s="301"/>
    </row>
    <row r="12" spans="2:5" ht="13.5" customHeight="1" x14ac:dyDescent="0.2">
      <c r="B12" s="1245"/>
      <c r="C12" s="301" t="s">
        <v>2106</v>
      </c>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65952504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3.1897200000000001E-2</v>
      </c>
      <c r="E10" s="333" t="s">
        <v>998</v>
      </c>
      <c r="F10" s="332">
        <v>4.2234000000000004E-3</v>
      </c>
      <c r="G10" s="333" t="s">
        <v>998</v>
      </c>
      <c r="H10" s="332">
        <v>1.2409999999999999E-3</v>
      </c>
      <c r="I10" s="333" t="s">
        <v>999</v>
      </c>
      <c r="J10" s="1424">
        <f>ROUND(D10+F10+H10,5)</f>
        <v>3.7359999999999997E-2</v>
      </c>
      <c r="K10" s="217"/>
      <c r="L10" s="332">
        <v>3.0810000000000001E-4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3950098</v>
      </c>
      <c r="E16" s="1547"/>
      <c r="F16" s="1546">
        <f>SUM('Acct Summary 7-8'!C17,'Acct Summary 7-8'!D17,'Acct Summary 7-8'!F17)</f>
        <v>3701135</v>
      </c>
      <c r="G16" s="1547"/>
      <c r="H16" s="1546">
        <f>SUM(D16-F16)</f>
        <v>248963</v>
      </c>
      <c r="I16" s="1548"/>
      <c r="J16" s="1546">
        <f>SUM('Acct Summary 7-8'!C81,'Acct Summary 7-8'!D81,'Acct Summary 7-8'!F81,'Acct Summary 7-8'!I81)</f>
        <v>2954584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9101445.5520000011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6135000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differentOddEven="1" scaleWithDoc="0">
    <oddHeader>&amp;L&amp;8Page &amp;P&amp;C &amp;R&amp;8Page &amp;P</oddHeader>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Franklin CUSD #1</v>
      </c>
      <c r="E7" s="368"/>
      <c r="G7" s="247"/>
      <c r="H7" s="364"/>
      <c r="I7" s="364"/>
      <c r="J7" s="364"/>
      <c r="K7" s="364"/>
      <c r="L7" s="307"/>
      <c r="M7" s="307"/>
      <c r="N7" s="307"/>
      <c r="O7" s="307"/>
      <c r="P7" s="307"/>
    </row>
    <row r="8" spans="1:18" ht="12.75" x14ac:dyDescent="0.2">
      <c r="A8" s="307"/>
      <c r="B8" s="307"/>
      <c r="C8" s="366" t="s">
        <v>1115</v>
      </c>
      <c r="D8" s="369" t="str">
        <f>COVER!A13</f>
        <v>01-069-0010-26</v>
      </c>
      <c r="E8" s="370"/>
      <c r="G8" s="307"/>
      <c r="H8" s="307"/>
      <c r="I8" s="307"/>
      <c r="J8" s="307"/>
      <c r="K8" s="307"/>
      <c r="L8" s="307"/>
      <c r="M8" s="307"/>
      <c r="N8" s="307"/>
      <c r="O8" s="307"/>
      <c r="P8" s="307"/>
    </row>
    <row r="9" spans="1:18" ht="12.75" x14ac:dyDescent="0.2">
      <c r="A9" s="307"/>
      <c r="B9" s="307"/>
      <c r="C9" s="366" t="s">
        <v>708</v>
      </c>
      <c r="D9" s="371" t="str">
        <f>COVER!A15</f>
        <v>Morgan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2954584</v>
      </c>
      <c r="I12" s="380"/>
      <c r="J12" s="380"/>
      <c r="K12" s="1559">
        <f>TRUNC((H12/H13*100000),5)/100000</f>
        <v>0.7479773918999999</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3950098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3701135</v>
      </c>
      <c r="I17" s="380"/>
      <c r="J17" s="389"/>
      <c r="K17" s="1559">
        <f>TRUNC((H17/H18*100000),5)/100000</f>
        <v>0.93697295609999998</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3950098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3938303</v>
      </c>
      <c r="I24" s="394"/>
      <c r="J24" s="394"/>
      <c r="K24" s="1555">
        <f>TRUNC(((H24/H25*100000)/100000),2)</f>
        <v>383.06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10280.930560000001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2094387.7170200001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6135000</v>
      </c>
      <c r="I32" s="392"/>
      <c r="J32" s="392"/>
      <c r="K32" s="1555">
        <f>TRUNC(100-((((H32/H33*100))*100)/100),2)</f>
        <v>32.590000000000003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9101445.5520000011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1106011</v>
      </c>
      <c r="D4" s="1573">
        <v>131603</v>
      </c>
      <c r="E4" s="1573">
        <v>84957</v>
      </c>
      <c r="F4" s="1573">
        <v>215728</v>
      </c>
      <c r="G4" s="1573">
        <v>89570</v>
      </c>
      <c r="H4" s="1573">
        <v>402432</v>
      </c>
      <c r="I4" s="1573">
        <v>5961</v>
      </c>
      <c r="J4" s="1574">
        <v>42669</v>
      </c>
      <c r="K4" s="1573">
        <v>27282</v>
      </c>
      <c r="L4" s="1573">
        <v>147735</v>
      </c>
      <c r="M4" s="1575"/>
      <c r="N4" s="1576"/>
    </row>
    <row r="5" spans="1:14" x14ac:dyDescent="0.2">
      <c r="A5" s="427" t="s">
        <v>985</v>
      </c>
      <c r="B5" s="429">
        <v>120</v>
      </c>
      <c r="C5" s="1572">
        <v>325058</v>
      </c>
      <c r="D5" s="1573">
        <v>26170</v>
      </c>
      <c r="E5" s="1573"/>
      <c r="F5" s="1573">
        <v>840000</v>
      </c>
      <c r="G5" s="1573">
        <v>35000</v>
      </c>
      <c r="H5" s="1573">
        <v>1000000</v>
      </c>
      <c r="I5" s="1573">
        <v>1287772</v>
      </c>
      <c r="J5" s="1574"/>
      <c r="K5" s="1577"/>
      <c r="L5" s="1578">
        <v>32991</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1431069</v>
      </c>
      <c r="D13" s="1587">
        <f t="shared" ref="D13:L13" si="0">SUM(D4:D12)</f>
        <v>157773</v>
      </c>
      <c r="E13" s="1587">
        <f t="shared" si="0"/>
        <v>84957</v>
      </c>
      <c r="F13" s="1587">
        <f t="shared" si="0"/>
        <v>1055728</v>
      </c>
      <c r="G13" s="1587">
        <f t="shared" si="0"/>
        <v>124570</v>
      </c>
      <c r="H13" s="1587">
        <f t="shared" si="0"/>
        <v>1402432</v>
      </c>
      <c r="I13" s="1587">
        <f t="shared" si="0"/>
        <v>1293733</v>
      </c>
      <c r="J13" s="1587">
        <f t="shared" si="0"/>
        <v>42669</v>
      </c>
      <c r="K13" s="1587">
        <f t="shared" si="0"/>
        <v>27282</v>
      </c>
      <c r="L13" s="1587">
        <f t="shared" si="0"/>
        <v>180726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95656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7449648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61878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2001120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1068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6133932</v>
      </c>
    </row>
    <row r="23" spans="1:14" ht="13.5" customHeight="1" thickBot="1" x14ac:dyDescent="0.25">
      <c r="A23" s="1426" t="s">
        <v>638</v>
      </c>
      <c r="B23" s="1429"/>
      <c r="C23" s="1575"/>
      <c r="D23" s="1575"/>
      <c r="E23" s="1575"/>
      <c r="F23" s="1575"/>
      <c r="G23" s="1575"/>
      <c r="H23" s="1575"/>
      <c r="I23" s="1575"/>
      <c r="J23" s="1575"/>
      <c r="K23" s="1575"/>
      <c r="L23" s="1575"/>
      <c r="M23" s="1594">
        <f>SUM(M15:M22)</f>
        <v>9608302</v>
      </c>
      <c r="N23" s="1594">
        <f>SUM(N21:N22)</f>
        <v>6135000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12050</v>
      </c>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826840</v>
      </c>
      <c r="D32" s="1599">
        <v>106172</v>
      </c>
      <c r="E32" s="1579">
        <v>83889</v>
      </c>
      <c r="F32" s="1579">
        <v>31198</v>
      </c>
      <c r="G32" s="1579">
        <v>66066</v>
      </c>
      <c r="H32" s="1579"/>
      <c r="I32" s="1579">
        <v>7459</v>
      </c>
      <c r="J32" s="1579">
        <v>20186</v>
      </c>
      <c r="K32" s="1584">
        <v>387</v>
      </c>
      <c r="L32" s="1575"/>
      <c r="M32" s="1575"/>
      <c r="N32" s="1575"/>
    </row>
    <row r="33" spans="1:14" ht="13.5" customHeight="1" x14ac:dyDescent="0.2">
      <c r="A33" s="436" t="s">
        <v>300</v>
      </c>
      <c r="B33" s="435">
        <v>493</v>
      </c>
      <c r="C33" s="1574"/>
      <c r="D33" s="1574"/>
      <c r="E33" s="1574"/>
      <c r="F33" s="1574"/>
      <c r="G33" s="1574"/>
      <c r="H33" s="1574"/>
      <c r="I33" s="1574"/>
      <c r="J33" s="1574"/>
      <c r="K33" s="1574"/>
      <c r="L33" s="1574">
        <v>180726</v>
      </c>
      <c r="M33" s="1575"/>
      <c r="N33" s="1576"/>
    </row>
    <row r="34" spans="1:14" ht="13.5" customHeight="1" thickBot="1" x14ac:dyDescent="0.25">
      <c r="A34" s="1427" t="s">
        <v>649</v>
      </c>
      <c r="B34" s="1428"/>
      <c r="C34" s="1600">
        <f>SUM(C25:C33)</f>
        <v>838890</v>
      </c>
      <c r="D34" s="1600">
        <f t="shared" ref="D34:K34" si="1">SUM(D25:D33)</f>
        <v>106172</v>
      </c>
      <c r="E34" s="1600">
        <f t="shared" si="1"/>
        <v>83889</v>
      </c>
      <c r="F34" s="1600">
        <f t="shared" si="1"/>
        <v>31198</v>
      </c>
      <c r="G34" s="1600">
        <f t="shared" si="1"/>
        <v>66066</v>
      </c>
      <c r="H34" s="1600">
        <f t="shared" si="1"/>
        <v>0</v>
      </c>
      <c r="I34" s="1600">
        <f t="shared" si="1"/>
        <v>7459</v>
      </c>
      <c r="J34" s="1600">
        <f t="shared" si="1"/>
        <v>20186</v>
      </c>
      <c r="K34" s="1600">
        <f t="shared" si="1"/>
        <v>387</v>
      </c>
      <c r="L34" s="1601">
        <f>SUM(L33)</f>
        <v>180726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6135000</v>
      </c>
    </row>
    <row r="37" spans="1:14" ht="13.5" thickBot="1" x14ac:dyDescent="0.25">
      <c r="A37" s="1426" t="s">
        <v>648</v>
      </c>
      <c r="B37" s="1429"/>
      <c r="C37" s="1582"/>
      <c r="D37" s="1582"/>
      <c r="E37" s="1582"/>
      <c r="F37" s="1582"/>
      <c r="G37" s="1582"/>
      <c r="H37" s="1582"/>
      <c r="I37" s="1582"/>
      <c r="J37" s="1582"/>
      <c r="K37" s="1582"/>
      <c r="L37" s="1585"/>
      <c r="M37" s="1575"/>
      <c r="N37" s="1594">
        <f>SUM(N36:N36)</f>
        <v>6135000</v>
      </c>
    </row>
    <row r="38" spans="1:14" s="307" customFormat="1" ht="13.5" customHeight="1" thickTop="1" x14ac:dyDescent="0.2">
      <c r="A38" s="438" t="s">
        <v>417</v>
      </c>
      <c r="B38" s="432">
        <v>714</v>
      </c>
      <c r="C38" s="1573"/>
      <c r="D38" s="1573"/>
      <c r="E38" s="1573"/>
      <c r="F38" s="1573"/>
      <c r="G38" s="1573"/>
      <c r="H38" s="1573">
        <v>890092</v>
      </c>
      <c r="I38" s="1573"/>
      <c r="J38" s="1574"/>
      <c r="K38" s="1573"/>
      <c r="L38" s="1586"/>
      <c r="M38" s="1604"/>
      <c r="N38" s="1604"/>
    </row>
    <row r="39" spans="1:14" s="307" customFormat="1" ht="13.5" customHeight="1" x14ac:dyDescent="0.2">
      <c r="A39" s="438" t="s">
        <v>339</v>
      </c>
      <c r="B39" s="432">
        <v>730</v>
      </c>
      <c r="C39" s="1573">
        <v>592179</v>
      </c>
      <c r="D39" s="1573">
        <v>51601</v>
      </c>
      <c r="E39" s="1573">
        <v>1068</v>
      </c>
      <c r="F39" s="1573">
        <v>1024530</v>
      </c>
      <c r="G39" s="1573">
        <v>58504</v>
      </c>
      <c r="H39" s="1573">
        <v>512340</v>
      </c>
      <c r="I39" s="1573">
        <v>1286274</v>
      </c>
      <c r="J39" s="1574">
        <v>22483</v>
      </c>
      <c r="K39" s="1573">
        <v>26895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9608302</v>
      </c>
      <c r="N40" s="1604"/>
    </row>
    <row r="41" spans="1:14" ht="13.5" customHeight="1" thickBot="1" x14ac:dyDescent="0.25">
      <c r="A41" s="1426" t="s">
        <v>650</v>
      </c>
      <c r="B41" s="1405"/>
      <c r="C41" s="1594">
        <f>(SUM(C34,C37,C38,C39))</f>
        <v>1431069</v>
      </c>
      <c r="D41" s="1594">
        <f t="shared" ref="D41:L41" si="2">SUM(D34,D37,D38:D39)</f>
        <v>157773</v>
      </c>
      <c r="E41" s="1594">
        <f t="shared" si="2"/>
        <v>84957</v>
      </c>
      <c r="F41" s="1594">
        <f t="shared" si="2"/>
        <v>1055728</v>
      </c>
      <c r="G41" s="1594">
        <f t="shared" si="2"/>
        <v>124570</v>
      </c>
      <c r="H41" s="1594">
        <f t="shared" si="2"/>
        <v>1402432</v>
      </c>
      <c r="I41" s="1594">
        <f t="shared" si="2"/>
        <v>1293733</v>
      </c>
      <c r="J41" s="1594">
        <f t="shared" si="2"/>
        <v>42669</v>
      </c>
      <c r="K41" s="1594">
        <f t="shared" si="2"/>
        <v>27282</v>
      </c>
      <c r="L41" s="1594">
        <f t="shared" si="2"/>
        <v>180726</v>
      </c>
      <c r="M41" s="1594">
        <f>SUM(M40)</f>
        <v>9608302</v>
      </c>
      <c r="N41" s="1594">
        <f>SUM(N37)</f>
        <v>6135000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differentFirst="1" scaleWithDoc="0">
    <oddHeader>&amp;L&amp;8Page &amp;P&amp;C&amp;"Arial,Bold"&amp;9BASIC FINANCIAL STATEMENTS
STATEMENT OF ASSETS AND LIABILITIES ARISING FROM CASH TRANSACTIONS
STATEMENT OF POSITION AS OF JUNE 30, 2020
&amp;R&amp;8Page &amp;P</oddHeader>
    <oddFooter>&amp;LSee notes to financial statements.&amp;C11</oddFoot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18" sqref="C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2237660</v>
      </c>
      <c r="D4" s="1606">
        <f>'Revenues 9-14'!D109</f>
        <v>617703</v>
      </c>
      <c r="E4" s="1606">
        <f>'Revenues 9-14'!E109</f>
        <v>216757</v>
      </c>
      <c r="F4" s="1606">
        <f>'Revenues 9-14'!F109</f>
        <v>96896</v>
      </c>
      <c r="G4" s="1606">
        <f>'Revenues 9-14'!G109</f>
        <v>168824</v>
      </c>
      <c r="H4" s="1606">
        <f>'Revenues 9-14'!H109</f>
        <v>220108</v>
      </c>
      <c r="I4" s="1606">
        <f>'Revenues 9-14'!I109</f>
        <v>42794</v>
      </c>
      <c r="J4" s="1606">
        <f>'Revenues 9-14'!J109</f>
        <v>50803</v>
      </c>
      <c r="K4" s="1606">
        <f>'Revenues 9-14'!K109</f>
        <v>986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576351</v>
      </c>
      <c r="D6" s="1607">
        <f>'Revenues 9-14'!D170</f>
        <v>0</v>
      </c>
      <c r="E6" s="1607">
        <f>'Revenues 9-14'!E170</f>
        <v>0</v>
      </c>
      <c r="F6" s="1607">
        <f>'Revenues 9-14'!F170</f>
        <v>166201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212493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3026504</v>
      </c>
      <c r="D8" s="1594">
        <f t="shared" ref="D8:K8" si="0">SUM(D4:D7)</f>
        <v>617703</v>
      </c>
      <c r="E8" s="1594">
        <f t="shared" si="0"/>
        <v>216757</v>
      </c>
      <c r="F8" s="1594">
        <f t="shared" si="0"/>
        <v>263097</v>
      </c>
      <c r="G8" s="1594">
        <f t="shared" si="0"/>
        <v>168824</v>
      </c>
      <c r="H8" s="1594">
        <f t="shared" si="0"/>
        <v>220108</v>
      </c>
      <c r="I8" s="1594">
        <f t="shared" si="0"/>
        <v>42794</v>
      </c>
      <c r="J8" s="1594">
        <f t="shared" si="0"/>
        <v>50803</v>
      </c>
      <c r="K8" s="1594">
        <f t="shared" si="0"/>
        <v>986</v>
      </c>
      <c r="L8" s="325"/>
    </row>
    <row r="9" spans="1:13" ht="15.75" thickTop="1" x14ac:dyDescent="0.2">
      <c r="A9" s="449" t="s">
        <v>1634</v>
      </c>
      <c r="B9" s="450">
        <v>3998</v>
      </c>
      <c r="C9" s="1586">
        <v>1413967</v>
      </c>
      <c r="D9" s="1613"/>
      <c r="E9" s="1586"/>
      <c r="F9" s="1586"/>
      <c r="G9" s="1614"/>
      <c r="H9" s="1586"/>
      <c r="I9" s="1609" t="s">
        <v>1159</v>
      </c>
      <c r="J9" s="1583"/>
      <c r="K9" s="1586"/>
      <c r="L9" s="325"/>
    </row>
    <row r="10" spans="1:13" s="452" customFormat="1" ht="13.5" thickBot="1" x14ac:dyDescent="0.25">
      <c r="A10" s="1426" t="s">
        <v>1163</v>
      </c>
      <c r="B10" s="1407"/>
      <c r="C10" s="1594">
        <f>SUM(C8:C9)</f>
        <v>4440471</v>
      </c>
      <c r="D10" s="1594">
        <f t="shared" ref="D10:K10" si="1">SUM(D8:D9)</f>
        <v>617703</v>
      </c>
      <c r="E10" s="1594">
        <f t="shared" si="1"/>
        <v>216757</v>
      </c>
      <c r="F10" s="1594">
        <f t="shared" si="1"/>
        <v>263097</v>
      </c>
      <c r="G10" s="1594">
        <f t="shared" si="1"/>
        <v>168824</v>
      </c>
      <c r="H10" s="1594">
        <f t="shared" si="1"/>
        <v>220108</v>
      </c>
      <c r="I10" s="1594">
        <f t="shared" si="1"/>
        <v>42794</v>
      </c>
      <c r="J10" s="1594">
        <f t="shared" si="1"/>
        <v>50803</v>
      </c>
      <c r="K10" s="1594">
        <f t="shared" si="1"/>
        <v>986</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1985362</v>
      </c>
      <c r="D12" s="1616" t="s">
        <v>1159</v>
      </c>
      <c r="E12" s="1575" t="s">
        <v>1159</v>
      </c>
      <c r="F12" s="1575" t="s">
        <v>1159</v>
      </c>
      <c r="G12" s="1606">
        <f>'Expenditures 15-22'!K229</f>
        <v>50105</v>
      </c>
      <c r="H12" s="1617"/>
      <c r="I12" s="1575" t="s">
        <v>1159</v>
      </c>
      <c r="J12" s="1575" t="s">
        <v>1159</v>
      </c>
      <c r="K12" s="1617" t="s">
        <v>1159</v>
      </c>
      <c r="L12" s="325"/>
    </row>
    <row r="13" spans="1:13" ht="15.75" customHeight="1" x14ac:dyDescent="0.2">
      <c r="A13" s="1314" t="s">
        <v>454</v>
      </c>
      <c r="B13" s="1316">
        <v>2000</v>
      </c>
      <c r="C13" s="1607">
        <f>'Expenditures 15-22'!K74</f>
        <v>902970</v>
      </c>
      <c r="D13" s="1607">
        <f>'Expenditures 15-22'!K129</f>
        <v>359441</v>
      </c>
      <c r="E13" s="1576" t="s">
        <v>1159</v>
      </c>
      <c r="F13" s="1607">
        <f>'Expenditures 15-22'!K184</f>
        <v>229313</v>
      </c>
      <c r="G13" s="1607">
        <f>'Expenditures 15-22'!K279</f>
        <v>96432</v>
      </c>
      <c r="H13" s="1607">
        <f>'Expenditures 15-22'!K303</f>
        <v>281499</v>
      </c>
      <c r="I13" s="1575" t="s">
        <v>1159</v>
      </c>
      <c r="J13" s="1607">
        <f>'Expenditures 15-22'!K330</f>
        <v>38165</v>
      </c>
      <c r="K13" s="1618">
        <f>'Expenditures 15-22'!K352</f>
        <v>1955</v>
      </c>
      <c r="L13" s="325"/>
    </row>
    <row r="14" spans="1:13" ht="15.75" customHeight="1" x14ac:dyDescent="0.2">
      <c r="A14" s="1314" t="s">
        <v>446</v>
      </c>
      <c r="B14" s="1316">
        <v>3000</v>
      </c>
      <c r="C14" s="1607">
        <f>'Expenditures 15-22'!K75</f>
        <v>109</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223940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360410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3112381</v>
      </c>
      <c r="D17" s="1594">
        <f t="shared" si="2"/>
        <v>359441</v>
      </c>
      <c r="E17" s="1594">
        <f t="shared" si="2"/>
        <v>360410</v>
      </c>
      <c r="F17" s="1594">
        <f t="shared" si="2"/>
        <v>229313</v>
      </c>
      <c r="G17" s="1594">
        <f t="shared" si="2"/>
        <v>146537</v>
      </c>
      <c r="H17" s="1594">
        <f t="shared" si="2"/>
        <v>281499</v>
      </c>
      <c r="I17" s="1575"/>
      <c r="J17" s="1594">
        <f>SUM(J12:J16)</f>
        <v>38165</v>
      </c>
      <c r="K17" s="1594">
        <f>SUM(K12:K16)</f>
        <v>1955</v>
      </c>
      <c r="L17" s="325"/>
    </row>
    <row r="18" spans="1:12" ht="15" customHeight="1" thickTop="1" x14ac:dyDescent="0.2">
      <c r="A18" s="1430" t="s">
        <v>1635</v>
      </c>
      <c r="B18" s="1431">
        <v>4180</v>
      </c>
      <c r="C18" s="1606">
        <f t="shared" ref="C18:H18" si="3">C9</f>
        <v>1413967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4526348</v>
      </c>
      <c r="D19" s="1594">
        <f t="shared" si="4"/>
        <v>359441</v>
      </c>
      <c r="E19" s="1594">
        <f t="shared" si="4"/>
        <v>360410</v>
      </c>
      <c r="F19" s="1594">
        <f t="shared" si="4"/>
        <v>229313</v>
      </c>
      <c r="G19" s="1594">
        <f t="shared" si="4"/>
        <v>146537</v>
      </c>
      <c r="H19" s="1594">
        <f t="shared" si="4"/>
        <v>281499</v>
      </c>
      <c r="I19" s="1575"/>
      <c r="J19" s="1594">
        <f>SUM(J17:J18)</f>
        <v>38165</v>
      </c>
      <c r="K19" s="1594">
        <f>SUM(K17:K18)</f>
        <v>1955</v>
      </c>
      <c r="L19" s="325"/>
    </row>
    <row r="20" spans="1:12" ht="16.5" thickTop="1" thickBot="1" x14ac:dyDescent="0.25">
      <c r="A20" s="2232" t="s">
        <v>1636</v>
      </c>
      <c r="B20" s="2233"/>
      <c r="C20" s="1622">
        <f>C8-C17</f>
        <v>-85877</v>
      </c>
      <c r="D20" s="1622">
        <f t="shared" ref="D20:K20" si="5">D8-D17</f>
        <v>258262</v>
      </c>
      <c r="E20" s="1622">
        <f t="shared" si="5"/>
        <v>-143653</v>
      </c>
      <c r="F20" s="1622">
        <f t="shared" si="5"/>
        <v>33784</v>
      </c>
      <c r="G20" s="1622">
        <f t="shared" si="5"/>
        <v>22287</v>
      </c>
      <c r="H20" s="1622">
        <f t="shared" si="5"/>
        <v>-61391</v>
      </c>
      <c r="I20" s="1622">
        <f t="shared" si="5"/>
        <v>42794</v>
      </c>
      <c r="J20" s="1622">
        <f t="shared" si="5"/>
        <v>12638</v>
      </c>
      <c r="K20" s="1622">
        <f t="shared" si="5"/>
        <v>-969</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141085</v>
      </c>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141085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141085</v>
      </c>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141085</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141085</v>
      </c>
      <c r="F77" s="1624">
        <f t="shared" si="8"/>
        <v>0</v>
      </c>
      <c r="G77" s="1624">
        <f t="shared" si="8"/>
        <v>0</v>
      </c>
      <c r="H77" s="1624">
        <f t="shared" si="8"/>
        <v>-141085</v>
      </c>
      <c r="I77" s="1624">
        <f t="shared" si="8"/>
        <v>0</v>
      </c>
      <c r="J77" s="1624">
        <f t="shared" si="8"/>
        <v>0</v>
      </c>
      <c r="K77" s="1624">
        <f t="shared" si="8"/>
        <v>0</v>
      </c>
      <c r="L77" s="325"/>
    </row>
    <row r="78" spans="1:12" ht="21.75" customHeight="1" thickTop="1" thickBot="1" x14ac:dyDescent="0.25">
      <c r="A78" s="2228" t="s">
        <v>593</v>
      </c>
      <c r="B78" s="2229"/>
      <c r="C78" s="1629">
        <f t="shared" ref="C78:K78" si="9">C20+C77</f>
        <v>-85877</v>
      </c>
      <c r="D78" s="1629">
        <f t="shared" si="9"/>
        <v>258262</v>
      </c>
      <c r="E78" s="1629">
        <f t="shared" si="9"/>
        <v>-2568</v>
      </c>
      <c r="F78" s="1629">
        <f t="shared" si="9"/>
        <v>33784</v>
      </c>
      <c r="G78" s="1629">
        <f t="shared" si="9"/>
        <v>22287</v>
      </c>
      <c r="H78" s="1629">
        <f t="shared" si="9"/>
        <v>-202476</v>
      </c>
      <c r="I78" s="1629">
        <f t="shared" si="9"/>
        <v>42794</v>
      </c>
      <c r="J78" s="1629">
        <f t="shared" si="9"/>
        <v>12638</v>
      </c>
      <c r="K78" s="1629">
        <f t="shared" si="9"/>
        <v>-969</v>
      </c>
      <c r="L78" s="457"/>
    </row>
    <row r="79" spans="1:12" ht="13.5" thickTop="1" x14ac:dyDescent="0.2">
      <c r="A79" s="1844" t="str">
        <f>"Fund Balances - July 1, "&amp;'AFR20'!E2-1</f>
        <v>Fund Balances - July 1, 2019</v>
      </c>
      <c r="B79" s="458"/>
      <c r="C79" s="1583">
        <v>678056</v>
      </c>
      <c r="D79" s="1630">
        <v>-206661</v>
      </c>
      <c r="E79" s="1630">
        <v>3636</v>
      </c>
      <c r="F79" s="1630">
        <v>990746</v>
      </c>
      <c r="G79" s="1630">
        <v>36217</v>
      </c>
      <c r="H79" s="1630">
        <v>1604908</v>
      </c>
      <c r="I79" s="1630">
        <v>1243480</v>
      </c>
      <c r="J79" s="1630">
        <v>9845</v>
      </c>
      <c r="K79" s="1630">
        <v>27864</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592179</v>
      </c>
      <c r="D81" s="1594">
        <f>SUM(D78:D80)</f>
        <v>51601</v>
      </c>
      <c r="E81" s="1594">
        <f t="shared" ref="E81:K81" si="10">SUM(E78:E80)</f>
        <v>1068</v>
      </c>
      <c r="F81" s="1594">
        <f t="shared" si="10"/>
        <v>1024530</v>
      </c>
      <c r="G81" s="1594">
        <f t="shared" si="10"/>
        <v>58504</v>
      </c>
      <c r="H81" s="1594">
        <f t="shared" si="10"/>
        <v>1402432</v>
      </c>
      <c r="I81" s="1594">
        <f t="shared" si="10"/>
        <v>1286274</v>
      </c>
      <c r="J81" s="1594">
        <f t="shared" si="10"/>
        <v>22483</v>
      </c>
      <c r="K81" s="1594">
        <f t="shared" si="10"/>
        <v>26895</v>
      </c>
      <c r="L81" s="325"/>
    </row>
    <row r="82" spans="1:12" ht="0.75" customHeight="1" thickTop="1" thickBot="1" x14ac:dyDescent="0.25">
      <c r="A82" s="459" t="s">
        <v>340</v>
      </c>
      <c r="B82" s="460"/>
      <c r="C82" s="461">
        <f>(C81-C79)</f>
        <v>-85877</v>
      </c>
      <c r="D82" s="461">
        <f t="shared" ref="D82:K82" si="11">(D81-D79)</f>
        <v>258262</v>
      </c>
      <c r="E82" s="461">
        <f t="shared" si="11"/>
        <v>-2568</v>
      </c>
      <c r="F82" s="461">
        <f t="shared" si="11"/>
        <v>33784</v>
      </c>
      <c r="G82" s="461">
        <f t="shared" si="11"/>
        <v>22287</v>
      </c>
      <c r="H82" s="461">
        <f t="shared" si="11"/>
        <v>-202476</v>
      </c>
      <c r="I82" s="461">
        <f t="shared" si="11"/>
        <v>42794</v>
      </c>
      <c r="J82" s="461">
        <f t="shared" si="11"/>
        <v>12638</v>
      </c>
      <c r="K82" s="461">
        <f t="shared" si="11"/>
        <v>-969</v>
      </c>
    </row>
    <row r="83" spans="1:12" ht="14.25" hidden="1" thickTop="1" thickBot="1" x14ac:dyDescent="0.25">
      <c r="A83" s="462" t="s">
        <v>341</v>
      </c>
      <c r="B83" s="428"/>
      <c r="C83" s="463">
        <f>C82/C81</f>
        <v>-0.14501865145504991</v>
      </c>
      <c r="D83" s="463">
        <f t="shared" ref="D83:K83" si="12">D82/D81</f>
        <v>5.0049805236332627</v>
      </c>
      <c r="E83" s="463">
        <f t="shared" si="12"/>
        <v>-2.404494382022472</v>
      </c>
      <c r="F83" s="463">
        <f t="shared" si="12"/>
        <v>3.2975120299063958E-2</v>
      </c>
      <c r="G83" s="463">
        <f t="shared" si="12"/>
        <v>0.38094831122658279</v>
      </c>
      <c r="H83" s="463">
        <f t="shared" si="12"/>
        <v>-0.14437491443435405</v>
      </c>
      <c r="I83" s="463">
        <f t="shared" si="12"/>
        <v>3.3269738795933063E-2</v>
      </c>
      <c r="J83" s="463">
        <f t="shared" si="12"/>
        <v>0.56211359693991014</v>
      </c>
      <c r="K83" s="463">
        <f t="shared" si="12"/>
        <v>-3.6029001673173452E-2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differentFirst="1" scaleWithDoc="0">
    <oddHeader>&amp;L&amp;8Page &amp;P&amp;C&amp;"Arial,Bold"&amp;9BASIC FINANCIAL STATEMENT
STATEMENT OF REVENUES RECEIVED/REVENUES, EXPENDITURES/DISBURSED/EXPENDITURES, OTHER 
SOURCES (USES) AND CHANGES IN FUND BALANCE
ALL FUNDS - FOR THE YEAR ENDING JUNE 30, 2020 &amp;R&amp;8Page &amp;P</oddHeader>
    <oddFooter>&amp;LSee notes to financial statements.&amp;C13</oddFoot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9"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2040388</v>
      </c>
      <c r="D5" s="1586">
        <v>531490</v>
      </c>
      <c r="E5" s="1573">
        <v>216757</v>
      </c>
      <c r="F5" s="1631">
        <v>73896</v>
      </c>
      <c r="G5" s="1573">
        <v>96982</v>
      </c>
      <c r="H5" s="1573"/>
      <c r="I5" s="1573">
        <v>18973</v>
      </c>
      <c r="J5" s="1574">
        <v>50803</v>
      </c>
      <c r="K5" s="1573">
        <v>986</v>
      </c>
    </row>
    <row r="6" spans="1:12" ht="15" x14ac:dyDescent="0.2">
      <c r="A6" s="427" t="s">
        <v>1643</v>
      </c>
      <c r="B6" s="429">
        <v>1130</v>
      </c>
      <c r="C6" s="1573">
        <v>23092</v>
      </c>
      <c r="D6" s="1573"/>
      <c r="E6" s="1580"/>
      <c r="F6" s="1580"/>
      <c r="G6" s="1575"/>
      <c r="H6" s="1575"/>
      <c r="I6" s="1575"/>
      <c r="J6" s="1575"/>
      <c r="K6" s="1575"/>
    </row>
    <row r="7" spans="1:12" x14ac:dyDescent="0.2">
      <c r="A7" s="427" t="s">
        <v>110</v>
      </c>
      <c r="B7" s="471">
        <v>1140</v>
      </c>
      <c r="C7" s="1573">
        <v>38796</v>
      </c>
      <c r="D7" s="1573"/>
      <c r="E7" s="1575"/>
      <c r="F7" s="1574"/>
      <c r="G7" s="1574"/>
      <c r="H7" s="1574"/>
      <c r="I7" s="1575"/>
      <c r="J7" s="1575"/>
      <c r="K7" s="1575"/>
    </row>
    <row r="8" spans="1:12" x14ac:dyDescent="0.2">
      <c r="A8" s="427" t="s">
        <v>410</v>
      </c>
      <c r="B8" s="429">
        <v>1150</v>
      </c>
      <c r="C8" s="1580"/>
      <c r="D8" s="1580"/>
      <c r="E8" s="1582"/>
      <c r="F8" s="1582"/>
      <c r="G8" s="1586">
        <v>69277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2102276</v>
      </c>
      <c r="D12" s="1633">
        <f t="shared" si="0"/>
        <v>531490</v>
      </c>
      <c r="E12" s="1633">
        <f t="shared" si="0"/>
        <v>216757</v>
      </c>
      <c r="F12" s="1633">
        <f t="shared" si="0"/>
        <v>73896</v>
      </c>
      <c r="G12" s="1633">
        <f t="shared" si="0"/>
        <v>166259</v>
      </c>
      <c r="H12" s="1633">
        <f t="shared" si="0"/>
        <v>0</v>
      </c>
      <c r="I12" s="1633">
        <f t="shared" si="0"/>
        <v>18973</v>
      </c>
      <c r="J12" s="1633">
        <f t="shared" si="0"/>
        <v>50803</v>
      </c>
      <c r="K12" s="1594">
        <f t="shared" si="0"/>
        <v>986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86213</v>
      </c>
      <c r="E16" s="1573"/>
      <c r="F16" s="1573"/>
      <c r="G16" s="1573">
        <v>2000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86213</v>
      </c>
      <c r="E18" s="1635">
        <f t="shared" si="1"/>
        <v>0</v>
      </c>
      <c r="F18" s="1635">
        <f t="shared" si="1"/>
        <v>0</v>
      </c>
      <c r="G18" s="1635">
        <f t="shared" si="1"/>
        <v>2000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35070</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11009</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46079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8356</v>
      </c>
      <c r="D65" s="1573"/>
      <c r="E65" s="1573"/>
      <c r="F65" s="1574">
        <v>23000</v>
      </c>
      <c r="G65" s="1573">
        <v>565</v>
      </c>
      <c r="H65" s="1573">
        <v>13028</v>
      </c>
      <c r="I65" s="1573">
        <v>23821</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8356</v>
      </c>
      <c r="D67" s="1594">
        <f t="shared" ref="D67:K67" si="2">SUM(D65:D66)</f>
        <v>0</v>
      </c>
      <c r="E67" s="1594">
        <f t="shared" si="2"/>
        <v>0</v>
      </c>
      <c r="F67" s="1594">
        <f t="shared" si="2"/>
        <v>23000</v>
      </c>
      <c r="G67" s="1594">
        <f t="shared" si="2"/>
        <v>565</v>
      </c>
      <c r="H67" s="1594">
        <f t="shared" si="2"/>
        <v>13028</v>
      </c>
      <c r="I67" s="1594">
        <f t="shared" si="2"/>
        <v>23821</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25638</v>
      </c>
      <c r="D69" s="1575"/>
      <c r="E69" s="1575"/>
      <c r="F69" s="1575"/>
      <c r="G69" s="1575"/>
      <c r="H69" s="1575"/>
      <c r="I69" s="1575"/>
      <c r="J69" s="1575"/>
      <c r="K69" s="1575"/>
    </row>
    <row r="70" spans="1:11" ht="12.75" customHeight="1" x14ac:dyDescent="0.2">
      <c r="A70" s="427" t="s">
        <v>990</v>
      </c>
      <c r="B70" s="429">
        <v>1612</v>
      </c>
      <c r="C70" s="1632">
        <v>7537</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33175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6879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2842</v>
      </c>
      <c r="D79" s="1573"/>
      <c r="E79" s="1575"/>
      <c r="F79" s="1575"/>
      <c r="G79" s="1575"/>
      <c r="H79" s="1575"/>
      <c r="I79" s="1575"/>
      <c r="J79" s="1575"/>
      <c r="K79" s="1575"/>
    </row>
    <row r="80" spans="1:11" ht="12.75" customHeight="1" x14ac:dyDescent="0.2">
      <c r="A80" s="427" t="s">
        <v>547</v>
      </c>
      <c r="B80" s="429">
        <v>1730</v>
      </c>
      <c r="C80" s="1632">
        <v>600</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10321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13028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13028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207080</v>
      </c>
      <c r="I103" s="1575"/>
      <c r="J103" s="1610"/>
      <c r="K103" s="1610"/>
    </row>
    <row r="104" spans="1:12" ht="12.75" customHeight="1" x14ac:dyDescent="0.2">
      <c r="A104" s="427" t="s">
        <v>825</v>
      </c>
      <c r="B104" s="429">
        <v>1991</v>
      </c>
      <c r="C104" s="1598">
        <v>21035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3390</v>
      </c>
      <c r="D107" s="1573"/>
      <c r="E107" s="1573"/>
      <c r="F107" s="1573"/>
      <c r="G107" s="1573"/>
      <c r="H107" s="1573"/>
      <c r="I107" s="1573"/>
      <c r="J107" s="1574"/>
      <c r="K107" s="1573"/>
    </row>
    <row r="108" spans="1:12" ht="12.75" customHeight="1" thickBot="1" x14ac:dyDescent="0.25">
      <c r="A108" s="1406" t="s">
        <v>484</v>
      </c>
      <c r="B108" s="1408"/>
      <c r="C108" s="1633">
        <f>SUM(C95:C107)</f>
        <v>24425</v>
      </c>
      <c r="D108" s="1633">
        <f t="shared" ref="D108:K108" si="3">SUM(D95:D107)</f>
        <v>0</v>
      </c>
      <c r="E108" s="1633">
        <f t="shared" si="3"/>
        <v>0</v>
      </c>
      <c r="F108" s="1633">
        <f t="shared" si="3"/>
        <v>0</v>
      </c>
      <c r="G108" s="1633">
        <f t="shared" si="3"/>
        <v>0</v>
      </c>
      <c r="H108" s="1633">
        <f t="shared" si="3"/>
        <v>207080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2237660</v>
      </c>
      <c r="D109" s="1641">
        <f t="shared" si="4"/>
        <v>617703</v>
      </c>
      <c r="E109" s="1641">
        <f t="shared" si="4"/>
        <v>216757</v>
      </c>
      <c r="F109" s="1641">
        <f t="shared" si="4"/>
        <v>96896</v>
      </c>
      <c r="G109" s="1641">
        <f t="shared" si="4"/>
        <v>168824</v>
      </c>
      <c r="H109" s="1641">
        <f t="shared" si="4"/>
        <v>220108</v>
      </c>
      <c r="I109" s="1641">
        <f t="shared" si="4"/>
        <v>42794</v>
      </c>
      <c r="J109" s="1641">
        <f t="shared" si="4"/>
        <v>50803</v>
      </c>
      <c r="K109" s="1629">
        <f t="shared" si="4"/>
        <v>986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506783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506783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48660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7432</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56092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9409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9409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509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2808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105191</v>
      </c>
      <c r="G152" s="1574"/>
      <c r="H152" s="1575"/>
      <c r="I152" s="1575"/>
      <c r="J152" s="1575"/>
      <c r="K152" s="1575"/>
    </row>
    <row r="153" spans="1:11" ht="12.75" customHeight="1" x14ac:dyDescent="0.2">
      <c r="A153" s="427" t="s">
        <v>1048</v>
      </c>
      <c r="B153" s="478">
        <v>3510</v>
      </c>
      <c r="C153" s="1632"/>
      <c r="D153" s="1573"/>
      <c r="E153" s="1640"/>
      <c r="F153" s="1573">
        <v>61010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166201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69568</v>
      </c>
      <c r="D169" s="1658">
        <f t="shared" si="6"/>
        <v>0</v>
      </c>
      <c r="E169" s="1658">
        <f t="shared" si="6"/>
        <v>0</v>
      </c>
      <c r="F169" s="1658">
        <f t="shared" si="6"/>
        <v>166201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576351</v>
      </c>
      <c r="D170" s="1641">
        <f t="shared" si="7"/>
        <v>0</v>
      </c>
      <c r="E170" s="1641">
        <f t="shared" si="7"/>
        <v>0</v>
      </c>
      <c r="F170" s="1641">
        <f t="shared" si="7"/>
        <v>166201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19471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19471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30895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7489</v>
      </c>
      <c r="D193" s="1575"/>
      <c r="E193" s="1640"/>
      <c r="F193" s="1575"/>
      <c r="G193" s="1664"/>
      <c r="H193" s="1575"/>
      <c r="I193" s="1575"/>
      <c r="J193" s="1575"/>
      <c r="K193" s="1575"/>
    </row>
    <row r="194" spans="1:11" ht="12.75" customHeight="1" x14ac:dyDescent="0.2">
      <c r="A194" s="427" t="s">
        <v>1434</v>
      </c>
      <c r="B194" s="429">
        <v>4225</v>
      </c>
      <c r="C194" s="1632">
        <v>19289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57673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116912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116912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5961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8488</v>
      </c>
      <c r="D263" s="1651"/>
      <c r="E263" s="1575"/>
      <c r="F263" s="1651"/>
      <c r="G263" s="1651"/>
      <c r="H263" s="1575"/>
      <c r="I263" s="1575"/>
      <c r="J263" s="1575"/>
      <c r="K263" s="1575"/>
    </row>
    <row r="264" spans="1:11" ht="12.75" customHeight="1" thickTop="1" thickBot="1" x14ac:dyDescent="0.25">
      <c r="A264" s="427" t="s">
        <v>374</v>
      </c>
      <c r="B264" s="429">
        <v>4992</v>
      </c>
      <c r="C264" s="1650">
        <v>3988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212493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212493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3026504</v>
      </c>
      <c r="D268" s="1641">
        <f t="shared" si="12"/>
        <v>617703</v>
      </c>
      <c r="E268" s="1641">
        <f t="shared" si="12"/>
        <v>216757</v>
      </c>
      <c r="F268" s="1641">
        <f t="shared" si="12"/>
        <v>263097</v>
      </c>
      <c r="G268" s="1641">
        <f t="shared" si="12"/>
        <v>168824</v>
      </c>
      <c r="H268" s="1641">
        <f t="shared" si="12"/>
        <v>220108</v>
      </c>
      <c r="I268" s="1641">
        <f t="shared" si="12"/>
        <v>42794</v>
      </c>
      <c r="J268" s="1641">
        <f t="shared" si="12"/>
        <v>50803</v>
      </c>
      <c r="K268" s="1629">
        <f t="shared" si="12"/>
        <v>986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4" orientation="landscape" useFirstPageNumber="1" r:id="rId1"/>
  <headerFooter differentFirst="1" alignWithMargins="0">
    <oddHeader>&amp;L&amp;8Page &amp;P&amp;C&amp;"Arial,Bold"&amp;9STATEMENT OF REVENUES RECEIVED/REVENUES
FOR THE YEAR ENDING JUNE 30, 2020&amp;R&amp;8Page &amp;P</oddHeader>
    <oddFooter>&amp;LSee notes to financial statements.&amp;C&amp;P</oddFoot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7" activePane="bottomLeft" state="frozen"/>
      <selection pane="bottomLeft" activeCell="K185" sqref="K18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1083311</v>
      </c>
      <c r="D5" s="1573">
        <v>256548</v>
      </c>
      <c r="E5" s="1573">
        <v>30420</v>
      </c>
      <c r="F5" s="1573">
        <v>87931</v>
      </c>
      <c r="G5" s="1573">
        <v>1110</v>
      </c>
      <c r="H5" s="1573"/>
      <c r="I5" s="1574"/>
      <c r="J5" s="1574"/>
      <c r="K5" s="1672">
        <f>SUM(C5:J5)</f>
        <v>1459320</v>
      </c>
      <c r="L5" s="1573">
        <v>1521722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66145</v>
      </c>
      <c r="D7" s="1574">
        <v>12600</v>
      </c>
      <c r="E7" s="1574"/>
      <c r="F7" s="1574">
        <v>180</v>
      </c>
      <c r="G7" s="1574"/>
      <c r="H7" s="1574"/>
      <c r="I7" s="1574"/>
      <c r="J7" s="1574"/>
      <c r="K7" s="1672">
        <f t="shared" ref="K7:K32" si="0">SUM(C7:J7)</f>
        <v>78925</v>
      </c>
      <c r="L7" s="1573">
        <v>83100</v>
      </c>
    </row>
    <row r="8" spans="1:14" x14ac:dyDescent="0.2">
      <c r="A8" s="1274" t="s">
        <v>163</v>
      </c>
      <c r="B8" s="503">
        <v>1200</v>
      </c>
      <c r="C8" s="1573">
        <v>168808</v>
      </c>
      <c r="D8" s="1573">
        <v>37228</v>
      </c>
      <c r="E8" s="1573">
        <v>445</v>
      </c>
      <c r="F8" s="1573">
        <v>1439</v>
      </c>
      <c r="G8" s="1573"/>
      <c r="H8" s="1573"/>
      <c r="I8" s="1574"/>
      <c r="J8" s="1574"/>
      <c r="K8" s="1672">
        <f t="shared" si="0"/>
        <v>207920</v>
      </c>
      <c r="L8" s="1573">
        <v>218493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69537</v>
      </c>
      <c r="D10" s="1573">
        <v>24063</v>
      </c>
      <c r="E10" s="1573"/>
      <c r="F10" s="1573"/>
      <c r="G10" s="1573"/>
      <c r="H10" s="1573"/>
      <c r="I10" s="1574"/>
      <c r="J10" s="1574"/>
      <c r="K10" s="1672">
        <f t="shared" si="0"/>
        <v>93600</v>
      </c>
      <c r="L10" s="1573">
        <v>94254</v>
      </c>
    </row>
    <row r="11" spans="1:14" x14ac:dyDescent="0.2">
      <c r="A11" s="1274" t="s">
        <v>1120</v>
      </c>
      <c r="B11" s="503" t="s">
        <v>160</v>
      </c>
      <c r="C11" s="1574"/>
      <c r="D11" s="1574"/>
      <c r="E11" s="1574"/>
      <c r="F11" s="1574"/>
      <c r="G11" s="1574"/>
      <c r="H11" s="1574"/>
      <c r="I11" s="1574"/>
      <c r="J11" s="1574"/>
      <c r="K11" s="1672">
        <f t="shared" si="0"/>
        <v>0</v>
      </c>
      <c r="L11" s="1573">
        <v>1500</v>
      </c>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42680</v>
      </c>
      <c r="D13" s="1573">
        <v>5730</v>
      </c>
      <c r="E13" s="1573">
        <v>315</v>
      </c>
      <c r="F13" s="1573">
        <v>4966</v>
      </c>
      <c r="G13" s="1573">
        <v>4345</v>
      </c>
      <c r="H13" s="1573"/>
      <c r="I13" s="1574"/>
      <c r="J13" s="1574"/>
      <c r="K13" s="1672">
        <f t="shared" si="0"/>
        <v>58036</v>
      </c>
      <c r="L13" s="1573">
        <v>60909</v>
      </c>
    </row>
    <row r="14" spans="1:14" x14ac:dyDescent="0.2">
      <c r="A14" s="1274" t="s">
        <v>957</v>
      </c>
      <c r="B14" s="503">
        <v>1500</v>
      </c>
      <c r="C14" s="1573">
        <v>46518</v>
      </c>
      <c r="D14" s="1573">
        <v>38</v>
      </c>
      <c r="E14" s="1573">
        <v>8444</v>
      </c>
      <c r="F14" s="1573">
        <v>24057</v>
      </c>
      <c r="G14" s="1573">
        <v>5569</v>
      </c>
      <c r="H14" s="1573"/>
      <c r="I14" s="1574"/>
      <c r="J14" s="1574"/>
      <c r="K14" s="1672">
        <f t="shared" si="0"/>
        <v>84626</v>
      </c>
      <c r="L14" s="1573">
        <v>83294</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v>2935</v>
      </c>
      <c r="G17" s="1574"/>
      <c r="H17" s="1574"/>
      <c r="I17" s="1574"/>
      <c r="J17" s="1574"/>
      <c r="K17" s="1672">
        <f t="shared" si="0"/>
        <v>2935</v>
      </c>
      <c r="L17" s="1573">
        <v>2950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1476999</v>
      </c>
      <c r="D33" s="1674">
        <f t="shared" ref="D33:L33" si="1">SUM(D5:D32)</f>
        <v>336207</v>
      </c>
      <c r="E33" s="1674">
        <f t="shared" si="1"/>
        <v>39624</v>
      </c>
      <c r="F33" s="1674">
        <f t="shared" si="1"/>
        <v>121508</v>
      </c>
      <c r="G33" s="1674">
        <f t="shared" si="1"/>
        <v>11024</v>
      </c>
      <c r="H33" s="1674">
        <f t="shared" si="1"/>
        <v>0</v>
      </c>
      <c r="I33" s="1674">
        <f t="shared" si="1"/>
        <v>0</v>
      </c>
      <c r="J33" s="1674">
        <f t="shared" si="1"/>
        <v>0</v>
      </c>
      <c r="K33" s="1674">
        <f t="shared" si="1"/>
        <v>1985362</v>
      </c>
      <c r="L33" s="1674">
        <f t="shared" si="1"/>
        <v>2066222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16452</v>
      </c>
      <c r="F36" s="1586"/>
      <c r="G36" s="1586"/>
      <c r="H36" s="1586"/>
      <c r="I36" s="1574"/>
      <c r="J36" s="1574"/>
      <c r="K36" s="1672">
        <f t="shared" ref="K36:K41" si="2">SUM(C36:J36)</f>
        <v>16452</v>
      </c>
      <c r="L36" s="1573">
        <v>25704</v>
      </c>
    </row>
    <row r="37" spans="1:14" x14ac:dyDescent="0.2">
      <c r="A37" s="1274" t="s">
        <v>1081</v>
      </c>
      <c r="B37" s="503">
        <v>2120</v>
      </c>
      <c r="C37" s="1573">
        <v>64468</v>
      </c>
      <c r="D37" s="1573">
        <v>14402</v>
      </c>
      <c r="E37" s="1573"/>
      <c r="F37" s="1573">
        <v>125</v>
      </c>
      <c r="G37" s="1573"/>
      <c r="H37" s="1573"/>
      <c r="I37" s="1574"/>
      <c r="J37" s="1574"/>
      <c r="K37" s="1672">
        <f t="shared" si="2"/>
        <v>78995</v>
      </c>
      <c r="L37" s="1573">
        <v>79842</v>
      </c>
    </row>
    <row r="38" spans="1:14" x14ac:dyDescent="0.2">
      <c r="A38" s="1274" t="s">
        <v>196</v>
      </c>
      <c r="B38" s="503">
        <v>2130</v>
      </c>
      <c r="C38" s="1573">
        <v>11794</v>
      </c>
      <c r="D38" s="1573"/>
      <c r="E38" s="1573"/>
      <c r="F38" s="1573">
        <v>254</v>
      </c>
      <c r="G38" s="1573"/>
      <c r="H38" s="1573"/>
      <c r="I38" s="1574"/>
      <c r="J38" s="1574"/>
      <c r="K38" s="1672">
        <f t="shared" si="2"/>
        <v>12048</v>
      </c>
      <c r="L38" s="1573">
        <v>15000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42293</v>
      </c>
      <c r="D40" s="1573">
        <v>11470</v>
      </c>
      <c r="E40" s="1573"/>
      <c r="F40" s="1573">
        <v>624</v>
      </c>
      <c r="G40" s="1573"/>
      <c r="H40" s="1573"/>
      <c r="I40" s="1574"/>
      <c r="J40" s="1574"/>
      <c r="K40" s="1672">
        <f t="shared" si="2"/>
        <v>54387</v>
      </c>
      <c r="L40" s="1573">
        <v>53784</v>
      </c>
    </row>
    <row r="41" spans="1:14" x14ac:dyDescent="0.2">
      <c r="A41" s="1274" t="s">
        <v>1650</v>
      </c>
      <c r="B41" s="503">
        <v>2190</v>
      </c>
      <c r="C41" s="1573"/>
      <c r="D41" s="1573"/>
      <c r="E41" s="1573"/>
      <c r="F41" s="1573">
        <v>985</v>
      </c>
      <c r="G41" s="1573"/>
      <c r="H41" s="1573"/>
      <c r="I41" s="1574"/>
      <c r="J41" s="1574"/>
      <c r="K41" s="1672">
        <f t="shared" si="2"/>
        <v>985</v>
      </c>
      <c r="L41" s="1573">
        <v>2400</v>
      </c>
    </row>
    <row r="42" spans="1:14" ht="12.75" customHeight="1" thickBot="1" x14ac:dyDescent="0.25">
      <c r="A42" s="1380" t="s">
        <v>556</v>
      </c>
      <c r="B42" s="1381" t="s">
        <v>711</v>
      </c>
      <c r="C42" s="1674">
        <f>SUM(C36:C41)</f>
        <v>118555</v>
      </c>
      <c r="D42" s="1674">
        <f t="shared" ref="D42:L42" si="3">SUM(D36:D41)</f>
        <v>25872</v>
      </c>
      <c r="E42" s="1674">
        <f t="shared" si="3"/>
        <v>16452</v>
      </c>
      <c r="F42" s="1674">
        <f t="shared" si="3"/>
        <v>1988</v>
      </c>
      <c r="G42" s="1674">
        <f t="shared" si="3"/>
        <v>0</v>
      </c>
      <c r="H42" s="1674">
        <f t="shared" si="3"/>
        <v>0</v>
      </c>
      <c r="I42" s="1674">
        <f t="shared" si="3"/>
        <v>0</v>
      </c>
      <c r="J42" s="1674">
        <f t="shared" si="3"/>
        <v>0</v>
      </c>
      <c r="K42" s="1674">
        <f t="shared" si="3"/>
        <v>162867</v>
      </c>
      <c r="L42" s="1674">
        <f t="shared" si="3"/>
        <v>176730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1080</v>
      </c>
      <c r="D44" s="1586">
        <v>77</v>
      </c>
      <c r="E44" s="1586">
        <v>12203</v>
      </c>
      <c r="F44" s="1586">
        <v>5235</v>
      </c>
      <c r="G44" s="1586">
        <v>14256</v>
      </c>
      <c r="H44" s="1586"/>
      <c r="I44" s="1574"/>
      <c r="J44" s="1574"/>
      <c r="K44" s="1678">
        <f>SUM(C44:J44)</f>
        <v>32851</v>
      </c>
      <c r="L44" s="1586">
        <v>27000</v>
      </c>
    </row>
    <row r="45" spans="1:14" x14ac:dyDescent="0.2">
      <c r="A45" s="1274" t="s">
        <v>810</v>
      </c>
      <c r="B45" s="503">
        <v>2220</v>
      </c>
      <c r="C45" s="1573">
        <v>24261</v>
      </c>
      <c r="D45" s="1573">
        <v>3390</v>
      </c>
      <c r="E45" s="1573"/>
      <c r="F45" s="1573">
        <v>500</v>
      </c>
      <c r="G45" s="1573"/>
      <c r="H45" s="1573"/>
      <c r="I45" s="1574"/>
      <c r="J45" s="1574"/>
      <c r="K45" s="1678">
        <f>SUM(C45:J45)</f>
        <v>28151</v>
      </c>
      <c r="L45" s="1573">
        <v>32023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25341</v>
      </c>
      <c r="D47" s="1674">
        <f t="shared" ref="D47:K47" si="4">SUM(D44:D46)</f>
        <v>3467</v>
      </c>
      <c r="E47" s="1674">
        <f t="shared" si="4"/>
        <v>12203</v>
      </c>
      <c r="F47" s="1674">
        <f t="shared" si="4"/>
        <v>5735</v>
      </c>
      <c r="G47" s="1674">
        <f t="shared" si="4"/>
        <v>14256</v>
      </c>
      <c r="H47" s="1674">
        <f t="shared" si="4"/>
        <v>0</v>
      </c>
      <c r="I47" s="1674">
        <f t="shared" si="4"/>
        <v>0</v>
      </c>
      <c r="J47" s="1674">
        <f t="shared" si="4"/>
        <v>0</v>
      </c>
      <c r="K47" s="1674">
        <f t="shared" si="4"/>
        <v>61002</v>
      </c>
      <c r="L47" s="1674">
        <f>SUM(L44:L46)</f>
        <v>59023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42560</v>
      </c>
      <c r="F49" s="1586">
        <v>4983</v>
      </c>
      <c r="G49" s="1586"/>
      <c r="H49" s="1586">
        <v>2369</v>
      </c>
      <c r="I49" s="1574"/>
      <c r="J49" s="1574"/>
      <c r="K49" s="1678">
        <f>SUM(C49:J49)</f>
        <v>49912</v>
      </c>
      <c r="L49" s="1586">
        <v>59900</v>
      </c>
    </row>
    <row r="50" spans="1:14" x14ac:dyDescent="0.2">
      <c r="A50" s="1274" t="s">
        <v>813</v>
      </c>
      <c r="B50" s="503">
        <v>2320</v>
      </c>
      <c r="C50" s="1573">
        <v>105083</v>
      </c>
      <c r="D50" s="1573">
        <v>521</v>
      </c>
      <c r="E50" s="1573">
        <v>580</v>
      </c>
      <c r="F50" s="1573">
        <v>4885</v>
      </c>
      <c r="G50" s="1573"/>
      <c r="H50" s="1573">
        <v>350</v>
      </c>
      <c r="I50" s="1574"/>
      <c r="J50" s="1574"/>
      <c r="K50" s="1678">
        <f>SUM(C50:J50)</f>
        <v>111419</v>
      </c>
      <c r="L50" s="1573">
        <v>112680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105083</v>
      </c>
      <c r="D53" s="1674">
        <f t="shared" ref="D53:L53" si="5">SUM(D49:D52)</f>
        <v>521</v>
      </c>
      <c r="E53" s="1674">
        <f t="shared" si="5"/>
        <v>43140</v>
      </c>
      <c r="F53" s="1674">
        <f t="shared" si="5"/>
        <v>9868</v>
      </c>
      <c r="G53" s="1674">
        <f t="shared" si="5"/>
        <v>0</v>
      </c>
      <c r="H53" s="1674">
        <f t="shared" si="5"/>
        <v>2719</v>
      </c>
      <c r="I53" s="1674">
        <f t="shared" si="5"/>
        <v>0</v>
      </c>
      <c r="J53" s="1674">
        <f t="shared" si="5"/>
        <v>0</v>
      </c>
      <c r="K53" s="1674">
        <f t="shared" si="5"/>
        <v>161331</v>
      </c>
      <c r="L53" s="1674">
        <f t="shared" si="5"/>
        <v>172580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154978</v>
      </c>
      <c r="D55" s="1586">
        <v>43176</v>
      </c>
      <c r="E55" s="1586">
        <v>2944</v>
      </c>
      <c r="F55" s="1586">
        <v>18450</v>
      </c>
      <c r="G55" s="1586"/>
      <c r="H55" s="1586">
        <v>782</v>
      </c>
      <c r="I55" s="1574"/>
      <c r="J55" s="1574"/>
      <c r="K55" s="1678">
        <f>SUM(C55:J55)</f>
        <v>220330</v>
      </c>
      <c r="L55" s="1586">
        <v>214254</v>
      </c>
    </row>
    <row r="56" spans="1:14" ht="12.75" customHeight="1" x14ac:dyDescent="0.2">
      <c r="A56" s="1278" t="s">
        <v>373</v>
      </c>
      <c r="B56" s="512">
        <v>2490</v>
      </c>
      <c r="C56" s="1573">
        <v>55320</v>
      </c>
      <c r="D56" s="1573">
        <v>2342</v>
      </c>
      <c r="E56" s="1573"/>
      <c r="F56" s="1573"/>
      <c r="G56" s="1573"/>
      <c r="H56" s="1573"/>
      <c r="I56" s="1574"/>
      <c r="J56" s="1574"/>
      <c r="K56" s="1678">
        <f>SUM(C56:J56)</f>
        <v>57662</v>
      </c>
      <c r="L56" s="1573">
        <v>65260</v>
      </c>
    </row>
    <row r="57" spans="1:14" s="321" customFormat="1" ht="12.75" customHeight="1" thickBot="1" x14ac:dyDescent="0.25">
      <c r="A57" s="1380" t="s">
        <v>261</v>
      </c>
      <c r="B57" s="1382" t="s">
        <v>34</v>
      </c>
      <c r="C57" s="1679">
        <f>SUM(C55:C56)</f>
        <v>210298</v>
      </c>
      <c r="D57" s="1679">
        <f t="shared" ref="D57:K57" si="6">SUM(D55:D56)</f>
        <v>45518</v>
      </c>
      <c r="E57" s="1679">
        <f t="shared" si="6"/>
        <v>2944</v>
      </c>
      <c r="F57" s="1679">
        <f t="shared" si="6"/>
        <v>18450</v>
      </c>
      <c r="G57" s="1679">
        <f t="shared" si="6"/>
        <v>0</v>
      </c>
      <c r="H57" s="1679">
        <f t="shared" si="6"/>
        <v>782</v>
      </c>
      <c r="I57" s="1679">
        <f t="shared" si="6"/>
        <v>0</v>
      </c>
      <c r="J57" s="1679">
        <f t="shared" si="6"/>
        <v>0</v>
      </c>
      <c r="K57" s="1679">
        <f t="shared" si="6"/>
        <v>277992</v>
      </c>
      <c r="L57" s="1674">
        <f>SUM(L55:L56)</f>
        <v>279514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50515</v>
      </c>
      <c r="D60" s="1573">
        <v>5870</v>
      </c>
      <c r="E60" s="1573"/>
      <c r="F60" s="1573">
        <v>798</v>
      </c>
      <c r="G60" s="1573">
        <v>40000</v>
      </c>
      <c r="H60" s="1573"/>
      <c r="I60" s="1574"/>
      <c r="J60" s="1574"/>
      <c r="K60" s="1678">
        <f t="shared" si="7"/>
        <v>97183</v>
      </c>
      <c r="L60" s="1573">
        <v>97100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66251</v>
      </c>
      <c r="D63" s="1573">
        <v>2616</v>
      </c>
      <c r="E63" s="1573">
        <v>8</v>
      </c>
      <c r="F63" s="1573">
        <v>72488</v>
      </c>
      <c r="G63" s="1573"/>
      <c r="H63" s="1573"/>
      <c r="I63" s="1574"/>
      <c r="J63" s="1574"/>
      <c r="K63" s="1678">
        <f t="shared" si="7"/>
        <v>141363</v>
      </c>
      <c r="L63" s="1573">
        <v>167150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116766</v>
      </c>
      <c r="D65" s="1674">
        <f t="shared" ref="D65:L65" si="8">SUM(D59:D64)</f>
        <v>8486</v>
      </c>
      <c r="E65" s="1674">
        <f t="shared" si="8"/>
        <v>8</v>
      </c>
      <c r="F65" s="1674">
        <f t="shared" si="8"/>
        <v>73286</v>
      </c>
      <c r="G65" s="1674">
        <f t="shared" si="8"/>
        <v>40000</v>
      </c>
      <c r="H65" s="1674">
        <f t="shared" si="8"/>
        <v>0</v>
      </c>
      <c r="I65" s="1674">
        <f t="shared" si="8"/>
        <v>0</v>
      </c>
      <c r="J65" s="1674">
        <f t="shared" si="8"/>
        <v>0</v>
      </c>
      <c r="K65" s="1674">
        <f t="shared" si="8"/>
        <v>238546</v>
      </c>
      <c r="L65" s="1674">
        <f t="shared" si="8"/>
        <v>264250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1232</v>
      </c>
      <c r="F70" s="1573"/>
      <c r="G70" s="1573"/>
      <c r="H70" s="1573"/>
      <c r="I70" s="1574"/>
      <c r="J70" s="1574"/>
      <c r="K70" s="1678">
        <f>SUM(C70:J70)</f>
        <v>1232</v>
      </c>
      <c r="L70" s="1573">
        <v>1000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1232</v>
      </c>
      <c r="F72" s="1674">
        <f t="shared" si="9"/>
        <v>0</v>
      </c>
      <c r="G72" s="1674">
        <f t="shared" si="9"/>
        <v>0</v>
      </c>
      <c r="H72" s="1674">
        <f t="shared" si="9"/>
        <v>0</v>
      </c>
      <c r="I72" s="1674">
        <f t="shared" si="9"/>
        <v>0</v>
      </c>
      <c r="J72" s="1674">
        <f t="shared" si="9"/>
        <v>0</v>
      </c>
      <c r="K72" s="1674">
        <f t="shared" si="9"/>
        <v>1232</v>
      </c>
      <c r="L72" s="1674">
        <f>SUM(L67:L71)</f>
        <v>1000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576043</v>
      </c>
      <c r="D74" s="1681">
        <f t="shared" ref="D74:K74" si="10">SUM(D42,D47,D53,D57,D65,D72,D73)</f>
        <v>83864</v>
      </c>
      <c r="E74" s="1681">
        <f t="shared" si="10"/>
        <v>75979</v>
      </c>
      <c r="F74" s="1681">
        <f t="shared" si="10"/>
        <v>109327</v>
      </c>
      <c r="G74" s="1681">
        <f t="shared" si="10"/>
        <v>54256</v>
      </c>
      <c r="H74" s="1681">
        <f t="shared" si="10"/>
        <v>3501</v>
      </c>
      <c r="I74" s="1681">
        <f t="shared" si="10"/>
        <v>0</v>
      </c>
      <c r="J74" s="1681">
        <f t="shared" si="10"/>
        <v>0</v>
      </c>
      <c r="K74" s="1681">
        <f t="shared" si="10"/>
        <v>902970</v>
      </c>
      <c r="L74" s="1681">
        <f>SUM(L42,L47,L53,L57,L65,L72,L73)</f>
        <v>953097</v>
      </c>
    </row>
    <row r="75" spans="1:14" s="254" customFormat="1" ht="15.75" customHeight="1" thickTop="1" thickBot="1" x14ac:dyDescent="0.25">
      <c r="A75" s="1348" t="s">
        <v>47</v>
      </c>
      <c r="B75" s="1349" t="s">
        <v>571</v>
      </c>
      <c r="C75" s="1649"/>
      <c r="D75" s="1649"/>
      <c r="E75" s="1649"/>
      <c r="F75" s="1649">
        <v>109</v>
      </c>
      <c r="G75" s="1649"/>
      <c r="H75" s="1649"/>
      <c r="I75" s="1627"/>
      <c r="J75" s="1627"/>
      <c r="K75" s="1674">
        <f>SUM(C75:J75)</f>
        <v>109</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995</v>
      </c>
      <c r="F78" s="1673"/>
      <c r="G78" s="1673"/>
      <c r="H78" s="1682"/>
      <c r="I78" s="1582"/>
      <c r="J78" s="1582"/>
      <c r="K78" s="1672">
        <f t="shared" ref="K78:K83" si="11">SUM(C78:J78)</f>
        <v>995</v>
      </c>
      <c r="L78" s="1586">
        <v>2400</v>
      </c>
    </row>
    <row r="79" spans="1:14" x14ac:dyDescent="0.2">
      <c r="A79" s="1274" t="s">
        <v>301</v>
      </c>
      <c r="B79" s="503">
        <v>4120</v>
      </c>
      <c r="C79" s="1673"/>
      <c r="D79" s="1673"/>
      <c r="E79" s="1573">
        <v>199077</v>
      </c>
      <c r="F79" s="1673"/>
      <c r="G79" s="1673"/>
      <c r="H79" s="1573"/>
      <c r="I79" s="1582"/>
      <c r="J79" s="1582"/>
      <c r="K79" s="1672">
        <f t="shared" si="11"/>
        <v>199077</v>
      </c>
      <c r="L79" s="1573">
        <v>210000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23868</v>
      </c>
      <c r="F81" s="1673"/>
      <c r="G81" s="1673"/>
      <c r="H81" s="1573"/>
      <c r="I81" s="1582"/>
      <c r="J81" s="1582"/>
      <c r="K81" s="1672">
        <f t="shared" si="11"/>
        <v>23868</v>
      </c>
      <c r="L81" s="1573">
        <v>35000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223940</v>
      </c>
      <c r="F84" s="1673"/>
      <c r="G84" s="1673"/>
      <c r="H84" s="1674">
        <f>SUM(H78:H83)</f>
        <v>0</v>
      </c>
      <c r="I84" s="1582"/>
      <c r="J84" s="1582"/>
      <c r="K84" s="1674">
        <f>SUM(K78:K83)</f>
        <v>223940</v>
      </c>
      <c r="L84" s="1674">
        <f>SUM(L78:L83)</f>
        <v>247400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223940</v>
      </c>
      <c r="F102" s="1673"/>
      <c r="G102" s="1673"/>
      <c r="H102" s="1681">
        <f>SUM(H84,H92,H100,H101)</f>
        <v>0</v>
      </c>
      <c r="I102" s="1582"/>
      <c r="J102" s="1582"/>
      <c r="K102" s="1681">
        <f>SUM(K84,K92,K100,K101)</f>
        <v>223940</v>
      </c>
      <c r="L102" s="1681">
        <f>SUM(L84,L92,L100,L101)</f>
        <v>247400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2053042</v>
      </c>
      <c r="D114" s="1674">
        <f t="shared" ref="D114:K114" si="13">SUM(D33,D74,D75,D102,D112,D113)</f>
        <v>420071</v>
      </c>
      <c r="E114" s="1674">
        <f t="shared" si="13"/>
        <v>339543</v>
      </c>
      <c r="F114" s="1674">
        <f t="shared" si="13"/>
        <v>230944</v>
      </c>
      <c r="G114" s="1674">
        <f t="shared" si="13"/>
        <v>65280</v>
      </c>
      <c r="H114" s="1674">
        <f>SUM(H33,H74,H75,H102,H112,H113)</f>
        <v>3501</v>
      </c>
      <c r="I114" s="1674">
        <f t="shared" si="13"/>
        <v>0</v>
      </c>
      <c r="J114" s="1674">
        <f t="shared" si="13"/>
        <v>0</v>
      </c>
      <c r="K114" s="1674">
        <f t="shared" si="13"/>
        <v>3112381</v>
      </c>
      <c r="L114" s="1674">
        <f>SUM(L33,L74,L75,L102,L112,L113)</f>
        <v>3266719</v>
      </c>
    </row>
    <row r="115" spans="1:14" ht="13.5" thickTop="1" x14ac:dyDescent="0.2">
      <c r="A115" s="2287" t="s">
        <v>989</v>
      </c>
      <c r="B115" s="2288"/>
      <c r="C115" s="1675"/>
      <c r="D115" s="1675"/>
      <c r="E115" s="1675"/>
      <c r="F115" s="1675"/>
      <c r="G115" s="1675"/>
      <c r="H115" s="1675"/>
      <c r="I115" s="1675"/>
      <c r="J115" s="1675"/>
      <c r="K115" s="1689">
        <f>'Revenues 9-14'!C268-'Expenditures 15-22'!K114</f>
        <v>-85877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10000</v>
      </c>
    </row>
    <row r="124" spans="1:14" ht="14.25" thickTop="1" thickBot="1" x14ac:dyDescent="0.25">
      <c r="A124" s="1274" t="s">
        <v>195</v>
      </c>
      <c r="B124" s="503">
        <v>2540</v>
      </c>
      <c r="C124" s="1573">
        <v>147786</v>
      </c>
      <c r="D124" s="1573">
        <v>26113</v>
      </c>
      <c r="E124" s="1573">
        <v>73963</v>
      </c>
      <c r="F124" s="1573">
        <v>97929</v>
      </c>
      <c r="G124" s="1573">
        <v>13650</v>
      </c>
      <c r="H124" s="1573"/>
      <c r="I124" s="1574"/>
      <c r="J124" s="1574"/>
      <c r="K124" s="1674">
        <f>SUM(C124:J124)</f>
        <v>359441</v>
      </c>
      <c r="L124" s="1573">
        <v>393400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147786</v>
      </c>
      <c r="D127" s="1674">
        <f t="shared" ref="D127:L127" si="14">SUM(D122:D126)</f>
        <v>26113</v>
      </c>
      <c r="E127" s="1674">
        <f t="shared" si="14"/>
        <v>73963</v>
      </c>
      <c r="F127" s="1674">
        <f t="shared" si="14"/>
        <v>97929</v>
      </c>
      <c r="G127" s="1674">
        <f t="shared" si="14"/>
        <v>13650</v>
      </c>
      <c r="H127" s="1674">
        <f t="shared" si="14"/>
        <v>0</v>
      </c>
      <c r="I127" s="1674">
        <f t="shared" si="14"/>
        <v>0</v>
      </c>
      <c r="J127" s="1674">
        <f t="shared" si="14"/>
        <v>0</v>
      </c>
      <c r="K127" s="1674">
        <f t="shared" si="14"/>
        <v>359441</v>
      </c>
      <c r="L127" s="1674">
        <f t="shared" si="14"/>
        <v>403400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147786</v>
      </c>
      <c r="D129" s="1681">
        <f t="shared" ref="D129:L129" si="15">SUM(D120,D127,D128)</f>
        <v>26113</v>
      </c>
      <c r="E129" s="1681">
        <f t="shared" si="15"/>
        <v>73963</v>
      </c>
      <c r="F129" s="1681">
        <f t="shared" si="15"/>
        <v>97929</v>
      </c>
      <c r="G129" s="1681">
        <f t="shared" si="15"/>
        <v>13650</v>
      </c>
      <c r="H129" s="1681">
        <f t="shared" si="15"/>
        <v>0</v>
      </c>
      <c r="I129" s="1681">
        <f t="shared" si="15"/>
        <v>0</v>
      </c>
      <c r="J129" s="1681">
        <f t="shared" si="15"/>
        <v>0</v>
      </c>
      <c r="K129" s="1681">
        <f t="shared" si="15"/>
        <v>359441</v>
      </c>
      <c r="L129" s="1681">
        <f t="shared" si="15"/>
        <v>403400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147786</v>
      </c>
      <c r="D151" s="1674">
        <f t="shared" ref="D151:K151" si="16">SUM(D129,D130,D139,D149,D150)</f>
        <v>26113</v>
      </c>
      <c r="E151" s="1674">
        <f t="shared" si="16"/>
        <v>73963</v>
      </c>
      <c r="F151" s="1674">
        <f t="shared" si="16"/>
        <v>97929</v>
      </c>
      <c r="G151" s="1674">
        <f t="shared" si="16"/>
        <v>13650</v>
      </c>
      <c r="H151" s="1674">
        <f t="shared" si="16"/>
        <v>0</v>
      </c>
      <c r="I151" s="1674">
        <f t="shared" si="16"/>
        <v>0</v>
      </c>
      <c r="J151" s="1674">
        <f t="shared" si="16"/>
        <v>0</v>
      </c>
      <c r="K151" s="1674">
        <f t="shared" si="16"/>
        <v>359441</v>
      </c>
      <c r="L151" s="1674">
        <f>SUM(L129,L130,L139,L149,L150)</f>
        <v>403400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258262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v>215010</v>
      </c>
      <c r="I166" s="1673"/>
      <c r="J166" s="1673"/>
      <c r="K166" s="1672">
        <f>SUM(C166:J166)</f>
        <v>215010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215010</v>
      </c>
      <c r="I168" s="1673"/>
      <c r="J168" s="1673"/>
      <c r="K168" s="1674">
        <f>SUM(K163:K167)</f>
        <v>215010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v>218925</v>
      </c>
    </row>
    <row r="170" spans="1:14" ht="33.75" customHeight="1" x14ac:dyDescent="0.2">
      <c r="A170" s="543" t="s">
        <v>1651</v>
      </c>
      <c r="B170" s="545" t="s">
        <v>31</v>
      </c>
      <c r="C170" s="1673"/>
      <c r="D170" s="1673"/>
      <c r="E170" s="1673"/>
      <c r="F170" s="1673"/>
      <c r="G170" s="1673"/>
      <c r="H170" s="1646">
        <v>145000</v>
      </c>
      <c r="I170" s="1673"/>
      <c r="J170" s="1673"/>
      <c r="K170" s="1672">
        <f>SUM(C170:J170)</f>
        <v>145000</v>
      </c>
      <c r="L170" s="1646"/>
    </row>
    <row r="171" spans="1:14" ht="15.75" customHeight="1" x14ac:dyDescent="0.2">
      <c r="A171" s="507" t="s">
        <v>761</v>
      </c>
      <c r="B171" s="546" t="s">
        <v>84</v>
      </c>
      <c r="C171" s="1673"/>
      <c r="D171" s="1673"/>
      <c r="E171" s="1573"/>
      <c r="F171" s="1673"/>
      <c r="G171" s="1673"/>
      <c r="H171" s="1646">
        <v>400</v>
      </c>
      <c r="I171" s="1582"/>
      <c r="J171" s="1673"/>
      <c r="K171" s="1672">
        <f>SUM(C171:J171)</f>
        <v>400</v>
      </c>
      <c r="L171" s="1646"/>
    </row>
    <row r="172" spans="1:14" ht="12.75" customHeight="1" thickBot="1" x14ac:dyDescent="0.25">
      <c r="A172" s="1380" t="s">
        <v>633</v>
      </c>
      <c r="B172" s="1381" t="s">
        <v>489</v>
      </c>
      <c r="C172" s="1673"/>
      <c r="D172" s="1673"/>
      <c r="E172" s="1681">
        <f>SUM(E168,E169,E170,E171)</f>
        <v>0</v>
      </c>
      <c r="F172" s="1673"/>
      <c r="G172" s="1673"/>
      <c r="H172" s="1681">
        <f>SUM(H168,H169,H170,H171)</f>
        <v>360410</v>
      </c>
      <c r="I172" s="1684"/>
      <c r="J172" s="1673"/>
      <c r="K172" s="1681">
        <f>SUM(K168,K169,K170,K171)</f>
        <v>360410</v>
      </c>
      <c r="L172" s="1681">
        <f>SUM(L168,L169,L170,L171)</f>
        <v>218925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360410</v>
      </c>
      <c r="I174" s="1684"/>
      <c r="J174" s="1673"/>
      <c r="K174" s="1681">
        <f>SUM(K160,K172,K173)</f>
        <v>360410</v>
      </c>
      <c r="L174" s="1681">
        <f>SUM(L160,L172,L173)</f>
        <v>218925</v>
      </c>
    </row>
    <row r="175" spans="1:14" ht="13.5" thickTop="1" x14ac:dyDescent="0.2">
      <c r="A175" s="2287" t="s">
        <v>989</v>
      </c>
      <c r="B175" s="2288"/>
      <c r="C175" s="1673"/>
      <c r="D175" s="1673"/>
      <c r="E175" s="1673"/>
      <c r="F175" s="1673"/>
      <c r="G175" s="1673"/>
      <c r="H175" s="1675"/>
      <c r="I175" s="1673"/>
      <c r="J175" s="1673"/>
      <c r="K175" s="1689">
        <f>'Revenues 9-14'!E268-'Expenditures 15-22'!K174</f>
        <v>-143653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168528</v>
      </c>
      <c r="D182" s="1573">
        <v>2609</v>
      </c>
      <c r="E182" s="1573">
        <v>12303</v>
      </c>
      <c r="F182" s="1573">
        <v>45873</v>
      </c>
      <c r="G182" s="1573"/>
      <c r="H182" s="1573"/>
      <c r="I182" s="1574"/>
      <c r="J182" s="1574"/>
      <c r="K182" s="1672">
        <f>SUM(C182:J182)</f>
        <v>229313</v>
      </c>
      <c r="L182" s="1573">
        <v>263001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168528</v>
      </c>
      <c r="D184" s="1681">
        <f t="shared" ref="D184:J184" si="17">SUM(D180,D182,D183)</f>
        <v>2609</v>
      </c>
      <c r="E184" s="1681">
        <f t="shared" si="17"/>
        <v>12303</v>
      </c>
      <c r="F184" s="1681">
        <f t="shared" si="17"/>
        <v>45873</v>
      </c>
      <c r="G184" s="1681">
        <f t="shared" si="17"/>
        <v>0</v>
      </c>
      <c r="H184" s="1681">
        <f t="shared" si="17"/>
        <v>0</v>
      </c>
      <c r="I184" s="1681">
        <f t="shared" si="17"/>
        <v>0</v>
      </c>
      <c r="J184" s="1681">
        <f t="shared" si="17"/>
        <v>0</v>
      </c>
      <c r="K184" s="1681">
        <f>SUM(K180,K182,K183)</f>
        <v>229313</v>
      </c>
      <c r="L184" s="1681">
        <f>SUM(L180, L182:L183)</f>
        <v>263001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7820</v>
      </c>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7820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7820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168528</v>
      </c>
      <c r="D210" s="1674">
        <f>SUM(D184,D185)</f>
        <v>2609</v>
      </c>
      <c r="E210" s="1674">
        <f>SUM(E184,E185,E196)</f>
        <v>12303</v>
      </c>
      <c r="F210" s="1674">
        <f>SUM(F184,F185)</f>
        <v>45873</v>
      </c>
      <c r="G210" s="1674">
        <f>SUM(G184,G185)</f>
        <v>0</v>
      </c>
      <c r="H210" s="1674">
        <f>SUM(H184,H185,H196,H208,H209)</f>
        <v>0</v>
      </c>
      <c r="I210" s="1674">
        <f>SUM(I184,I185)</f>
        <v>0</v>
      </c>
      <c r="J210" s="1674">
        <f>SUM(J184,J185)</f>
        <v>0</v>
      </c>
      <c r="K210" s="1672">
        <f>SUM(K184,K185,K196,K208,K209)</f>
        <v>229313</v>
      </c>
      <c r="L210" s="1674">
        <f>SUM(L184,L185,L196,L208,L209)</f>
        <v>270821</v>
      </c>
    </row>
    <row r="211" spans="1:14" ht="13.5" thickTop="1" x14ac:dyDescent="0.2">
      <c r="A211" s="2287" t="s">
        <v>989</v>
      </c>
      <c r="B211" s="2288"/>
      <c r="C211" s="1675"/>
      <c r="D211" s="1675"/>
      <c r="E211" s="1675"/>
      <c r="F211" s="1675"/>
      <c r="G211" s="1675"/>
      <c r="H211" s="1675"/>
      <c r="I211" s="1673"/>
      <c r="J211" s="1673"/>
      <c r="K211" s="1689">
        <f>'Revenues 9-14'!F268-'Expenditures 15-22'!K210</f>
        <v>33784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41156</v>
      </c>
      <c r="E215" s="1673"/>
      <c r="F215" s="1673"/>
      <c r="G215" s="1673"/>
      <c r="H215" s="1673"/>
      <c r="I215" s="1673"/>
      <c r="J215" s="1673"/>
      <c r="K215" s="1672">
        <f>D215</f>
        <v>41156</v>
      </c>
      <c r="L215" s="1573">
        <v>43510</v>
      </c>
    </row>
    <row r="216" spans="1:14" x14ac:dyDescent="0.2">
      <c r="A216" s="1274" t="s">
        <v>162</v>
      </c>
      <c r="B216" s="503" t="s">
        <v>961</v>
      </c>
      <c r="C216" s="1673"/>
      <c r="D216" s="1574">
        <v>3302</v>
      </c>
      <c r="E216" s="1673"/>
      <c r="F216" s="1673"/>
      <c r="G216" s="1673"/>
      <c r="H216" s="1673"/>
      <c r="I216" s="1673"/>
      <c r="J216" s="1673"/>
      <c r="K216" s="1672">
        <f t="shared" ref="K216:K228" si="19">D216</f>
        <v>3302</v>
      </c>
      <c r="L216" s="1573">
        <v>4280</v>
      </c>
    </row>
    <row r="217" spans="1:14" x14ac:dyDescent="0.2">
      <c r="A217" s="1274" t="s">
        <v>163</v>
      </c>
      <c r="B217" s="503">
        <v>1200</v>
      </c>
      <c r="C217" s="1673"/>
      <c r="D217" s="1573">
        <v>2448</v>
      </c>
      <c r="E217" s="1673"/>
      <c r="F217" s="1673"/>
      <c r="G217" s="1673"/>
      <c r="H217" s="1673"/>
      <c r="I217" s="1673"/>
      <c r="J217" s="1673"/>
      <c r="K217" s="1672">
        <f t="shared" si="19"/>
        <v>2448</v>
      </c>
      <c r="L217" s="1573">
        <v>2700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1008</v>
      </c>
      <c r="E219" s="1673"/>
      <c r="F219" s="1673"/>
      <c r="G219" s="1673"/>
      <c r="H219" s="1673"/>
      <c r="I219" s="1673"/>
      <c r="J219" s="1673"/>
      <c r="K219" s="1672">
        <f t="shared" si="19"/>
        <v>1008</v>
      </c>
      <c r="L219" s="1573">
        <v>800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619</v>
      </c>
      <c r="E222" s="1673"/>
      <c r="F222" s="1673"/>
      <c r="G222" s="1673"/>
      <c r="H222" s="1673"/>
      <c r="I222" s="1673"/>
      <c r="J222" s="1673"/>
      <c r="K222" s="1672">
        <f t="shared" si="19"/>
        <v>619</v>
      </c>
      <c r="L222" s="1573">
        <v>600</v>
      </c>
    </row>
    <row r="223" spans="1:14" x14ac:dyDescent="0.2">
      <c r="A223" s="1274" t="s">
        <v>957</v>
      </c>
      <c r="B223" s="503">
        <v>1500</v>
      </c>
      <c r="C223" s="1673"/>
      <c r="D223" s="1573">
        <v>1572</v>
      </c>
      <c r="E223" s="1673"/>
      <c r="F223" s="1673"/>
      <c r="G223" s="1673"/>
      <c r="H223" s="1673"/>
      <c r="I223" s="1673"/>
      <c r="J223" s="1673"/>
      <c r="K223" s="1672">
        <f t="shared" si="19"/>
        <v>1572</v>
      </c>
      <c r="L223" s="1573">
        <v>1372</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50105</v>
      </c>
      <c r="E229" s="1673"/>
      <c r="F229" s="1673"/>
      <c r="G229" s="1673"/>
      <c r="H229" s="1673"/>
      <c r="I229" s="1673"/>
      <c r="J229" s="1673"/>
      <c r="K229" s="1674">
        <f>SUM(K215:K228)</f>
        <v>50105</v>
      </c>
      <c r="L229" s="1674">
        <f>SUM(L215:L228)</f>
        <v>53262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935</v>
      </c>
      <c r="E233" s="1673"/>
      <c r="F233" s="1673"/>
      <c r="G233" s="1673"/>
      <c r="H233" s="1673"/>
      <c r="I233" s="1673"/>
      <c r="J233" s="1673"/>
      <c r="K233" s="1672">
        <f t="shared" si="20"/>
        <v>935</v>
      </c>
      <c r="L233" s="1573">
        <v>900</v>
      </c>
    </row>
    <row r="234" spans="1:12" x14ac:dyDescent="0.2">
      <c r="A234" s="1274" t="s">
        <v>196</v>
      </c>
      <c r="B234" s="503">
        <v>2130</v>
      </c>
      <c r="C234" s="1673"/>
      <c r="D234" s="1573">
        <v>2120</v>
      </c>
      <c r="E234" s="1673"/>
      <c r="F234" s="1673"/>
      <c r="G234" s="1673"/>
      <c r="H234" s="1673"/>
      <c r="I234" s="1673"/>
      <c r="J234" s="1673"/>
      <c r="K234" s="1672">
        <f t="shared" si="20"/>
        <v>2120</v>
      </c>
      <c r="L234" s="1573">
        <v>2270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613</v>
      </c>
      <c r="E236" s="1673"/>
      <c r="F236" s="1673"/>
      <c r="G236" s="1673"/>
      <c r="H236" s="1673"/>
      <c r="I236" s="1673"/>
      <c r="J236" s="1673"/>
      <c r="K236" s="1672">
        <f t="shared" si="20"/>
        <v>613</v>
      </c>
      <c r="L236" s="1573">
        <v>650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3668</v>
      </c>
      <c r="E238" s="1673"/>
      <c r="F238" s="1673"/>
      <c r="G238" s="1673"/>
      <c r="H238" s="1673"/>
      <c r="I238" s="1673"/>
      <c r="J238" s="1673"/>
      <c r="K238" s="1674">
        <f>SUM(K232:K237)</f>
        <v>3668</v>
      </c>
      <c r="L238" s="1674">
        <f>SUM(L232:L237)</f>
        <v>3820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v>
      </c>
      <c r="E240" s="1673"/>
      <c r="F240" s="1673"/>
      <c r="G240" s="1673"/>
      <c r="H240" s="1673"/>
      <c r="I240" s="1673"/>
      <c r="J240" s="1673"/>
      <c r="K240" s="1678">
        <f>D240</f>
        <v>10</v>
      </c>
      <c r="L240" s="1586"/>
    </row>
    <row r="241" spans="1:12" x14ac:dyDescent="0.2">
      <c r="A241" s="1274" t="s">
        <v>810</v>
      </c>
      <c r="B241" s="503">
        <v>2220</v>
      </c>
      <c r="C241" s="1673"/>
      <c r="D241" s="1573">
        <v>352</v>
      </c>
      <c r="E241" s="1673"/>
      <c r="F241" s="1673"/>
      <c r="G241" s="1673"/>
      <c r="H241" s="1673"/>
      <c r="I241" s="1673"/>
      <c r="J241" s="1673"/>
      <c r="K241" s="1678">
        <f>D241</f>
        <v>352</v>
      </c>
      <c r="L241" s="1573">
        <v>340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362</v>
      </c>
      <c r="E243" s="1673"/>
      <c r="F243" s="1673"/>
      <c r="G243" s="1673"/>
      <c r="H243" s="1673"/>
      <c r="I243" s="1673"/>
      <c r="J243" s="1673"/>
      <c r="K243" s="1674">
        <f>SUM(K240:K242)</f>
        <v>362</v>
      </c>
      <c r="L243" s="1674">
        <f>SUM(L240:L242)</f>
        <v>340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6835</v>
      </c>
      <c r="E246" s="1673"/>
      <c r="F246" s="1673"/>
      <c r="G246" s="1673"/>
      <c r="H246" s="1673"/>
      <c r="I246" s="1673"/>
      <c r="J246" s="1673"/>
      <c r="K246" s="1678">
        <f t="shared" ref="K246:K256" si="21">D246</f>
        <v>6835</v>
      </c>
      <c r="L246" s="1573">
        <v>7200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6835</v>
      </c>
      <c r="E257" s="1673"/>
      <c r="F257" s="1673"/>
      <c r="G257" s="1673"/>
      <c r="H257" s="1673"/>
      <c r="I257" s="1673"/>
      <c r="J257" s="1673"/>
      <c r="K257" s="1674">
        <f>SUM(K245:K256)</f>
        <v>6835</v>
      </c>
      <c r="L257" s="1674">
        <f>SUM(L245:L256)</f>
        <v>7200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2247</v>
      </c>
      <c r="E259" s="1673"/>
      <c r="F259" s="1673"/>
      <c r="G259" s="1673"/>
      <c r="H259" s="1673"/>
      <c r="I259" s="1673"/>
      <c r="J259" s="1673"/>
      <c r="K259" s="1678">
        <f>D259</f>
        <v>2247</v>
      </c>
      <c r="L259" s="1586">
        <v>2600</v>
      </c>
    </row>
    <row r="260" spans="1:14" s="493" customFormat="1" x14ac:dyDescent="0.2">
      <c r="A260" s="1292" t="s">
        <v>1781</v>
      </c>
      <c r="B260" s="512">
        <v>2490</v>
      </c>
      <c r="C260" s="1673"/>
      <c r="D260" s="1573">
        <v>9648</v>
      </c>
      <c r="E260" s="1673"/>
      <c r="F260" s="1673"/>
      <c r="G260" s="1673"/>
      <c r="H260" s="1673"/>
      <c r="I260" s="1673"/>
      <c r="J260" s="1673"/>
      <c r="K260" s="1678">
        <f>D260</f>
        <v>9648</v>
      </c>
      <c r="L260" s="1573">
        <v>9600</v>
      </c>
      <c r="M260" s="205"/>
      <c r="N260" s="205"/>
    </row>
    <row r="261" spans="1:14" ht="12.75" customHeight="1" thickBot="1" x14ac:dyDescent="0.25">
      <c r="A261" s="1394" t="s">
        <v>261</v>
      </c>
      <c r="B261" s="1399" t="s">
        <v>34</v>
      </c>
      <c r="C261" s="1673"/>
      <c r="D261" s="1674">
        <f>SUM(D259:D260)</f>
        <v>11895</v>
      </c>
      <c r="E261" s="1673"/>
      <c r="F261" s="1673"/>
      <c r="G261" s="1673"/>
      <c r="H261" s="1673"/>
      <c r="I261" s="1673"/>
      <c r="J261" s="1673"/>
      <c r="K261" s="1674">
        <f>SUM(K259:K260)</f>
        <v>11895</v>
      </c>
      <c r="L261" s="1674">
        <f>SUM(L259:L260)</f>
        <v>12200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8830</v>
      </c>
      <c r="E264" s="1673"/>
      <c r="F264" s="1673"/>
      <c r="G264" s="1673"/>
      <c r="H264" s="1673"/>
      <c r="I264" s="1673"/>
      <c r="J264" s="1673"/>
      <c r="K264" s="1678">
        <f t="shared" ref="K264:K269" si="22">D264</f>
        <v>8830</v>
      </c>
      <c r="L264" s="1573">
        <v>8650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25366</v>
      </c>
      <c r="E266" s="1673"/>
      <c r="F266" s="1673"/>
      <c r="G266" s="1673"/>
      <c r="H266" s="1673"/>
      <c r="I266" s="1673"/>
      <c r="J266" s="1673"/>
      <c r="K266" s="1678">
        <f t="shared" si="22"/>
        <v>25366</v>
      </c>
      <c r="L266" s="1573">
        <v>29875</v>
      </c>
    </row>
    <row r="267" spans="1:14" x14ac:dyDescent="0.2">
      <c r="A267" s="1274" t="s">
        <v>947</v>
      </c>
      <c r="B267" s="503">
        <v>2550</v>
      </c>
      <c r="C267" s="1673"/>
      <c r="D267" s="1573">
        <v>28192</v>
      </c>
      <c r="E267" s="1673"/>
      <c r="F267" s="1673"/>
      <c r="G267" s="1673"/>
      <c r="H267" s="1673"/>
      <c r="I267" s="1673"/>
      <c r="J267" s="1673"/>
      <c r="K267" s="1678">
        <f t="shared" si="22"/>
        <v>28192</v>
      </c>
      <c r="L267" s="1573">
        <v>31390</v>
      </c>
    </row>
    <row r="268" spans="1:14" x14ac:dyDescent="0.2">
      <c r="A268" s="1274" t="s">
        <v>100</v>
      </c>
      <c r="B268" s="503">
        <v>2560</v>
      </c>
      <c r="C268" s="1673"/>
      <c r="D268" s="1573">
        <v>11284</v>
      </c>
      <c r="E268" s="1673"/>
      <c r="F268" s="1673"/>
      <c r="G268" s="1673"/>
      <c r="H268" s="1673"/>
      <c r="I268" s="1673"/>
      <c r="J268" s="1673"/>
      <c r="K268" s="1678">
        <f t="shared" si="22"/>
        <v>11284</v>
      </c>
      <c r="L268" s="1573">
        <v>12650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73672</v>
      </c>
      <c r="E270" s="1673"/>
      <c r="F270" s="1673"/>
      <c r="G270" s="1673"/>
      <c r="H270" s="1673"/>
      <c r="I270" s="1673"/>
      <c r="J270" s="1673"/>
      <c r="K270" s="1674">
        <f>SUM(K263:K269)</f>
        <v>73672</v>
      </c>
      <c r="L270" s="1674">
        <f>SUM(L263:L269)</f>
        <v>82565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96432</v>
      </c>
      <c r="E279" s="1673"/>
      <c r="F279" s="1673"/>
      <c r="G279" s="1673"/>
      <c r="H279" s="1673"/>
      <c r="I279" s="1673"/>
      <c r="J279" s="1673"/>
      <c r="K279" s="1681">
        <f>SUM(K238,K243,K257,K261,K270,K277,K278)</f>
        <v>96432</v>
      </c>
      <c r="L279" s="1681">
        <f>SUM(L238,L243,L257,L261,L270,L277,L278)</f>
        <v>106125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146537</v>
      </c>
      <c r="E295" s="1673"/>
      <c r="F295" s="1673"/>
      <c r="G295" s="1673"/>
      <c r="H295" s="1674">
        <f>H293</f>
        <v>0</v>
      </c>
      <c r="I295" s="1673"/>
      <c r="J295" s="1673"/>
      <c r="K295" s="1674">
        <f>SUM(K229,K279,K280,K285,K293,K294)</f>
        <v>146537</v>
      </c>
      <c r="L295" s="1674">
        <f>SUM(L229,L279,L280,L285,L293,L294)</f>
        <v>159387</v>
      </c>
    </row>
    <row r="296" spans="1:14" ht="13.5" thickTop="1" x14ac:dyDescent="0.2">
      <c r="A296" s="2287" t="s">
        <v>989</v>
      </c>
      <c r="B296" s="2288"/>
      <c r="C296" s="1673"/>
      <c r="D296" s="1675"/>
      <c r="E296" s="1673"/>
      <c r="F296" s="1673"/>
      <c r="G296" s="1673"/>
      <c r="H296" s="1707"/>
      <c r="I296" s="1673"/>
      <c r="J296" s="1673"/>
      <c r="K296" s="1689">
        <f>'Revenues 9-14'!G268-'Expenditures 15-22'!K295</f>
        <v>22287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28927</v>
      </c>
      <c r="F301" s="1573"/>
      <c r="G301" s="1573">
        <v>252572</v>
      </c>
      <c r="H301" s="1573"/>
      <c r="I301" s="1574"/>
      <c r="J301" s="1574"/>
      <c r="K301" s="1672">
        <f>SUM(C301:J301)</f>
        <v>281499</v>
      </c>
      <c r="L301" s="1574">
        <v>735000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28927</v>
      </c>
      <c r="F303" s="1681">
        <f t="shared" si="23"/>
        <v>0</v>
      </c>
      <c r="G303" s="1681">
        <f t="shared" si="23"/>
        <v>252572</v>
      </c>
      <c r="H303" s="1681">
        <f t="shared" si="23"/>
        <v>0</v>
      </c>
      <c r="I303" s="1681">
        <f t="shared" si="23"/>
        <v>0</v>
      </c>
      <c r="J303" s="1681">
        <f t="shared" si="23"/>
        <v>0</v>
      </c>
      <c r="K303" s="1681">
        <f t="shared" si="23"/>
        <v>281499</v>
      </c>
      <c r="L303" s="1681">
        <f t="shared" si="23"/>
        <v>735000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28927</v>
      </c>
      <c r="F312" s="1674">
        <f>SUM(F303)</f>
        <v>0</v>
      </c>
      <c r="G312" s="1674">
        <f>SUM(G303)</f>
        <v>252572</v>
      </c>
      <c r="H312" s="1674">
        <f>SUM(H303,H310)</f>
        <v>0</v>
      </c>
      <c r="I312" s="1674">
        <f>SUM(I303)</f>
        <v>0</v>
      </c>
      <c r="J312" s="1674">
        <f>SUM(J303)</f>
        <v>0</v>
      </c>
      <c r="K312" s="1674">
        <f>SUM(K303,K310,K311)</f>
        <v>281499</v>
      </c>
      <c r="L312" s="1674">
        <f>SUM(L303,L310,L311)</f>
        <v>735000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-61391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20925</v>
      </c>
      <c r="F320" s="1574"/>
      <c r="G320" s="1574"/>
      <c r="H320" s="1574"/>
      <c r="I320" s="1574"/>
      <c r="J320" s="1574"/>
      <c r="K320" s="1672">
        <f t="shared" ref="K320:K327" si="24">SUM(C320:J320)</f>
        <v>20925</v>
      </c>
      <c r="L320" s="1574">
        <v>20930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1668</v>
      </c>
      <c r="F322" s="1574"/>
      <c r="G322" s="1574"/>
      <c r="H322" s="1574"/>
      <c r="I322" s="1574"/>
      <c r="J322" s="1574"/>
      <c r="K322" s="1672">
        <f t="shared" si="24"/>
        <v>1668</v>
      </c>
      <c r="L322" s="1574">
        <v>1668</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15572</v>
      </c>
      <c r="F328" s="1579"/>
      <c r="G328" s="1579"/>
      <c r="H328" s="1579"/>
      <c r="I328" s="1579"/>
      <c r="J328" s="1579"/>
      <c r="K328" s="1713">
        <f>SUM(C328:J328)</f>
        <v>15572</v>
      </c>
      <c r="L328" s="1579">
        <v>15572</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38165</v>
      </c>
      <c r="F330" s="1674">
        <f t="shared" si="25"/>
        <v>0</v>
      </c>
      <c r="G330" s="1674">
        <f t="shared" si="25"/>
        <v>0</v>
      </c>
      <c r="H330" s="1674">
        <f t="shared" si="25"/>
        <v>0</v>
      </c>
      <c r="I330" s="1674">
        <f t="shared" si="25"/>
        <v>0</v>
      </c>
      <c r="J330" s="1674">
        <f t="shared" si="25"/>
        <v>0</v>
      </c>
      <c r="K330" s="1674">
        <f>SUM(K319:K329)</f>
        <v>38165</v>
      </c>
      <c r="L330" s="1674">
        <f>SUM(L319:L329)</f>
        <v>38170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38165</v>
      </c>
      <c r="F342" s="1674">
        <f>SUM(F330)</f>
        <v>0</v>
      </c>
      <c r="G342" s="1674">
        <f>SUM(G330)</f>
        <v>0</v>
      </c>
      <c r="H342" s="1674">
        <f>SUM(H330,H334,H340)</f>
        <v>0</v>
      </c>
      <c r="I342" s="1674">
        <f>SUM(I330)</f>
        <v>0</v>
      </c>
      <c r="J342" s="1674">
        <f>SUM(J330)</f>
        <v>0</v>
      </c>
      <c r="K342" s="1674">
        <f>SUM(K330,K334,K340)</f>
        <v>38165</v>
      </c>
      <c r="L342" s="1681">
        <f>SUM(L330,L334,L340,L341)</f>
        <v>38170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12638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v>1955</v>
      </c>
      <c r="G349" s="1573"/>
      <c r="H349" s="1573"/>
      <c r="I349" s="1574"/>
      <c r="J349" s="1574"/>
      <c r="K349" s="1672">
        <f>SUM(C349:J349)</f>
        <v>1955</v>
      </c>
      <c r="L349" s="1573">
        <v>28500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1955</v>
      </c>
      <c r="G350" s="1674">
        <f t="shared" si="26"/>
        <v>0</v>
      </c>
      <c r="H350" s="1674">
        <f t="shared" si="26"/>
        <v>0</v>
      </c>
      <c r="I350" s="1674">
        <f t="shared" si="26"/>
        <v>0</v>
      </c>
      <c r="J350" s="1674">
        <f t="shared" si="26"/>
        <v>0</v>
      </c>
      <c r="K350" s="1674">
        <f t="shared" si="26"/>
        <v>1955</v>
      </c>
      <c r="L350" s="1674">
        <f t="shared" si="26"/>
        <v>28500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1955</v>
      </c>
      <c r="G352" s="1674">
        <f t="shared" si="27"/>
        <v>0</v>
      </c>
      <c r="H352" s="1674">
        <f t="shared" si="27"/>
        <v>0</v>
      </c>
      <c r="I352" s="1674">
        <f t="shared" si="27"/>
        <v>0</v>
      </c>
      <c r="J352" s="1674">
        <f t="shared" si="27"/>
        <v>0</v>
      </c>
      <c r="K352" s="1674">
        <f t="shared" si="27"/>
        <v>1955</v>
      </c>
      <c r="L352" s="1674">
        <f t="shared" si="27"/>
        <v>28500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1955</v>
      </c>
      <c r="G367" s="1674">
        <f t="shared" si="28"/>
        <v>0</v>
      </c>
      <c r="H367" s="1674">
        <f t="shared" si="28"/>
        <v>0</v>
      </c>
      <c r="I367" s="1674">
        <f t="shared" si="28"/>
        <v>0</v>
      </c>
      <c r="J367" s="1674">
        <f t="shared" si="28"/>
        <v>0</v>
      </c>
      <c r="K367" s="1674">
        <f t="shared" si="28"/>
        <v>1955</v>
      </c>
      <c r="L367" s="1674">
        <f t="shared" si="28"/>
        <v>28500</v>
      </c>
    </row>
    <row r="368" spans="1:14" ht="13.5" thickTop="1" x14ac:dyDescent="0.2">
      <c r="A368" s="2287" t="s">
        <v>989</v>
      </c>
      <c r="B368" s="2288"/>
      <c r="C368" s="1694"/>
      <c r="D368" s="1694"/>
      <c r="E368" s="1677"/>
      <c r="F368" s="1677"/>
      <c r="G368" s="1677"/>
      <c r="H368" s="1677"/>
      <c r="I368" s="1677"/>
      <c r="J368" s="1676"/>
      <c r="K368" s="1672">
        <f>'Revenues 9-14'!K268-'Expenditures 15-22'!K367</f>
        <v>-969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20" fitToHeight="0" orientation="landscape" useFirstPageNumber="1" r:id="rId1"/>
  <headerFooter differentFirst="1" alignWithMargins="0">
    <oddHeader>&amp;L&amp;8Page &amp;P&amp;C&amp;"Arial,Bold"&amp;9STATEMENT OF EXPENDITURES DISBURSED/EXPENDITURES, BUDGET TO ACTUAL
FOR THE YEAR ENDING JUNE 30, 2020&amp;R&amp;8Page &amp;P</oddHeader>
    <oddFooter>&amp;LSee notes to financial statements.&amp;C&amp;P</oddFoot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schemas.microsoft.com/sharepoint/v3"/>
    <ds:schemaRef ds:uri="http://schemas.microsoft.com/office/infopath/2007/PartnerControls"/>
    <ds:schemaRef ds:uri="6ce3111e-7420-4802-b50a-75d4e9a0b980"/>
    <ds:schemaRef ds:uri="http://purl.org/dc/dcmitype/"/>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2020-10-08T17:48:31Z</cp:lastPrinted>
  <dcterms:created xsi:type="dcterms:W3CDTF">2003-10-29T19:06:34Z</dcterms:created>
  <dcterms:modified xsi:type="dcterms:W3CDTF">2020-11-12T01:59:54Z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