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26EBBD7-92E1-43E3-BE02-458AE05E77F4}" xr6:coauthVersionLast="36" xr6:coauthVersionMax="36" xr10:uidLastSave="{00000000-0000-0000-0000-000000000000}"/>
  <bookViews>
    <workbookView xWindow="3885" yWindow="19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F&amp;QC Sec-3 (2)" sheetId="188" r:id="rId35"/>
    <sheet name="SF&amp;QC Sec-3 (3)" sheetId="190" r:id="rId36"/>
    <sheet name="SF&amp;QC Sec-3 (4)" sheetId="189" r:id="rId37"/>
    <sheet name="SSPAF" sheetId="177" r:id="rId38"/>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34">'SF&amp;QC Sec-3 (2)'!$A$1:$K$48</definedName>
    <definedName name="_xlnm.Print_Area" localSheetId="35">'SF&amp;QC Sec-3 (3)'!$A$1:$K$48</definedName>
    <definedName name="_xlnm.Print_Area" localSheetId="36">'SF&amp;QC Sec-3 (4)'!$A$1:$K$48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 i="190" l="1"/>
  <c r="C8" i="189" l="1"/>
  <c r="C8" i="188"/>
  <c r="L16" i="186" l="1"/>
  <c r="L24" i="186" l="1"/>
  <c r="L21" i="186"/>
  <c r="L20"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90" l="1"/>
  <c r="B4" i="189"/>
  <c r="B4" i="188"/>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25" i="179"/>
  <c r="L22" i="179"/>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90"/>
  <c r="B2" i="189"/>
  <c r="B2" i="188"/>
  <c r="B2" i="186"/>
  <c r="B2" i="185"/>
  <c r="B1" i="190"/>
  <c r="B1" i="189"/>
  <c r="B1" i="188"/>
  <c r="B1" i="186"/>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F50" i="34" l="1"/>
  <c r="H342" i="29"/>
  <c r="H15" i="184"/>
  <c r="H33" i="118"/>
  <c r="G30" i="108"/>
  <c r="B7135" i="106"/>
  <c r="D7135" i="106" s="1"/>
  <c r="E58" i="184"/>
  <c r="N58" i="184" s="1"/>
  <c r="F34" i="34"/>
  <c r="B7826" i="106" s="1"/>
  <c r="D7826" i="106" s="1"/>
  <c r="H76" i="4"/>
  <c r="B3298" i="106" s="1"/>
  <c r="D3298" i="106" s="1"/>
  <c r="D31" i="108"/>
  <c r="E16" i="184"/>
  <c r="H16" i="184" s="1"/>
  <c r="F37" i="34"/>
  <c r="B7829" i="106" s="1"/>
  <c r="D7829" i="106" s="1"/>
  <c r="H12" i="184"/>
  <c r="B7180" i="106"/>
  <c r="D7180" i="106" s="1"/>
  <c r="E63" i="184"/>
  <c r="N63" i="184" s="1"/>
  <c r="F77" i="4"/>
  <c r="B3255" i="106" s="1"/>
  <c r="D3255" i="106" s="1"/>
  <c r="G33" i="108"/>
  <c r="E17" i="184"/>
  <c r="H17" i="184" s="1"/>
  <c r="B7171" i="106"/>
  <c r="D7171" i="106" s="1"/>
  <c r="E62" i="184"/>
  <c r="N62" i="184" s="1"/>
  <c r="B7198" i="106"/>
  <c r="D7198" i="106" s="1"/>
  <c r="E65" i="184"/>
  <c r="N65" i="184" s="1"/>
  <c r="B7189" i="106"/>
  <c r="D7189" i="106" s="1"/>
  <c r="E64" i="184"/>
  <c r="N64" i="184" s="1"/>
  <c r="B7162" i="106"/>
  <c r="D7162" i="106" s="1"/>
  <c r="E61" i="184"/>
  <c r="N61" i="184" s="1"/>
  <c r="B7126" i="106"/>
  <c r="D7126" i="106" s="1"/>
  <c r="E57" i="184"/>
  <c r="B7153" i="106"/>
  <c r="D7153" i="106" s="1"/>
  <c r="E60" i="184"/>
  <c r="N60" i="184" s="1"/>
  <c r="B7696" i="106"/>
  <c r="D7696" i="106" s="1"/>
  <c r="E66" i="184"/>
  <c r="N66" i="184" s="1"/>
  <c r="C342" i="29"/>
  <c r="B7216" i="106" s="1"/>
  <c r="D7216" i="106"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7" i="4" l="1"/>
  <c r="B4444" i="106" s="1"/>
  <c r="D4444" i="106" s="1"/>
  <c r="B7235" i="106"/>
  <c r="D7235" i="106" s="1"/>
  <c r="H19" i="184"/>
  <c r="L20" i="184" s="1"/>
  <c r="K342" i="29"/>
  <c r="F13" i="34" s="1"/>
  <c r="F41" i="108"/>
  <c r="G43" i="108" s="1"/>
  <c r="H77" i="4"/>
  <c r="B3299" i="106" s="1"/>
  <c r="D3299" i="106" s="1"/>
  <c r="B6216" i="106"/>
  <c r="D6216" i="106" s="1"/>
  <c r="D44" i="36"/>
  <c r="L16" i="11"/>
  <c r="B2061" i="106" s="1"/>
  <c r="D2061" i="106" s="1"/>
  <c r="B7220" i="106"/>
  <c r="D7220" i="106" s="1"/>
  <c r="F75" i="34"/>
  <c r="B7886" i="106" s="1"/>
  <c r="D7886" i="106" s="1"/>
  <c r="H151" i="29"/>
  <c r="B1273" i="106" s="1"/>
  <c r="D1273" i="106" s="1"/>
  <c r="L114" i="29"/>
  <c r="N57" i="184"/>
  <c r="N68" i="184" s="1"/>
  <c r="E68" i="184"/>
  <c r="K365" i="29"/>
  <c r="B7243" i="106" s="1"/>
  <c r="D7243" i="106" s="1"/>
  <c r="E367" i="29"/>
  <c r="B3636" i="106" s="1"/>
  <c r="D3636" i="106" s="1"/>
  <c r="B3635" i="106"/>
  <c r="D3635" i="106" s="1"/>
  <c r="B5527" i="106"/>
  <c r="D5527"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B3678" i="106" s="1"/>
  <c r="D3678"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7" i="106"/>
  <c r="D6227" i="106" s="1"/>
  <c r="J20" i="4"/>
  <c r="F77" i="34"/>
  <c r="B7834" i="106" s="1"/>
  <c r="D7834" i="106" s="1"/>
  <c r="J10" i="4"/>
  <c r="B6225" i="106" s="1"/>
  <c r="D6225" i="106" s="1"/>
  <c r="K17" i="4"/>
  <c r="B3575" i="106" s="1"/>
  <c r="D357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K20" i="4"/>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<sst xmlns="http://schemas.openxmlformats.org/spreadsheetml/2006/main" count="5528" uniqueCount="2207">
  <si>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</si>
  <si>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</si>
  <si>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</si>
  <si>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</si>
  <si>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</si>
  <si>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</si>
  <si>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</si>
  <si>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</si>
  <si>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</si>
  <si>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</si>
  <si>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</si>
  <si>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</si>
  <si>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</si>
  <si>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</si>
  <si>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</si>
  <si>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</si>
  <si>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</si>
  <si>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</si>
  <si>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</si>
  <si>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</si>
  <si>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</si>
  <si>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</si>
  <si>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</si>
  <si>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</si>
  <si>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</si>
  <si>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</si>
  <si>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</si>
  <si>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</si>
  <si>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</si>
  <si>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</si>
  <si>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</si>
  <si>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</si>
  <si>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</si>
  <si>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</si>
  <si>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</si>
  <si>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</si>
  <si>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</si>
  <si>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</si>
  <si>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</si>
  <si>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</si>
  <si>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</si>
  <si>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</si>
  <si>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</si>
  <si>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</si>
  <si>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</si>
  <si>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</si>
  <si>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</si>
  <si>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</si>
  <si>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</si>
  <si>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</si>
  <si>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</si>
  <si>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</si>
  <si>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</si>
  <si>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</si>
  <si>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</si>
  <si>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</si>
  <si>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</si>
  <si>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</si>
  <si>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</si>
  <si>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</si>
  <si>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</si>
  <si>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</si>
  <si>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</si>
  <si>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</si>
  <si>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</si>
  <si>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</si>
  <si>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</si>
  <si>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</si>
  <si>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</si>
  <si>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</si>
  <si>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</si>
  <si>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</si>
  <si>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</si>
  <si>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</si>
  <si>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</si>
  <si>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</si>
  <si>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</si>
  <si>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</si>
  <si>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</si>
  <si>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</si>
  <si>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</si>
  <si>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</si>
  <si>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</si>
  <si>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</si>
  <si>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</si>
  <si>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</si>
  <si>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</si>
  <si>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</si>
  <si>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</si>
  <si>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</si>
  <si>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</si>
  <si>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</si>
  <si>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</si>
  <si>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</si>
  <si>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</si>
  <si>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</si>
  <si>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</si>
  <si>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</si>
  <si>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</si>
  <si>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</si>
  <si>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</si>
  <si>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</si>
  <si>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</si>
  <si>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</si>
  <si>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</si>
  <si>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</si>
  <si>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</si>
  <si>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</si>
  <si>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</si>
  <si>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</si>
  <si>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</si>
  <si>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</si>
  <si>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</si>
  <si>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</si>
  <si>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</si>
  <si>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</si>
  <si>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</si>
  <si>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</si>
  <si>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</si>
  <si>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</si>
  <si>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</si>
  <si>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</si>
  <si>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</si>
  <si>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</si>
  <si>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</si>
  <si>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</si>
  <si>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</si>
  <si>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</si>
  <si>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</si>
  <si>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</si>
  <si>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</si>
  <si>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</si>
  <si>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</si>
  <si>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</si>
  <si>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</si>
  <si>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</si>
  <si>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</si>
  <si>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</si>
  <si>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</si>
  <si>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</si>
  <si>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</si>
  <si>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</si>
  <si>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</si>
  <si>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</si>
  <si>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</si>
  <si>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</si>
  <si>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</si>
  <si>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</si>
  <si>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</si>
  <si>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</si>
  <si>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</si>
  <si>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</si>
  <si>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</si>
  <si>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</si>
  <si>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</si>
  <si>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</si>
  <si>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</si>
  <si>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</si>
  <si>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</si>
  <si>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</si>
  <si>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</si>
  <si>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</si>
  <si>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</si>
  <si>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</si>
  <si>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</si>
  <si>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</si>
  <si>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</si>
  <si>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</si>
  <si>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</si>
  <si>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</si>
  <si>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</si>
  <si>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</si>
  <si>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</si>
  <si>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</si>
  <si>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</si>
  <si>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</si>
  <si>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</si>
  <si>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</si>
  <si>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</si>
  <si>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</si>
  <si>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</si>
  <si>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</si>
  <si>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</si>
  <si>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</si>
  <si>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</si>
  <si>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</si>
  <si>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</si>
  <si>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</si>
  <si>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</si>
  <si>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</si>
  <si>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</si>
  <si>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</si>
  <si>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</si>
  <si>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</si>
  <si>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</si>
  <si>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</si>
  <si>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</si>
  <si>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</si>
  <si>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</si>
  <si>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</si>
  <si>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</si>
  <si>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</si>
  <si>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</si>
  <si>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</si>
  <si>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</si>
  <si>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</si>
  <si>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</si>
  <si>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</si>
  <si>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</si>
  <si>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</si>
  <si>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</si>
  <si>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</si>
  <si>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</si>
  <si>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</si>
  <si>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</si>
  <si>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</si>
  <si>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</si>
  <si>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</si>
  <si>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</si>
  <si>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</si>
  <si>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</si>
  <si>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</si>
  <si>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</si>
  <si>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</si>
  <si>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</si>
  <si>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</si>
  <si>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</si>
  <si>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</si>
  <si>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</si>
  <si>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</si>
  <si>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</si>
  <si>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</si>
  <si>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</si>
  <si>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</si>
  <si>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</si>
  <si>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</si>
  <si>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</si>
  <si>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</si>
  <si>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</si>
  <si>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</si>
  <si>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</si>
  <si>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</si>
  <si>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</si>
  <si>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</si>
  <si>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</si>
  <si>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</si>
  <si>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</si>
  <si>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</si>
  <si>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</si>
  <si>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</si>
  <si>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</si>
  <si>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</si>
  <si>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</si>
  <si>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</si>
  <si>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</si>
  <si>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</si>
  <si>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</si>
  <si>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</si>
  <si>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</si>
  <si>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</si>
  <si>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</si>
  <si>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</si>
  <si>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</si>
  <si>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</si>
  <si>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</si>
  <si>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</si>
  <si>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</si>
  <si>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</si>
  <si>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</si>
  <si>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</si>
  <si>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</si>
  <si>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</si>
  <si>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</si>
  <si>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</si>
  <si>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</si>
  <si>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</si>
  <si>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</si>
  <si>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</si>
  <si>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</si>
  <si>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</si>
  <si>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</si>
  <si>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</si>
  <si>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</si>
  <si>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</si>
  <si>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</si>
  <si>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</si>
  <si>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</si>
  <si>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</si>
  <si>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</si>
  <si>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</si>
  <si>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</si>
  <si>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</si>
  <si>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</si>
  <si>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</si>
  <si>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</si>
  <si>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</si>
  <si>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</si>
  <si>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</si>
  <si>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</si>
  <si>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</si>
  <si>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</si>
  <si>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</si>
  <si>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</si>
  <si>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</si>
  <si>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</si>
  <si>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</si>
  <si>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</si>
  <si>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</si>
  <si>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</si>
  <si>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</si>
  <si>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</si>
  <si>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</si>
  <si>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</si>
  <si>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</si>
  <si>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</si>
  <si>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</si>
  <si>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</si>
  <si>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</si>
  <si>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</si>
  <si>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</si>
  <si>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</si>
  <si>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</si>
  <si>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</si>
  <si>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</si>
  <si>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</si>
  <si>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</si>
  <si>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</si>
  <si>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</si>
  <si>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</si>
  <si>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</si>
  <si>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</si>
  <si>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</si>
  <si>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</si>
  <si>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</si>
  <si>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</si>
  <si>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</si>
  <si>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</si>
  <si>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</si>
  <si>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</si>
  <si>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</si>
  <si>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</si>
  <si>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</si>
  <si>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</si>
  <si>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</si>
  <si>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</si>
  <si>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</si>
  <si>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</si>
  <si>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</si>
  <si>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</si>
  <si>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</si>
  <si>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</si>
  <si>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</si>
  <si>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</si>
  <si>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</si>
  <si>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</si>
  <si>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</si>
  <si>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</si>
  <si>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</si>
  <si>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</si>
  <si>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</si>
  <si>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</si>
  <si>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</si>
  <si>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</si>
  <si>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</si>
  <si>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</si>
  <si>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</si>
  <si>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</si>
  <si>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</si>
  <si>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</si>
  <si>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</si>
  <si>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</si>
  <si>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</si>
  <si>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</si>
  <si>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</si>
  <si>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</si>
  <si>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</si>
  <si>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</si>
  <si>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</si>
  <si>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</si>
  <si>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</si>
  <si>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</si>
  <si>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</si>
  <si>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</si>
  <si>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</si>
  <si>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</si>
  <si>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</si>
  <si>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</si>
  <si>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</si>
  <si>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</si>
  <si>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</si>
  <si>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</si>
  <si>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</si>
  <si>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</si>
  <si>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</si>
  <si>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</si>
  <si>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</si>
  <si>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</si>
  <si>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</si>
  <si>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</si>
  <si>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</si>
  <si>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</si>
  <si>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</si>
  <si>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</si>
  <si>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</si>
  <si>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</si>
  <si>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</si>
  <si>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</si>
  <si>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</si>
  <si>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</si>
  <si>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</si>
  <si>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</si>
  <si>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</si>
  <si>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</si>
  <si>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</si>
  <si>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</si>
  <si>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</si>
  <si>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</si>
  <si>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</si>
  <si>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</si>
  <si>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</si>
  <si>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</si>
  <si>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</si>
  <si>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</si>
  <si>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</si>
  <si>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</si>
  <si>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</si>
  <si>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</si>
  <si>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</si>
  <si>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</si>
  <si>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</si>
  <si>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</si>
  <si>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</si>
  <si>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</si>
  <si>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</si>
  <si>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</si>
  <si>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</si>
  <si>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</si>
  <si>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</si>
  <si>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</si>
  <si>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</si>
  <si>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</si>
  <si>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</si>
  <si>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</si>
  <si>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</si>
  <si>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</si>
  <si>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</si>
  <si>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</si>
  <si>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</si>
  <si>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</si>
  <si>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</si>
  <si>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</si>
  <si>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</si>
  <si>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</si>
  <si>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</si>
  <si>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</si>
  <si>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</si>
  <si>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</si>
  <si>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</si>
  <si>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</si>
  <si>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</si>
  <si>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</si>
  <si>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</si>
  <si>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</si>
  <si>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</si>
  <si>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</si>
  <si>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</si>
  <si>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</si>
  <si>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</si>
  <si>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</si>
  <si>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</si>
  <si>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</si>
  <si>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</si>
  <si>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</si>
  <si>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</si>
  <si>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</si>
  <si>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</si>
  <si>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</si>
  <si>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</si>
  <si>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</si>
  <si>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</si>
  <si>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</si>
  <si>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</si>
  <si>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</si>
  <si>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</si>
  <si>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</si>
  <si>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</si>
  <si>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</si>
  <si>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</si>
  <si>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</si>
  <si>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</si>
  <si>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</si>
  <si>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</si>
  <si>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</si>
  <si>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</si>
  <si>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</si>
  <si>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</si>
  <si>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</si>
  <si>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</si>
  <si>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</si>
  <si>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</si>
  <si>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</si>
  <si>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</si>
  <si>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</si>
  <si>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</si>
  <si>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</si>
  <si>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</si>
  <si>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</si>
  <si>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</si>
  <si>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</si>
  <si>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</si>
  <si>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</si>
  <si>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</si>
  <si>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</si>
  <si>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</si>
  <si>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</si>
  <si>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</si>
  <si>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</si>
  <si>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</si>
  <si>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</si>
  <si>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</si>
  <si>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</si>
  <si>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</si>
  <si>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</si>
  <si>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</si>
  <si>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</si>
  <si>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</si>
  <si>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</si>
  <si>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</si>
  <si>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</si>
  <si>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</si>
  <si>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</si>
  <si>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</si>
  <si>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</si>
  <si>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</si>
  <si>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</si>
  <si>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</si>
  <si>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</si>
  <si>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</si>
  <si>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</si>
  <si>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</si>
  <si>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</si>
  <si>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</si>
  <si>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</si>
  <si>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</si>
  <si>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</si>
  <si>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</si>
  <si>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</si>
  <si>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</si>
  <si>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</si>
  <si>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</si>
  <si>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</si>
  <si>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</si>
  <si>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</si>
  <si>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</si>
  <si>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</si>
  <si>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</si>
  <si>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</si>
  <si>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</si>
  <si>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</si>
  <si>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</si>
  <si>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</si>
  <si>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</si>
  <si>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</si>
  <si>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</si>
  <si>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</si>
  <si>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</si>
  <si>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</si>
  <si>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</si>
  <si>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</si>
  <si>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</si>
  <si>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</si>
  <si>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</si>
  <si>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</si>
  <si>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</si>
  <si>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</si>
  <si>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</si>
  <si>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</si>
  <si>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</si>
  <si>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</si>
  <si>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</si>
  <si>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</si>
  <si>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</si>
  <si>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</si>
  <si>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</si>
  <si>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</si>
  <si>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</si>
  <si>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</si>
  <si>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</si>
  <si>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</si>
  <si>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</si>
  <si>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</si>
  <si>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</si>
  <si>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</si>
  <si>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</si>
  <si>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</si>
  <si>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</si>
  <si>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</si>
  <si>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</si>
  <si>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</si>
  <si>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</si>
  <si>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</si>
  <si>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</si>
  <si>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</si>
  <si>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</si>
  <si>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</si>
  <si>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</si>
  <si>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</si>
  <si>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</si>
  <si>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</si>
  <si>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</si>
  <si>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</si>
  <si>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</si>
  <si>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</si>
  <si>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</si>
  <si>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</si>
  <si>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</si>
  <si>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</si>
  <si>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</si>
  <si>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</si>
  <si>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</si>
  <si>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</si>
  <si>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</si>
  <si>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</si>
  <si>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</si>
  <si>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</si>
  <si>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</si>
  <si>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</si>
  <si>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</si>
  <si>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</si>
  <si>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</si>
  <si>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</si>
  <si>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</si>
  <si>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</si>
  <si>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</si>
  <si>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</si>
  <si>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</si>
  <si>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</si>
  <si>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</si>
  <si>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</si>
  <si>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</si>
  <si>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</si>
  <si>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</si>
  <si>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</si>
  <si>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</si>
  <si>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</si>
  <si>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</si>
  <si>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</si>
  <si>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</si>
  <si>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</si>
  <si>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</si>
  <si>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</si>
  <si>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</si>
  <si>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</si>
  <si>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</si>
  <si>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</si>
  <si>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</si>
  <si>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</si>
  <si>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</si>
  <si>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</si>
  <si>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</si>
  <si>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</si>
  <si>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</si>
  <si>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</si>
  <si>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</si>
  <si>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</si>
  <si>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</si>
  <si>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</si>
  <si>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</si>
  <si>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</si>
  <si>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</si>
  <si>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</si>
  <si>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</si>
  <si>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</si>
  <si>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</si>
  <si>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</si>
  <si>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</si>
  <si>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</si>
  <si>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</si>
  <si>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</si>
  <si>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</si>
  <si>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</si>
  <si>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</si>
  <si>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</si>
  <si>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</si>
  <si>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</si>
  <si>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</si>
  <si>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</si>
  <si>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</si>
  <si>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</si>
  <si>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</si>
  <si>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</si>
  <si>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</si>
  <si>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</si>
  <si>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</si>
  <si>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</si>
  <si>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</si>
  <si>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</si>
  <si>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</si>
  <si>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</si>
  <si>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</si>
  <si>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</si>
  <si>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</si>
  <si>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</si>
  <si>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</si>
  <si>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</si>
  <si>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</si>
  <si>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</si>
  <si>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</si>
  <si>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</si>
  <si>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</si>
  <si>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</si>
  <si>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</si>
  <si>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</si>
  <si>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</si>
  <si>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</si>
  <si>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</si>
  <si>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</si>
  <si>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</si>
  <si>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</si>
  <si>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</si>
  <si>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</si>
  <si>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</si>
  <si>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</si>
  <si>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</si>
  <si>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</si>
  <si>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</si>
  <si>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</si>
  <si>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</si>
  <si>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</si>
  <si>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</si>
  <si>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</si>
  <si>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</si>
  <si>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</si>
  <si>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</si>
  <si>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</si>
  <si>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</si>
  <si>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</si>
  <si>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</si>
  <si>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</si>
  <si>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</si>
  <si>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</si>
  <si>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</si>
  <si>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</si>
  <si>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</si>
  <si>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</si>
  <si>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</si>
  <si>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</si>
  <si>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</si>
  <si>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</si>
  <si>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</si>
  <si>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</si>
  <si>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</si>
  <si>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</si>
  <si>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</si>
  <si>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</si>
  <si>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</si>
  <si>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</si>
  <si>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</si>
  <si>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</si>
  <si>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</si>
  <si>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</si>
  <si>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</si>
  <si>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</si>
  <si>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</si>
  <si>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</si>
  <si>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</si>
  <si>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</si>
  <si>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</si>
  <si>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</si>
  <si>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</si>
  <si>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</si>
  <si>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</si>
  <si>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</si>
  <si>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</si>
  <si>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</si>
  <si>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</si>
  <si>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</si>
  <si>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</si>
  <si>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</si>
  <si>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</si>
  <si>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</si>
  <si>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</si>
  <si>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</si>
  <si>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</si>
  <si>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</si>
  <si>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</si>
  <si>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</si>
  <si>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</si>
  <si>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</si>
  <si>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</si>
  <si>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</si>
  <si>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</si>
  <si>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</si>
  <si>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</si>
  <si>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</si>
  <si>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</si>
  <si>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</si>
  <si>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</si>
  <si>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</si>
  <si>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</si>
  <si>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</si>
  <si>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</si>
  <si>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</si>
  <si>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</si>
  <si>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</si>
  <si>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</si>
  <si>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</si>
  <si>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</si>
  <si>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</si>
  <si>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</si>
  <si>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</si>
  <si>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</si>
  <si>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</si>
  <si>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</si>
  <si>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</si>
  <si>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</si>
  <si>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</si>
  <si>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</si>
  <si>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</si>
  <si>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</si>
  <si>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</si>
  <si>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</si>
  <si>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</si>
  <si>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</si>
  <si>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</si>
  <si>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</si>
  <si>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</si>
  <si>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</si>
  <si>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</si>
  <si>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</si>
  <si>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</si>
  <si>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</si>
  <si>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</si>
  <si>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</si>
  <si>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</si>
  <si>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</si>
  <si>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</si>
  <si>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</si>
  <si>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</si>
  <si>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</si>
  <si>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</si>
  <si>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</si>
  <si>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</si>
  <si>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</si>
  <si>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</si>
  <si>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</si>
  <si>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</si>
  <si>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</si>
  <si>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</si>
  <si>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</si>
  <si>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</si>
  <si>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</si>
  <si>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</si>
  <si>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</si>
  <si>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</si>
  <si>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</si>
  <si>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</si>
  <si>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</si>
  <si>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</si>
  <si>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</si>
  <si>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</si>
  <si>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</si>
  <si>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</si>
  <si>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</si>
  <si>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</si>
  <si>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</si>
  <si>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</si>
  <si>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</si>
  <si>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</si>
  <si>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</si>
  <si>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</si>
  <si>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</si>
  <si>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</si>
  <si>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</si>
  <si>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</si>
  <si>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</si>
  <si>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</si>
  <si>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</si>
  <si>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</si>
  <si>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</si>
  <si>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</si>
  <si>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</si>
  <si>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</si>
  <si>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</si>
  <si>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</si>
  <si>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</si>
  <si>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</si>
  <si>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</si>
  <si>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</si>
  <si>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</si>
  <si>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</si>
  <si>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</si>
  <si>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</si>
  <si>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</si>
  <si>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</si>
  <si>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</si>
  <si>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</si>
  <si>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</si>
  <si>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</si>
  <si>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</si>
  <si>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</si>
  <si>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</si>
  <si>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</si>
  <si>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</si>
  <si>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</si>
  <si>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</si>
  <si>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</si>
  <si>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</si>
  <si>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</si>
  <si>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</si>
  <si>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</si>
  <si>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</si>
  <si>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</si>
  <si>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</si>
  <si>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</si>
  <si>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</si>
  <si>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</si>
  <si>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</si>
  <si>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</si>
  <si>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</si>
  <si>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</si>
  <si>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</si>
  <si>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</si>
  <si>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</si>
  <si>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</si>
  <si>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</si>
  <si>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</si>
  <si>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</si>
  <si>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</si>
  <si>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</si>
  <si>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</si>
  <si>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</si>
  <si>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</si>
  <si>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</si>
  <si>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</si>
  <si>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</si>
  <si>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</si>
  <si>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</si>
  <si>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</si>
  <si>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</si>
  <si>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</si>
  <si>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</si>
  <si>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</si>
  <si>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</si>
  <si>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</si>
  <si>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</si>
  <si>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</si>
  <si>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</si>
  <si>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</si>
  <si>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</si>
  <si>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</si>
  <si>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</si>
  <si>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</si>
  <si>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</si>
  <si>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</si>
  <si>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</si>
  <si>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</si>
  <si>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</si>
  <si>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</si>
  <si>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</si>
  <si>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</si>
  <si>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</si>
  <si>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</si>
  <si>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</si>
  <si>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</si>
  <si>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</si>
  <si>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</si>
  <si>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</si>
  <si>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</si>
  <si>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</si>
  <si>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</si>
  <si>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</si>
  <si>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</si>
  <si>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</si>
  <si>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</si>
  <si>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</si>
  <si>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</si>
  <si>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</si>
  <si>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</si>
  <si>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</si>
  <si>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</si>
  <si>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</si>
  <si>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</si>
  <si>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</si>
  <si>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</si>
  <si>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</si>
  <si>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</si>
  <si>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</si>
  <si>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</si>
  <si>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</si>
  <si>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</si>
  <si>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</si>
  <si>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</si>
  <si>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</si>
  <si>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</si>
  <si>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</si>
  <si>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</si>
  <si>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</si>
  <si>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</si>
  <si>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</si>
  <si>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</si>
  <si>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</si>
  <si>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</si>
  <si>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</si>
  <si>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</si>
  <si>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</si>
  <si>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</si>
  <si>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</si>
  <si>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</si>
  <si>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</si>
  <si>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</si>
  <si>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</si>
  <si>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</si>
  <si>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</si>
  <si>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</si>
  <si>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</si>
  <si>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</si>
  <si>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</si>
  <si>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</si>
  <si>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</si>
  <si>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</si>
  <si>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</si>
  <si>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</si>
  <si>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</si>
  <si>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</si>
  <si>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</si>
  <si>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</si>
  <si>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</si>
  <si>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</si>
  <si>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</si>
  <si>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</si>
  <si>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</si>
  <si>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</si>
  <si>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</si>
  <si>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</si>
  <si>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</si>
  <si>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</si>
  <si>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</si>
  <si>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</si>
  <si>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</si>
  <si>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</si>
  <si>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</si>
  <si>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</si>
  <si>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</si>
  <si>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</si>
  <si>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</si>
  <si>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</si>
  <si>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</si>
  <si>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</si>
  <si>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</si>
  <si>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</si>
  <si>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</si>
  <si>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</si>
  <si>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</si>
  <si>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</si>
  <si>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</si>
  <si>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</si>
  <si>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</si>
  <si>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</si>
  <si>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</si>
  <si>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</si>
  <si>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</si>
  <si>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</si>
  <si>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</si>
  <si>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</si>
  <si>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</si>
  <si>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</si>
  <si>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</si>
  <si>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</si>
  <si>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</si>
  <si>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</si>
  <si>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</si>
  <si>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</si>
  <si>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</si>
  <si>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</si>
  <si>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</si>
  <si>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</si>
  <si>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</si>
  <si>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</si>
  <si>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</si>
  <si>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</si>
  <si>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</si>
  <si>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</si>
  <si>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</si>
  <si>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</si>
  <si>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</si>
  <si>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</si>
  <si>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</si>
  <si>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</si>
  <si>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</si>
  <si>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</si>
  <si>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</si>
  <si>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</si>
  <si>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</si>
  <si>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</si>
  <si>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</si>
  <si>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</si>
  <si>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</si>
  <si>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</si>
  <si>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</si>
  <si>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</si>
  <si>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</si>
  <si>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</si>
  <si>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</si>
  <si>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</si>
  <si>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</si>
  <si>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</si>
  <si>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</si>
  <si>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</si>
  <si>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</si>
  <si>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</si>
  <si>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</si>
  <si>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</si>
  <si>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</si>
  <si>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</si>
  <si>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</si>
  <si>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</si>
  <si>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</si>
  <si>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</si>
  <si>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</si>
  <si>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</si>
  <si>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</si>
  <si>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</si>
  <si>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</si>
  <si>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</si>
  <si>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</si>
  <si>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</si>
  <si>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</si>
  <si>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</si>
  <si>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</si>
  <si>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</si>
  <si>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</si>
  <si>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</si>
  <si>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</si>
  <si>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</si>
  <si>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</si>
  <si>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</si>
  <si>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</si>
  <si>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</si>
  <si>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</si>
  <si>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</si>
  <si>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</si>
  <si>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</si>
  <si>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</si>
  <si>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</si>
  <si>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</si>
  <si>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</si>
  <si>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</si>
  <si>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</si>
  <si>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</si>
  <si>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</si>
  <si>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</si>
  <si>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</si>
  <si>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</si>
  <si>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</si>
  <si>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</si>
  <si>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</si>
  <si>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</si>
  <si>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</si>
  <si>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</si>
  <si>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</si>
  <si>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</si>
  <si>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</si>
  <si>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</si>
  <si>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</si>
  <si>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</si>
  <si>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</si>
  <si>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</si>
  <si>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</si>
  <si>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</si>
  <si>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</si>
  <si>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</si>
  <si>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</si>
  <si>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</si>
  <si>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</si>
  <si>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</si>
  <si>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</si>
  <si>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</si>
  <si>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</si>
  <si>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</si>
  <si>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</si>
  <si>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</si>
  <si>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</si>
  <si>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</si>
  <si>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</si>
  <si>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</si>
  <si>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</si>
  <si>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</si>
  <si>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</si>
  <si>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</si>
  <si>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</si>
  <si>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</si>
  <si>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</si>
  <si>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</si>
  <si>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</si>
  <si>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</si>
  <si>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</si>
  <si>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</si>
  <si>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</si>
  <si>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</si>
  <si>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</si>
  <si>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</si>
  <si>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</si>
  <si>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</si>
  <si>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</si>
  <si>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</si>
  <si>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</si>
  <si>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</si>
  <si>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</si>
  <si>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</si>
  <si>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</si>
  <si>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</si>
  <si>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</si>
  <si>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</si>
  <si>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</si>
  <si>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</si>
  <si>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</si>
  <si>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</si>
  <si>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</si>
  <si>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</si>
  <si>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</si>
  <si>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</si>
  <si>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</si>
  <si>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</si>
  <si>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</si>
  <si>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</si>
  <si>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</si>
  <si>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</si>
  <si>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</si>
  <si>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</si>
  <si>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</si>
  <si>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</si>
  <si>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</si>
  <si>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</si>
  <si>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</si>
  <si>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</si>
  <si>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</si>
  <si>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</si>
  <si>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</si>
  <si>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</si>
  <si>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</si>
  <si>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</si>
  <si>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</si>
  <si>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</si>
  <si>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</si>
  <si>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</si>
  <si>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</si>
  <si>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</si>
  <si>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</si>
  <si>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</si>
  <si>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</si>
  <si>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</si>
  <si>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</si>
  <si>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</si>
  <si>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</si>
  <si>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</si>
  <si>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</si>
  <si>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</si>
  <si>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</si>
  <si>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</si>
  <si>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</si>
  <si>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</si>
  <si>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</si>
  <si>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</si>
  <si>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</si>
  <si>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</si>
  <si>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</si>
  <si>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</si>
  <si>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</si>
  <si>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</si>
  <si>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</si>
  <si>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</si>
  <si>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</si>
  <si>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</si>
  <si>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</si>
  <si>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</si>
  <si>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</si>
  <si>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</si>
  <si>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</si>
  <si>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</si>
  <si>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</si>
  <si>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</si>
  <si>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</si>
  <si>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</si>
  <si>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</si>
  <si>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</si>
  <si>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</si>
  <si>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</si>
  <si>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</si>
  <si>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</si>
  <si>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</si>
  <si>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</si>
  <si>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</si>
  <si>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</si>
  <si>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</si>
  <si>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</si>
  <si>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</si>
  <si>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</si>
  <si>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</si>
  <si>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</si>
  <si>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</si>
  <si>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</si>
  <si>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</si>
  <si>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</si>
  <si>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</si>
  <si>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</si>
  <si>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</si>
  <si>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</si>
  <si>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</si>
  <si>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</si>
  <si>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</si>
  <si>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</si>
  <si>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</si>
  <si>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</si>
  <si>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</si>
  <si>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</si>
  <si>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</si>
  <si>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</si>
  <si>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</si>
  <si>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</si>
  <si>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</si>
  <si>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</si>
  <si>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</si>
  <si>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</si>
  <si>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</si>
  <si>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</si>
  <si>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</si>
  <si>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</si>
  <si>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</si>
  <si>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</si>
  <si>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</si>
  <si>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</si>
  <si>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</si>
  <si>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</si>
  <si>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</si>
  <si>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</si>
  <si>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</si>
  <si>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</si>
  <si>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</si>
  <si>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</si>
  <si>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</si>
  <si>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</si>
  <si>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</si>
  <si>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</si>
  <si>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</si>
  <si>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</si>
  <si>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</si>
  <si>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</si>
  <si>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</si>
  <si>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</si>
  <si>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</si>
  <si>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</si>
  <si>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</si>
  <si>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</si>
  <si>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</si>
  <si>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</si>
  <si>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</si>
  <si>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</si>
  <si>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</si>
  <si>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</si>
  <si>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</si>
  <si>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</si>
  <si>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</si>
  <si>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</si>
  <si>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</si>
  <si>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</si>
  <si>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</si>
  <si>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</si>
  <si>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</si>
  <si>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</si>
  <si>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</si>
  <si>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</si>
  <si>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</si>
  <si>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</si>
  <si>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</si>
  <si>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</si>
  <si>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</si>
  <si>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</si>
  <si>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</si>
  <si>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</si>
  <si>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</si>
  <si>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</si>
  <si>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</si>
  <si>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</si>
  <si>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</si>
  <si>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</si>
  <si>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</si>
  <si>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</si>
  <si>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</si>
  <si>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</si>
  <si>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</si>
  <si>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</si>
  <si>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</si>
  <si>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</si>
  <si>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</si>
  <si>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</si>
  <si>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</si>
  <si>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</si>
  <si>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</si>
  <si>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</si>
  <si>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</si>
  <si>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</si>
  <si>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</si>
  <si>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</si>
  <si>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</si>
  <si>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</si>
  <si>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</si>
  <si>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</si>
  <si>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</si>
  <si>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</si>
  <si>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</si>
  <si>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</si>
  <si>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</si>
  <si>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</si>
  <si>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</si>
  <si>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</si>
  <si>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</si>
  <si>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</si>
  <si>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</si>
  <si>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</si>
  <si>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</si>
  <si>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</si>
  <si>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</si>
  <si>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</si>
  <si>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</si>
  <si>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</si>
  <si>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</si>
  <si>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</si>
  <si>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</si>
  <si>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</si>
  <si>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</si>
  <si>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</si>
  <si>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</si>
  <si>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</si>
  <si>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</si>
  <si>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</si>
  <si>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</si>
  <si>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</si>
  <si>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</si>
  <si>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</si>
  <si>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</si>
  <si>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</si>
  <si>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</si>
  <si>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</si>
  <si>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</si>
  <si>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</si>
  <si>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</si>
  <si>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</si>
  <si>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</si>
  <si>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</si>
  <si>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</si>
  <si>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</si>
  <si>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</si>
  <si>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</si>
  <si>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</si>
  <si>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</si>
  <si>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</si>
  <si>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</si>
  <si>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</si>
  <si>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</si>
  <si>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</si>
  <si>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</si>
  <si>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</si>
  <si>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</si>
  <si>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</si>
  <si>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</si>
  <si>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</si>
  <si>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</si>
  <si>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</si>
  <si>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</si>
  <si>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</si>
  <si>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</si>
  <si>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</si>
  <si>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</si>
  <si>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</si>
  <si>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</si>
  <si>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</si>
  <si>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</si>
  <si>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</si>
  <si>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</si>
  <si>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</si>
  <si>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</si>
  <si>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</si>
  <si>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</si>
  <si>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</si>
  <si>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</si>
  <si>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</si>
  <si>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</si>
  <si>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</si>
  <si>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</si>
  <si>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</si>
  <si>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</si>
  <si>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</si>
  <si>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</si>
  <si>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</si>
  <si>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</si>
  <si>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</si>
  <si>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</si>
  <si>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</si>
  <si>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</si>
  <si>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</si>
  <si>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</si>
  <si>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</si>
  <si>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</si>
  <si>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</si>
  <si>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</si>
  <si>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</si>
  <si>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</si>
  <si>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</si>
  <si>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</si>
  <si>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</si>
  <si>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</si>
  <si>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</si>
  <si>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</si>
  <si>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</si>
  <si>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</si>
  <si>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</si>
  <si>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</si>
  <si>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</si>
  <si>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</si>
  <si>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</si>
  <si>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</si>
  <si>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</si>
  <si>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</si>
  <si>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</si>
  <si>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</si>
  <si>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</si>
  <si>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</si>
  <si>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</si>
  <si>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</si>
  <si>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</si>
  <si>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</si>
  <si>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</si>
  <si>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</si>
  <si>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</si>
  <si>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</si>
  <si>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</si>
  <si>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</si>
  <si>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</si>
  <si>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</si>
  <si>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</si>
  <si>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</si>
  <si>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</si>
  <si>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</si>
  <si>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</si>
  <si>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</si>
  <si>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</si>
  <si>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</si>
  <si>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</si>
  <si>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</si>
  <si>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</si>
  <si>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</si>
  <si>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</si>
  <si>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</si>
  <si>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</si>
  <si>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</si>
  <si>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</si>
  <si>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</si>
  <si>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</si>
  <si>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</si>
  <si>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</si>
  <si>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</si>
  <si>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</si>
  <si>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</si>
  <si>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</si>
  <si>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</si>
  <si>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</si>
  <si>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</si>
  <si>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</si>
  <si>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</si>
  <si>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</si>
  <si>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</si>
  <si>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</si>
  <si>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</si>
  <si>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</si>
  <si>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</si>
  <si>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</si>
  <si>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</si>
  <si>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</si>
  <si>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</si>
  <si>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</si>
  <si>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</si>
  <si>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</si>
  <si>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</si>
  <si>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</si>
  <si>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</si>
  <si>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</si>
  <si>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</si>
  <si>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</si>
  <si>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</si>
  <si>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</si>
  <si>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</si>
  <si>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</si>
  <si>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</si>
  <si>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</si>
  <si>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</si>
  <si>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</si>
  <si>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</si>
  <si>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</si>
  <si>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</si>
  <si>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</si>
  <si>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</si>
  <si>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</si>
  <si>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</si>
  <si>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</si>
  <si>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</si>
  <si>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</si>
  <si>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</si>
  <si>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</si>
  <si>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</si>
  <si>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</si>
  <si>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</si>
  <si>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</si>
  <si>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</si>
  <si>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</si>
  <si>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</si>
  <si>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</si>
  <si>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</si>
  <si>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</si>
  <si>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</si>
  <si>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</si>
  <si>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</si>
  <si>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</si>
  <si>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</si>
  <si>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</si>
  <si>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</si>
  <si>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</si>
  <si>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</si>
  <si>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</si>
  <si>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</si>
  <si>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</si>
  <si>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</si>
  <si>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</si>
  <si>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</si>
  <si>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</si>
  <si>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</si>
  <si>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</si>
  <si>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</si>
  <si>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</si>
  <si>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</si>
  <si>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</si>
  <si>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</si>
  <si>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</si>
  <si>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</si>
  <si>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</si>
  <si>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</si>
  <si>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</si>
  <si>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</si>
  <si>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</si>
  <si>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</si>
  <si>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</si>
  <si>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</si>
  <si>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</si>
  <si>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</si>
  <si>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</si>
  <si>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</si>
  <si>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</si>
  <si>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</si>
  <si>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</si>
  <si>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</si>
  <si>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</si>
  <si>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</si>
  <si>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</si>
  <si>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</si>
  <si>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</si>
  <si>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</si>
  <si>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</si>
  <si>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</si>
  <si>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</si>
  <si>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</si>
  <si>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</si>
  <si>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</si>
  <si>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</si>
  <si>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</si>
  <si>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</si>
  <si>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</si>
  <si>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</si>
  <si>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</si>
  <si>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</si>
  <si>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</si>
  <si>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</si>
  <si>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</si>
  <si>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</si>
  <si>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</si>
  <si>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</si>
  <si>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</si>
  <si>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</si>
  <si>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</si>
  <si>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</si>
  <si>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</si>
  <si>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</si>
  <si>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</si>
  <si>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</si>
  <si>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</si>
  <si>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</si>
  <si>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</si>
  <si>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</si>
  <si>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</si>
  <si>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</si>
  <si>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</si>
  <si>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</si>
  <si>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</si>
  <si>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</si>
  <si>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</si>
  <si>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</si>
  <si>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</si>
  <si>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</si>
  <si>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</si>
  <si>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</si>
  <si>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</si>
  <si>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</si>
  <si>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</si>
  <si>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</si>
  <si>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</si>
  <si>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</si>
  <si>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</si>
  <si>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</si>
  <si>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</si>
  <si>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</si>
  <si>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</si>
  <si>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</si>
  <si>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</si>
  <si>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</si>
  <si>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</si>
  <si>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</si>
  <si>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</si>
  <si>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</si>
  <si>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</si>
  <si>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</si>
  <si>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</si>
  <si>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</si>
  <si>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</si>
  <si>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</si>
  <si>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</si>
  <si>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</si>
  <si>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</si>
  <si>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</si>
  <si>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</si>
  <si>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</si>
  <si>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</si>
  <si>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</si>
  <si>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</si>
  <si>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</si>
  <si>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</si>
  <si>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</si>
  <si>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</si>
  <si>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</si>
  <si>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</si>
  <si>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</si>
  <si>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</si>
  <si>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</si>
  <si>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</si>
  <si>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</si>
  <si>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</si>
  <si>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</si>
  <si>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</si>
  <si>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</si>
  <si>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</si>
  <si>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</si>
  <si>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</si>
  <si>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</si>
  <si>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</si>
  <si>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</si>
  <si>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</si>
  <si>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</si>
  <si>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</si>
  <si>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</si>
  <si>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</si>
  <si>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</si>
  <si>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</si>
  <si>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</si>
  <si>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</si>
  <si>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</si>
  <si>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</si>
  <si>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</si>
  <si>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</si>
  <si>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</si>
  <si>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</si>
  <si>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</si>
  <si>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</si>
  <si>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</si>
  <si>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</si>
  <si>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</si>
  <si>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</si>
  <si>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</si>
  <si>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</si>
  <si>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</si>
  <si>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</si>
  <si>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</si>
  <si>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</si>
  <si>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</si>
  <si>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</si>
  <si>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</si>
  <si>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</si>
  <si>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</si>
  <si>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</si>
  <si>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</si>
  <si>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</si>
  <si>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</si>
  <si>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</si>
  <si>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</si>
  <si>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</si>
  <si>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</si>
  <si>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</si>
  <si>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</si>
  <si>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</si>
  <si>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</si>
  <si>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</si>
  <si>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</si>
  <si>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</si>
  <si>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</si>
  <si>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</si>
  <si>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</si>
  <si>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</si>
  <si>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</si>
  <si>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</si>
  <si>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</si>
  <si>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</si>
  <si>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</si>
  <si>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</si>
  <si>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</si>
  <si>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</si>
  <si>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</si>
  <si>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</si>
  <si>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</si>
  <si>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</si>
  <si>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</si>
  <si>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</si>
  <si>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</si>
  <si>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</si>
  <si>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</si>
  <si>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</si>
  <si>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</si>
  <si>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</si>
  <si>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</si>
  <si>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</si>
  <si>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</si>
  <si>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</si>
  <si>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</si>
  <si>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</si>
  <si>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</si>
  <si>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</si>
  <si>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</si>
  <si>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</si>
  <si>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</si>
  <si>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</si>
  <si>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</si>
  <si>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</si>
  <si>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</si>
  <si>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</si>
  <si>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</si>
  <si>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</si>
  <si>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</si>
  <si>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</si>
  <si>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</si>
  <si>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</si>
  <si>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</si>
  <si>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</si>
  <si>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</si>
  <si>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</si>
  <si>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</si>
  <si>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</si>
  <si>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</si>
  <si>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</si>
  <si>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</si>
  <si>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</si>
  <si>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</si>
  <si>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</si>
  <si>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</si>
  <si>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</si>
  <si>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</si>
  <si>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</si>
  <si>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</si>
  <si>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</si>
  <si>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</si>
  <si>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</si>
  <si>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</si>
  <si>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</si>
  <si>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</si>
  <si>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</si>
  <si>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</si>
  <si>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</si>
  <si>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</si>
  <si>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</si>
  <si>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</si>
  <si>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</si>
  <si>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</si>
  <si>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</si>
  <si>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</si>
  <si>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</si>
  <si>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</si>
  <si>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</si>
  <si>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</si>
  <si>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</si>
  <si>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</si>
  <si>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</si>
  <si>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</si>
  <si>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</si>
  <si>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</si>
  <si>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</si>
  <si>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</si>
  <si>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</si>
  <si>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</si>
  <si>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</si>
  <si>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</si>
  <si>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</si>
  <si>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</si>
  <si>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</si>
  <si>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</si>
  <si>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</si>
  <si>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</si>
  <si>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</si>
  <si>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</si>
  <si>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</si>
  <si>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</si>
  <si>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</si>
  <si>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</si>
  <si>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</si>
  <si>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</si>
  <si>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</si>
  <si>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</si>
  <si>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</si>
  <si>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</si>
  <si>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</si>
  <si>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</si>
  <si>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</si>
  <si>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</si>
  <si>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</si>
  <si>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</si>
  <si>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</si>
  <si>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</si>
  <si>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</si>
  <si>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</si>
  <si>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</si>
  <si>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</si>
  <si>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</si>
  <si>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</si>
  <si>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</si>
  <si>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</si>
  <si>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</si>
  <si>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</si>
  <si>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</si>
  <si>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</si>
  <si>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</si>
  <si>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</si>
  <si>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</si>
  <si>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</si>
  <si>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</si>
  <si>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</si>
  <si>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</si>
  <si>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</si>
  <si>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</si>
  <si>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</si>
  <si>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</si>
  <si>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</si>
  <si>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</si>
  <si>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</si>
  <si>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</si>
  <si>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</si>
  <si>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</si>
  <si>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</si>
  <si>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</si>
  <si>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</si>
  <si>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</si>
  <si>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</si>
  <si>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</si>
  <si>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</si>
  <si>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</si>
  <si>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</si>
  <si>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</si>
  <si>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</si>
  <si>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</si>
  <si>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</si>
  <si>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</si>
  <si>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</si>
  <si>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</si>
  <si>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</si>
  <si>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</si>
  <si>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</si>
  <si>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</si>
  <si>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</si>
  <si>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</si>
  <si>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</si>
  <si>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</si>
  <si>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</si>
  <si>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</si>
  <si>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</si>
  <si>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</si>
  <si>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</si>
  <si>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</si>
  <si>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</si>
  <si>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</si>
  <si>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</si>
  <si>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</si>
  <si>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</si>
  <si>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</si>
  <si>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</si>
  <si>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</si>
  <si>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</si>
  <si>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</si>
  <si>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</si>
  <si>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</si>
  <si>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</si>
  <si>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</si>
  <si>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</si>
  <si>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</si>
  <si>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</si>
  <si>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</si>
  <si>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</si>
  <si>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</si>
  <si>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</si>
  <si>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</si>
  <si>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</si>
  <si>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</si>
  <si>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</si>
  <si>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</si>
  <si>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</si>
  <si>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</si>
  <si>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</si>
  <si>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</si>
  <si>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</si>
  <si>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</si>
  <si>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</si>
  <si>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</si>
  <si>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</si>
  <si>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</si>
  <si>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</si>
  <si>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</si>
  <si>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</si>
  <si>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</si>
  <si>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</si>
  <si>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</si>
  <si>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</si>
  <si>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</si>
  <si>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</si>
  <si>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</si>
  <si>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</si>
  <si>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</si>
  <si>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</si>
  <si>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</si>
  <si>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</si>
  <si>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</si>
  <si>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</si>
  <si>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</si>
  <si>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</si>
  <si>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</si>
  <si>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</si>
  <si>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Pehlman and Dold, P.C.</t>
  </si>
  <si>
    <t>100 North Amos Avenue</t>
  </si>
  <si>
    <t>Springfield</t>
  </si>
  <si>
    <t>IL</t>
  </si>
  <si>
    <t>(217) 787-0563</t>
  </si>
  <si>
    <t>(217) 787-9266</t>
  </si>
  <si>
    <t>066-005315</t>
  </si>
  <si>
    <t>x</t>
  </si>
  <si>
    <t>Cass</t>
  </si>
  <si>
    <t>Dorinda L Fitzgerald</t>
  </si>
  <si>
    <t>500 East 15th Street</t>
  </si>
  <si>
    <t>Beardstown, IL</t>
  </si>
  <si>
    <t>Ron Gilbert, Superintendent</t>
  </si>
  <si>
    <t>gilbertr@beardstown.com</t>
  </si>
  <si>
    <t>(217) 323-3099</t>
  </si>
  <si>
    <t>(217) 323-5190</t>
  </si>
  <si>
    <t>Series 2005 QZAB</t>
  </si>
  <si>
    <t>Series 2010 QZAB</t>
  </si>
  <si>
    <t>Bus Capital Lease (paid out of Transportation Fund)</t>
  </si>
  <si>
    <t>Copier Capital Lease (paid out of Education Fund)</t>
  </si>
  <si>
    <t>Series 2016 Bonds</t>
  </si>
  <si>
    <t>Series 2019 Bonds</t>
  </si>
  <si>
    <t>Bus Capital Lease</t>
  </si>
  <si>
    <t>Copier Capital Lease</t>
  </si>
  <si>
    <t>Prairie State Insurance Cooperative</t>
  </si>
  <si>
    <t>Four Rivers Special Education District</t>
  </si>
  <si>
    <t>Two Rivers Career Education System</t>
  </si>
  <si>
    <t>Part C, 23 - Other than cash basis, the Auditor's Report is qualified due to the District not maintaining a formal record keeping system to track fixed assets accounted for in the General Fixed Asset Account Group.</t>
  </si>
  <si>
    <t>ED-Instruction-Supplies and Materials</t>
  </si>
  <si>
    <t>American Reading Co</t>
  </si>
  <si>
    <t>ED-Instruction-Purchased Services</t>
  </si>
  <si>
    <t>CDS Office Technologies</t>
  </si>
  <si>
    <t>ED-Attendence &amp; Social Work Svcs-Purchased Svc</t>
  </si>
  <si>
    <t>Community Hope &amp; Recovery</t>
  </si>
  <si>
    <t>ED-Operations &amp; Maint of Plant Svc-Supp &amp; Materials</t>
  </si>
  <si>
    <t>Esquared Communications</t>
  </si>
  <si>
    <t>Oper/Maint Fund-Oper &amp; Maint of Plant Svc-Purch Svc</t>
  </si>
  <si>
    <t>Midwest Asphalt Sealing</t>
  </si>
  <si>
    <t>PSIC</t>
  </si>
  <si>
    <t>Tort-Insurance Paymemts-Purchased Services</t>
  </si>
  <si>
    <t>TSS</t>
  </si>
  <si>
    <t>Education Fund - Acct 1690 - Cafeteria Rebates</t>
  </si>
  <si>
    <t>Education Fund - Acct 1999 - E-Rate $9,875, Misc Reimbursements $76</t>
  </si>
  <si>
    <t>Debt Service Fund - Acct 1999 - Qualified Bond Interest Reimbursement</t>
  </si>
  <si>
    <t>Transportation Fund - Acct 1999 - Insurance Claim Reimburement</t>
  </si>
  <si>
    <t>Education Fund - Acct 3999 - School Maintenance Grant $50,000, ISBE Other State Programs $5,116,  DHS Child Care Reimbursement $250</t>
  </si>
  <si>
    <t>Education Fund - Acct 4399 - Title I School Improvement &amp; Accountability Grant - ISBE Source of Funds 4331-20</t>
  </si>
  <si>
    <t>Education Fund - Acct 4499 - Title IVA Student Support &amp; Academic Enrichment Grant - ISBE Source of Funds 4400-00</t>
  </si>
  <si>
    <t>Debt Service Fund - Function 5400/Object 600 - Bank fees on bond payments</t>
  </si>
  <si>
    <t>Audit Check Question #8 Error Message - The District is capitalizing the new bus lease purchase as principal payments are made - current</t>
  </si>
  <si>
    <t xml:space="preserve">  year proceeds are not reflected on the AFR and current year payments are paid out of the Transportation Fund and recorded in</t>
  </si>
  <si>
    <t xml:space="preserve">  function 2550/object 500.  For capital leases that existed in prior years, bus lease principal is paid out of the Transportation Fund and</t>
  </si>
  <si>
    <t xml:space="preserve">  recorded in function 5300/object 600 - copier lease principal is paid out of the Education Fund and is an other financing use.</t>
  </si>
  <si>
    <t>PDF in Opinion Page with Signature</t>
  </si>
  <si>
    <t>US Department of Agricultural passed through the IL State Board of Education:</t>
  </si>
  <si>
    <t>Child Nutrition Cluster:</t>
  </si>
  <si>
    <t xml:space="preserve">   Total CFDA #10.555</t>
  </si>
  <si>
    <t>National School Lunch Program ( M )</t>
  </si>
  <si>
    <t>National School Lunch Program - USDA Foods (non cash award) ( M )</t>
  </si>
  <si>
    <t>2019-4210</t>
  </si>
  <si>
    <t>2020-4210</t>
  </si>
  <si>
    <t>National School Lunch Program - DOD Fruits &amp; Vegetables (non cash award) ( M )</t>
  </si>
  <si>
    <t>School Breakfast Program ( M )</t>
  </si>
  <si>
    <t xml:space="preserve">   Total CFDA #10.553</t>
  </si>
  <si>
    <t>2019-4220</t>
  </si>
  <si>
    <t>2020-4220</t>
  </si>
  <si>
    <t>Summer Food Service Program ( M )</t>
  </si>
  <si>
    <t>2020-4225</t>
  </si>
  <si>
    <t>n/a</t>
  </si>
  <si>
    <t>TOTAL US DEPT OF AG PASSED THROUGH THE IL STATE BOARD OF ED-CHILD NUTRITION CLUSTER</t>
  </si>
  <si>
    <t>US Department of Education passed through the IL State Board of Education:</t>
  </si>
  <si>
    <t>Title I Grants to Local Education Agencies-Low Income</t>
  </si>
  <si>
    <t>84.010A</t>
  </si>
  <si>
    <t>2019-4300</t>
  </si>
  <si>
    <t>2020-4300</t>
  </si>
  <si>
    <t>Title I Grants to Local Education Agencies-School Improvement &amp; Accountability ( M )</t>
  </si>
  <si>
    <t xml:space="preserve">   Total CFDA #84.010A</t>
  </si>
  <si>
    <t>2019-4331</t>
  </si>
  <si>
    <t>2020-4331</t>
  </si>
  <si>
    <t>Migrant Education Grants to States-Migrant Basic Education Grant</t>
  </si>
  <si>
    <t>Migrant Education Grants to States-Migrant Summer</t>
  </si>
  <si>
    <t>84.011A</t>
  </si>
  <si>
    <t>2019-4340</t>
  </si>
  <si>
    <t>2020-4340</t>
  </si>
  <si>
    <t>2019-4340-1</t>
  </si>
  <si>
    <t>2020-4340-1</t>
  </si>
  <si>
    <t xml:space="preserve">   Total CFDA #84.011A</t>
  </si>
  <si>
    <t>Migrant Education Cooperative Program-Migrant Incentive</t>
  </si>
  <si>
    <t>84.144F</t>
  </si>
  <si>
    <t>2019-4341</t>
  </si>
  <si>
    <t>English Language Acquisition State Grants-Title III Immigrant Education Program (IEP)</t>
  </si>
  <si>
    <t>English Language Acquisition State Grants-Title III Limited English Program (LIPLEP)</t>
  </si>
  <si>
    <t>84.365A</t>
  </si>
  <si>
    <t>2019-4905</t>
  </si>
  <si>
    <t>2020-4905</t>
  </si>
  <si>
    <t>2019-4909</t>
  </si>
  <si>
    <t>2020-4909</t>
  </si>
  <si>
    <t xml:space="preserve">   Total CFDA #84.365A</t>
  </si>
  <si>
    <t>Improving Teacher Quality State Grants-Title II</t>
  </si>
  <si>
    <t xml:space="preserve">    Total CFDA #84.367A</t>
  </si>
  <si>
    <t>84.367A</t>
  </si>
  <si>
    <t>2019-4932</t>
  </si>
  <si>
    <t>2020-4932</t>
  </si>
  <si>
    <t>Student Support and Academic Enrichment Program Title IVA</t>
  </si>
  <si>
    <t>84.424A</t>
  </si>
  <si>
    <t xml:space="preserve">   Total CFDA #84.424A</t>
  </si>
  <si>
    <t>2019-4400</t>
  </si>
  <si>
    <t>2020-4400</t>
  </si>
  <si>
    <t>Rural Education Achievement Program Title V</t>
  </si>
  <si>
    <t>84.358B</t>
  </si>
  <si>
    <t>2020-4107</t>
  </si>
  <si>
    <t>Elementary and Secondary School Emergency Relief Fund</t>
  </si>
  <si>
    <t>84.425D</t>
  </si>
  <si>
    <t>2020-4998</t>
  </si>
  <si>
    <t>TOTAL US DEPT OF EDUCATION PASSED THROUGH THE IL STATE BOARD OF EDUCATION</t>
  </si>
  <si>
    <t>US Departmetn of Education - Federal Flow Through from One LEA to Another:</t>
  </si>
  <si>
    <t>Flow Through from 4 Rivers Special Education District:</t>
  </si>
  <si>
    <t>Special Education Grants to States-Fedl. Sp. Ed. - IDEA Flow Through</t>
  </si>
  <si>
    <t>84.027A</t>
  </si>
  <si>
    <t>TOTAL US DEPT OF EDUCATION-FEDERAL FLOW THROUGH FROM ONE LEA TO ANOTHER</t>
  </si>
  <si>
    <t>TOTAL FEDERAL FUNDING</t>
  </si>
  <si>
    <t>The accompanying Schedule of Expenditures of Federal Awards includes the federal grant activity of Beardstown CUSD #15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</si>
  <si>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Beardstown CUSD #15 provided federal awards to subrecipients as follows:</t>
  </si>
  <si>
    <t>Not applicable - no payments to subrecipients</t>
  </si>
  <si>
    <r>
      <t xml:space="preserve">The following amounts were expended in the form of non-cash assistance by Beardstown CUSD #15 and </t>
    </r>
    <r>
      <rPr>
        <b/>
        <sz val="9"/>
        <rFont val="Calibri"/>
        <family val="2"/>
        <scheme val="minor"/>
      </rPr>
      <t>should be</t>
    </r>
    <r>
      <rPr>
        <sz val="9"/>
        <rFont val="Calibri"/>
        <family val="2"/>
        <scheme val="minor"/>
      </rPr>
      <t xml:space="preserve"> included in the Schedule of Expenditures of Federal Awards:</t>
    </r>
  </si>
  <si>
    <t>Adverse-GAAP/Qualified-Regulatory</t>
  </si>
  <si>
    <t>Title I Grants to Local Education Agencies</t>
  </si>
  <si>
    <t xml:space="preserve">      Child Nutrition Cluster:</t>
  </si>
  <si>
    <t>N/a</t>
  </si>
  <si>
    <t>Illinois State Board of Education</t>
  </si>
  <si>
    <t>US Department of Education</t>
  </si>
  <si>
    <t>Allowable costs &amp; reporting - Direct federal costs should be supported by adequate documentation, given consistent treatment, not be used as a cost or meet cost sharing requirements for other federal programs and be supported by audited accounting records.</t>
  </si>
  <si>
    <t>Cumulative expenditures reported to the granting agency to show use of funds could not be reconciled, by function &amp; object, to detailed general ledger postings used to track allowable expenditures by funding type.</t>
  </si>
  <si>
    <t>Without proper controls over allowable costs and reporting, expenditures may be incorrectly reported to the granting agency as an allowable expenditure used to spend federal awards according to an approved award budget.</t>
  </si>
  <si>
    <t xml:space="preserve">Proper internal controls over allowable costs and reporting either do not adequately detail procedures to determine allowable costs used to prepare required reports or are not routinely being adhered to. </t>
  </si>
  <si>
    <t xml:space="preserve">Management is in agreement with the finding.  </t>
  </si>
  <si>
    <t>Expenditures reported to the granting agency as allowable were not supported by actual general ledger postings by function &amp; object, which could result in reported expenditures later to be deemed unallowable, resulting in unspent federal funds.</t>
  </si>
  <si>
    <t>Review all policies over allowable costs and reporting to determine if the provided adequate guidance.  Revise policies if deemed necessary,  Additionally, make sure all responsible individuals are aware of such policies and they are being adhered to.</t>
  </si>
  <si>
    <t>Purchase Services $38,708</t>
  </si>
  <si>
    <t>2019-4331, 2020-4331</t>
  </si>
  <si>
    <t>Under the Uniform Guidance for equipment, a physical inventory must be taken and reconciled with property records at least once every two years, and the item must be used for the authorized purpose of the project of the federal program making the purchase.</t>
  </si>
  <si>
    <t>The District's adopted policy for equipment or other capital assts paid for with federal funds requires an inventory of equipment to be taken and assets properly tagged indicating funding source</t>
  </si>
  <si>
    <t>For disbursements tested that were for equipment, the District could  provide support that a physical inventory was taken but items were properly tagged by program and indicating that the asset was being used for it's authorized purpose.</t>
  </si>
  <si>
    <t>Without proper tracking/tagging records of capital assts paid for with federal funds, there is the risk that the District will not be in compliance with the Uniform Guidance as it relates to the use of and disposition of federally purchased items.</t>
  </si>
  <si>
    <t>The District had not completely implement its adopt a policy detailing compliance requirements for federally purchased capital assets.</t>
  </si>
  <si>
    <t>The District should review its adopt a policy detailing procedures needed to meet equipment compliance requirements.  Internal controls should be established to ensure the policy is being adhered to.</t>
  </si>
  <si>
    <t>2019-002</t>
  </si>
  <si>
    <t>2019-003</t>
  </si>
  <si>
    <t>2019-2004</t>
  </si>
  <si>
    <t>Elementary and Secondary School Emergency Relief Fund-(non major pgm)</t>
  </si>
  <si>
    <t>Title III Lang Inst Prog-Limited Eng (LIPLEP)-(non major pgm)</t>
  </si>
  <si>
    <t xml:space="preserve"> Salaries $2,013 and Supplies &amp; Materials $3,294 = Total $5,307</t>
  </si>
  <si>
    <t>Purchase Services $5,004, Supplies and Materials $4,025 = Total$9,029</t>
  </si>
  <si>
    <t>Procurement</t>
  </si>
  <si>
    <t>Final - Corrective Action Plan implemented</t>
  </si>
  <si>
    <t>Fixed Asset Inventory</t>
  </si>
  <si>
    <t>Partially Implemented - Repeat Finding</t>
  </si>
  <si>
    <t>Allowable Costs</t>
  </si>
  <si>
    <t>dfitzgerald@p-dcpas.com</t>
  </si>
  <si>
    <t>Beardstown CUSD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</si>
</sst>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1562100</xdr:colOff>
          <xdr:row>3</xdr:row>
          <xdr:rowOff>95250</xdr:rowOff>
        </xdr:from>
        <xdr:to>
          <xdr:col>1</xdr:col>
          <xdr:colOff>2609850</xdr:colOff>
          <xdr:row>8</xdr:row>
          <xdr:rowOff>133350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4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401</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1999</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520</v>
      </c>
      <c r="J4" s="2082"/>
      <c r="K4" s="2082"/>
      <c r="L4" s="2082"/>
      <c r="M4" s="2082"/>
      <c r="N4" s="2082"/>
      <c r="O4" s="2082"/>
      <c r="P4" s="2082"/>
      <c r="Q4" s="2082"/>
      <c r="R4" s="2082"/>
      <c r="S4" s="2082"/>
    </row>
    <row r="5" spans="1:32" ht="14.1" customHeight="1" x14ac:dyDescent="0.2">
      <c r="B5" s="101" t="s">
        <v>2054</v>
      </c>
      <c r="C5" s="26" t="s">
        <v>903</v>
      </c>
      <c r="D5" s="81"/>
      <c r="E5" s="81"/>
      <c r="H5" s="38"/>
      <c r="I5" s="2091" t="s">
        <v>674</v>
      </c>
      <c r="J5" s="2090"/>
      <c r="K5" s="2090"/>
      <c r="L5" s="2090"/>
      <c r="M5" s="2090"/>
      <c r="N5" s="2090"/>
      <c r="O5" s="2090"/>
      <c r="P5" s="2090"/>
      <c r="Q5" s="2090"/>
      <c r="R5" s="2090"/>
      <c r="S5" s="2090"/>
      <c r="AF5" s="1827"/>
    </row>
    <row r="6" spans="1:32" ht="14.1" customHeight="1" x14ac:dyDescent="0.2">
      <c r="B6" s="101"/>
      <c r="C6" s="26" t="s">
        <v>904</v>
      </c>
      <c r="D6" s="81"/>
      <c r="E6" s="81"/>
      <c r="I6" s="2089" t="s">
        <v>876</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668</v>
      </c>
      <c r="J9" s="2087"/>
      <c r="K9" s="2087"/>
      <c r="L9" s="2087"/>
      <c r="M9" s="2087"/>
      <c r="N9" s="2087"/>
      <c r="O9" s="2087"/>
      <c r="P9" s="2087"/>
      <c r="Q9" s="2087"/>
      <c r="R9" s="2087"/>
      <c r="S9" s="2088"/>
      <c r="T9" s="2139" t="s">
        <v>529</v>
      </c>
      <c r="U9" s="2140"/>
      <c r="V9" s="2140"/>
      <c r="W9" s="2140"/>
      <c r="X9" s="2140"/>
      <c r="Y9" s="2140"/>
      <c r="Z9" s="2140"/>
      <c r="AA9" s="2141"/>
    </row>
    <row r="10" spans="1:32" ht="13.5" customHeight="1" x14ac:dyDescent="0.2">
      <c r="A10" s="2146" t="s">
        <v>669</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948</v>
      </c>
      <c r="B11" s="2150"/>
      <c r="C11" s="2150"/>
      <c r="D11" s="2150"/>
      <c r="E11" s="2150"/>
      <c r="F11" s="2150"/>
      <c r="G11" s="2150"/>
      <c r="H11" s="2151"/>
      <c r="I11" s="27"/>
      <c r="J11" s="71"/>
      <c r="K11" s="27"/>
      <c r="O11" s="144" t="s">
        <v>2054</v>
      </c>
      <c r="P11" s="97" t="s">
        <v>199</v>
      </c>
      <c r="Q11" s="30"/>
      <c r="R11" s="28"/>
      <c r="S11" s="27"/>
      <c r="T11" s="2143"/>
      <c r="U11" s="2144"/>
      <c r="V11" s="2144"/>
      <c r="W11" s="2144"/>
      <c r="X11" s="2144"/>
      <c r="Y11" s="2144"/>
      <c r="Z11" s="2144"/>
      <c r="AA11" s="2145"/>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2">
        <v>1009015026</v>
      </c>
      <c r="B13" s="2103"/>
      <c r="C13" s="2103"/>
      <c r="D13" s="2103"/>
      <c r="E13" s="2103"/>
      <c r="F13" s="2103"/>
      <c r="G13" s="2103"/>
      <c r="H13" s="2104"/>
      <c r="I13" s="31"/>
      <c r="J13" s="30"/>
      <c r="K13" s="28"/>
      <c r="L13" s="30"/>
      <c r="M13" s="30"/>
      <c r="N13" s="30"/>
      <c r="O13" s="30"/>
      <c r="P13" s="30"/>
      <c r="Q13" s="30"/>
      <c r="R13" s="30"/>
      <c r="S13" s="30"/>
      <c r="T13" s="2108" t="s">
        <v>2047</v>
      </c>
      <c r="U13" s="2109"/>
      <c r="V13" s="2109"/>
      <c r="W13" s="2109"/>
      <c r="X13" s="2109"/>
      <c r="Y13" s="2110"/>
      <c r="Z13" s="2110"/>
      <c r="AA13" s="211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5" t="s">
        <v>2055</v>
      </c>
      <c r="B15" s="2106"/>
      <c r="C15" s="2106"/>
      <c r="D15" s="2106"/>
      <c r="E15" s="2106"/>
      <c r="F15" s="2106"/>
      <c r="G15" s="2106"/>
      <c r="H15" s="2107"/>
      <c r="T15" s="2112" t="s">
        <v>2056</v>
      </c>
      <c r="U15" s="2069"/>
      <c r="V15" s="2069"/>
      <c r="W15" s="2069"/>
      <c r="X15" s="2069"/>
      <c r="Y15" s="2113"/>
      <c r="Z15" s="2113"/>
      <c r="AA15" s="211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5" t="s">
        <v>2206</v>
      </c>
      <c r="B17" s="2076"/>
      <c r="C17" s="2076"/>
      <c r="D17" s="2076"/>
      <c r="E17" s="2076"/>
      <c r="F17" s="2076"/>
      <c r="G17" s="2076"/>
      <c r="H17" s="2101"/>
      <c r="T17" s="2119" t="s">
        <v>2048</v>
      </c>
      <c r="U17" s="2120"/>
      <c r="V17" s="2120"/>
      <c r="W17" s="2120"/>
      <c r="X17" s="2120"/>
      <c r="Y17" s="2120"/>
      <c r="Z17" s="2120"/>
      <c r="AA17" s="2121"/>
    </row>
    <row r="18" spans="1:27" ht="13.5" customHeight="1" x14ac:dyDescent="0.2">
      <c r="A18" s="82" t="s">
        <v>526</v>
      </c>
      <c r="B18" s="73"/>
      <c r="C18" s="69"/>
      <c r="D18" s="73"/>
      <c r="E18" s="73"/>
      <c r="F18" s="73"/>
      <c r="G18" s="73"/>
      <c r="H18" s="53"/>
      <c r="I18" s="2100" t="s">
        <v>670</v>
      </c>
      <c r="J18" s="2051"/>
      <c r="K18" s="2051"/>
      <c r="L18" s="2051"/>
      <c r="M18" s="2051"/>
      <c r="N18" s="2051"/>
      <c r="O18" s="2051"/>
      <c r="P18" s="2051"/>
      <c r="Q18" s="2051"/>
      <c r="R18" s="2051"/>
      <c r="S18" s="2052"/>
      <c r="T18" s="82" t="s">
        <v>705</v>
      </c>
      <c r="U18" s="48"/>
      <c r="V18" s="69"/>
      <c r="W18" s="47"/>
      <c r="X18" s="82" t="s">
        <v>263</v>
      </c>
      <c r="Y18" s="78"/>
      <c r="Z18" s="154" t="s">
        <v>671</v>
      </c>
      <c r="AA18" s="44"/>
    </row>
    <row r="19" spans="1:27" ht="13.5" customHeight="1" x14ac:dyDescent="0.2">
      <c r="A19" s="2105" t="s">
        <v>2057</v>
      </c>
      <c r="B19" s="2061"/>
      <c r="C19" s="2061"/>
      <c r="D19" s="2061"/>
      <c r="E19" s="2061"/>
      <c r="F19" s="2061"/>
      <c r="G19" s="2061"/>
      <c r="H19" s="2041"/>
      <c r="I19" s="30"/>
      <c r="J19" s="96"/>
      <c r="K19" s="40"/>
      <c r="L19" s="38"/>
      <c r="M19" s="109" t="s">
        <v>311</v>
      </c>
      <c r="P19" s="27"/>
      <c r="Q19" s="27"/>
      <c r="R19" s="27"/>
      <c r="S19" s="31"/>
      <c r="T19" s="2105" t="s">
        <v>2049</v>
      </c>
      <c r="U19" s="2040"/>
      <c r="V19" s="2040"/>
      <c r="W19" s="2041"/>
      <c r="X19" s="2117" t="s">
        <v>2050</v>
      </c>
      <c r="Y19" s="2118"/>
      <c r="Z19" s="2115">
        <v>62702</v>
      </c>
      <c r="AA19" s="211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9" t="s">
        <v>2058</v>
      </c>
      <c r="B21" s="2040"/>
      <c r="C21" s="2040"/>
      <c r="D21" s="2040"/>
      <c r="E21" s="2040"/>
      <c r="F21" s="2040"/>
      <c r="G21" s="2040"/>
      <c r="H21" s="2041"/>
      <c r="I21" s="2095" t="s">
        <v>672</v>
      </c>
      <c r="J21" s="2090"/>
      <c r="K21" s="2090"/>
      <c r="L21" s="2090"/>
      <c r="M21" s="2090"/>
      <c r="N21" s="2090"/>
      <c r="O21" s="2090"/>
      <c r="P21" s="2090"/>
      <c r="Q21" s="2090"/>
      <c r="R21" s="2090"/>
      <c r="S21" s="2096"/>
      <c r="T21" s="2130" t="s">
        <v>2051</v>
      </c>
      <c r="U21" s="2131"/>
      <c r="V21" s="2131"/>
      <c r="W21" s="2131"/>
      <c r="X21" s="2136" t="s">
        <v>2052</v>
      </c>
      <c r="Y21" s="2137"/>
      <c r="Z21" s="2137"/>
      <c r="AA21" s="2138"/>
    </row>
    <row r="22" spans="1:27" ht="13.5" customHeight="1" x14ac:dyDescent="0.2">
      <c r="A22" s="84" t="s">
        <v>527</v>
      </c>
      <c r="B22" s="56"/>
      <c r="C22" s="56"/>
      <c r="D22" s="56"/>
      <c r="E22" s="56"/>
      <c r="F22" s="56"/>
      <c r="G22" s="56"/>
      <c r="H22" s="57"/>
      <c r="I22" s="2097" t="s">
        <v>1411</v>
      </c>
      <c r="J22" s="2098"/>
      <c r="K22" s="2098"/>
      <c r="L22" s="2098"/>
      <c r="M22" s="2098"/>
      <c r="N22" s="2098"/>
      <c r="O22" s="2098"/>
      <c r="P22" s="2098"/>
      <c r="Q22" s="2098"/>
      <c r="R22" s="2098"/>
      <c r="S22" s="2099"/>
      <c r="T22" s="82" t="s">
        <v>1498</v>
      </c>
      <c r="U22" s="48"/>
      <c r="V22" s="69"/>
      <c r="W22" s="48"/>
      <c r="X22" s="155" t="s">
        <v>1306</v>
      </c>
      <c r="Z22" s="43"/>
      <c r="AA22" s="44"/>
    </row>
    <row r="23" spans="1:27" ht="13.5" customHeight="1" x14ac:dyDescent="0.2">
      <c r="A23" s="2092"/>
      <c r="B23" s="2093"/>
      <c r="C23" s="2093"/>
      <c r="D23" s="2093"/>
      <c r="E23" s="2093"/>
      <c r="F23" s="2093"/>
      <c r="G23" s="2093"/>
      <c r="H23" s="2094"/>
      <c r="T23" s="2075" t="s">
        <v>2053</v>
      </c>
      <c r="U23" s="2129"/>
      <c r="V23" s="2129"/>
      <c r="W23" s="2129"/>
      <c r="X23" s="2133">
        <v>44197</v>
      </c>
      <c r="Y23" s="2134"/>
      <c r="Z23" s="2134"/>
      <c r="AA23" s="2135"/>
    </row>
    <row r="24" spans="1:27" ht="14.1" customHeight="1" x14ac:dyDescent="0.2">
      <c r="A24" s="85" t="s">
        <v>671</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527</v>
      </c>
      <c r="U24" s="103"/>
      <c r="V24" s="103"/>
      <c r="W24" s="103"/>
      <c r="X24" s="104"/>
      <c r="Y24" s="104"/>
      <c r="Z24" s="104"/>
      <c r="AA24" s="105"/>
    </row>
    <row r="25" spans="1:27" ht="14.1" customHeight="1" x14ac:dyDescent="0.2">
      <c r="A25" s="2039">
        <v>62618</v>
      </c>
      <c r="B25" s="2040"/>
      <c r="C25" s="2040"/>
      <c r="D25" s="2040"/>
      <c r="E25" s="2040"/>
      <c r="F25" s="2040"/>
      <c r="G25" s="2040"/>
      <c r="H25" s="2041"/>
      <c r="I25" s="110"/>
      <c r="J25" s="2064"/>
      <c r="K25" s="2064"/>
      <c r="L25" s="2064"/>
      <c r="M25" s="2064"/>
      <c r="N25" s="2064"/>
      <c r="O25" s="2064"/>
      <c r="P25" s="2064"/>
      <c r="Q25" s="2064"/>
      <c r="R25" s="2064"/>
      <c r="S25" s="2065"/>
      <c r="T25" s="2126" t="s">
        <v>2205</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0" t="s">
        <v>1493</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t="s">
        <v>2054</v>
      </c>
      <c r="C29" s="121" t="s">
        <v>814</v>
      </c>
      <c r="D29" s="111"/>
      <c r="E29" s="133"/>
      <c r="F29" s="137" t="s">
        <v>1304</v>
      </c>
      <c r="G29" s="111"/>
      <c r="I29" s="51"/>
      <c r="J29" s="144" t="s">
        <v>2054</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2054</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2054</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5" t="s">
        <v>2059</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527</v>
      </c>
      <c r="B39" s="2046"/>
      <c r="C39" s="69"/>
      <c r="D39" s="66"/>
      <c r="E39" s="66"/>
      <c r="F39" s="76"/>
      <c r="G39" s="66"/>
      <c r="H39" s="53"/>
      <c r="I39" s="2045" t="s">
        <v>527</v>
      </c>
      <c r="J39" s="2046"/>
      <c r="K39" s="2046"/>
      <c r="L39" s="2046"/>
      <c r="M39" s="2046"/>
      <c r="N39" s="64"/>
      <c r="O39" s="69"/>
      <c r="P39" s="69"/>
      <c r="Q39" s="75"/>
      <c r="R39" s="69"/>
      <c r="S39" s="53"/>
      <c r="T39" s="69" t="s">
        <v>527</v>
      </c>
      <c r="U39" s="48"/>
      <c r="V39" s="69"/>
      <c r="W39" s="47"/>
      <c r="X39" s="75"/>
      <c r="Y39" s="43"/>
      <c r="Z39" s="43"/>
      <c r="AA39" s="44"/>
    </row>
    <row r="40" spans="1:27" ht="13.5" customHeight="1" x14ac:dyDescent="0.2">
      <c r="A40" s="2053" t="s">
        <v>2060</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7" t="s">
        <v>2061</v>
      </c>
      <c r="B42" s="2059"/>
      <c r="C42" s="2060"/>
      <c r="D42" s="2058" t="s">
        <v>2062</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2" sqref="E1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1144</v>
      </c>
      <c r="B4" s="1721">
        <f>'Revenues 9-14'!C5</f>
        <v>1135962</v>
      </c>
      <c r="C4" s="1722"/>
      <c r="D4" s="1723">
        <f>B4-C4</f>
        <v>1135962</v>
      </c>
      <c r="E4" s="1722">
        <v>1158124</v>
      </c>
      <c r="F4" s="1723">
        <f>E4-C4</f>
        <v>1158124</v>
      </c>
    </row>
    <row r="5" spans="1:8" ht="13.7" customHeight="1" x14ac:dyDescent="0.2">
      <c r="A5" s="579" t="s">
        <v>864</v>
      </c>
      <c r="B5" s="1724">
        <f>'Revenues 9-14'!D5</f>
        <v>308684</v>
      </c>
      <c r="C5" s="1664"/>
      <c r="D5" s="1725">
        <f t="shared" ref="D5:D18" si="0">B5-C5</f>
        <v>308684</v>
      </c>
      <c r="E5" s="1664">
        <v>314710</v>
      </c>
      <c r="F5" s="1725">
        <f>E5-C5</f>
        <v>314710</v>
      </c>
    </row>
    <row r="6" spans="1:8" ht="13.7" customHeight="1" x14ac:dyDescent="0.2">
      <c r="A6" s="579" t="s">
        <v>407</v>
      </c>
      <c r="B6" s="1724">
        <f>'Revenues 9-14'!E5</f>
        <v>287038</v>
      </c>
      <c r="C6" s="1664"/>
      <c r="D6" s="1725">
        <f t="shared" si="0"/>
        <v>287038</v>
      </c>
      <c r="E6" s="1664">
        <v>497850</v>
      </c>
      <c r="F6" s="1725">
        <f t="shared" ref="F6:F18" si="1">E6-C6</f>
        <v>497850</v>
      </c>
    </row>
    <row r="7" spans="1:8" ht="13.7" customHeight="1" x14ac:dyDescent="0.2">
      <c r="A7" s="579" t="s">
        <v>154</v>
      </c>
      <c r="B7" s="1724">
        <f>'Revenues 9-14'!F5</f>
        <v>123475</v>
      </c>
      <c r="C7" s="1664"/>
      <c r="D7" s="1725">
        <f t="shared" si="0"/>
        <v>123475</v>
      </c>
      <c r="E7" s="1664">
        <v>125890</v>
      </c>
      <c r="F7" s="1725">
        <f t="shared" si="1"/>
        <v>125890</v>
      </c>
    </row>
    <row r="8" spans="1:8" ht="13.7" customHeight="1" x14ac:dyDescent="0.2">
      <c r="A8" s="579" t="s">
        <v>1168</v>
      </c>
      <c r="B8" s="1724">
        <f>'Revenues 9-14'!G5</f>
        <v>248676</v>
      </c>
      <c r="C8" s="1664"/>
      <c r="D8" s="1725">
        <f t="shared" si="0"/>
        <v>248676</v>
      </c>
      <c r="E8" s="1664">
        <v>253530</v>
      </c>
      <c r="F8" s="1725">
        <f t="shared" si="1"/>
        <v>253530</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0</v>
      </c>
      <c r="C10" s="1664"/>
      <c r="D10" s="1725">
        <f t="shared" si="0"/>
        <v>0</v>
      </c>
      <c r="E10" s="1664"/>
      <c r="F10" s="1725">
        <f t="shared" si="1"/>
        <v>0</v>
      </c>
    </row>
    <row r="11" spans="1:8" x14ac:dyDescent="0.2">
      <c r="A11" s="579" t="s">
        <v>405</v>
      </c>
      <c r="B11" s="1724">
        <f>'Revenues 9-14'!J5</f>
        <v>489736</v>
      </c>
      <c r="C11" s="1664"/>
      <c r="D11" s="1725">
        <f t="shared" si="0"/>
        <v>489736</v>
      </c>
      <c r="E11" s="1664">
        <v>499274</v>
      </c>
      <c r="F11" s="1725">
        <f t="shared" si="1"/>
        <v>499274</v>
      </c>
    </row>
    <row r="12" spans="1:8" ht="13.7" customHeight="1" x14ac:dyDescent="0.2">
      <c r="A12" s="579" t="s">
        <v>156</v>
      </c>
      <c r="B12" s="1724">
        <f>'Revenues 9-14'!K5</f>
        <v>10201</v>
      </c>
      <c r="C12" s="1664"/>
      <c r="D12" s="1725">
        <f t="shared" si="0"/>
        <v>10201</v>
      </c>
      <c r="E12" s="1664">
        <v>10399</v>
      </c>
      <c r="F12" s="1725">
        <f t="shared" si="1"/>
        <v>10399</v>
      </c>
    </row>
    <row r="13" spans="1:8" ht="13.7" customHeight="1" x14ac:dyDescent="0.2">
      <c r="A13" s="579" t="s">
        <v>929</v>
      </c>
      <c r="B13" s="1724">
        <f>SUM('Revenues 9-14'!C6:D6)</f>
        <v>30443</v>
      </c>
      <c r="C13" s="1664"/>
      <c r="D13" s="1725">
        <f t="shared" si="0"/>
        <v>30443</v>
      </c>
      <c r="E13" s="1664">
        <v>31038</v>
      </c>
      <c r="F13" s="1725">
        <f t="shared" si="1"/>
        <v>31038</v>
      </c>
    </row>
    <row r="14" spans="1:8" ht="13.7" customHeight="1" x14ac:dyDescent="0.2">
      <c r="A14" s="579" t="s">
        <v>406</v>
      </c>
      <c r="B14" s="1724">
        <f>SUM('Revenues 9-14'!C7:D7,'Revenues 9-14'!F7:H7)</f>
        <v>24175</v>
      </c>
      <c r="C14" s="1664"/>
      <c r="D14" s="1725">
        <f t="shared" si="0"/>
        <v>24175</v>
      </c>
      <c r="E14" s="1664">
        <v>24653</v>
      </c>
      <c r="F14" s="1725">
        <f t="shared" si="1"/>
        <v>24653</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248676</v>
      </c>
      <c r="C16" s="1664"/>
      <c r="D16" s="1725">
        <f t="shared" si="0"/>
        <v>248676</v>
      </c>
      <c r="E16" s="1664">
        <v>253530</v>
      </c>
      <c r="F16" s="1725">
        <f t="shared" si="1"/>
        <v>253530</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2907066</v>
      </c>
      <c r="C19" s="1726">
        <f>SUM(C4:C18)</f>
        <v>0</v>
      </c>
      <c r="D19" s="1726">
        <f>SUM(D4:D18)</f>
        <v>2907066</v>
      </c>
      <c r="E19" s="1726">
        <f>SUM(E4:E18)</f>
        <v>3168998</v>
      </c>
      <c r="F19" s="1726">
        <f>SUM(F4:F18)</f>
        <v>3168998</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C1" sqref="C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624</v>
      </c>
      <c r="B1" s="2310"/>
      <c r="C1" s="585"/>
    </row>
    <row r="2" spans="1:7" ht="33.75" x14ac:dyDescent="0.2">
      <c r="A2" s="2317" t="s">
        <v>1775</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1103</v>
      </c>
      <c r="B3" s="2320"/>
      <c r="C3" s="2313"/>
      <c r="D3" s="2314"/>
      <c r="E3" s="2314"/>
      <c r="F3" s="2315"/>
    </row>
    <row r="4" spans="1:7" ht="12.75" customHeight="1" thickBot="1" x14ac:dyDescent="0.25">
      <c r="A4" s="2307" t="s">
        <v>625</v>
      </c>
      <c r="B4" s="2308"/>
      <c r="C4" s="1656"/>
      <c r="D4" s="1656"/>
      <c r="E4" s="1656"/>
      <c r="F4" s="1732">
        <f>SUM(C4+D4)-E4</f>
        <v>0</v>
      </c>
    </row>
    <row r="5" spans="1:7" ht="15.75" customHeight="1" thickTop="1" x14ac:dyDescent="0.2">
      <c r="A5" s="2311" t="s">
        <v>1100</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03" t="s">
        <v>626</v>
      </c>
      <c r="B15" s="2304"/>
      <c r="C15" s="1732">
        <f>SUM(C6:C14)</f>
        <v>0</v>
      </c>
      <c r="D15" s="1732">
        <f>SUM(D6:D14)</f>
        <v>0</v>
      </c>
      <c r="E15" s="1732">
        <f>SUM(E6:E14)</f>
        <v>0</v>
      </c>
      <c r="F15" s="1732">
        <f>SUM(F6:F14)</f>
        <v>0</v>
      </c>
      <c r="G15" s="473"/>
    </row>
    <row r="16" spans="1:7" s="197" customFormat="1" ht="15.75" customHeight="1" thickTop="1" x14ac:dyDescent="0.2">
      <c r="A16" s="2316" t="s">
        <v>1101</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384</v>
      </c>
      <c r="B19" s="2299"/>
      <c r="C19" s="1733"/>
      <c r="D19" s="1664"/>
      <c r="E19" s="1733"/>
      <c r="F19" s="1732">
        <f>SUM(C19+D19)-E19</f>
        <v>0</v>
      </c>
    </row>
    <row r="20" spans="1:11" ht="12.75" customHeight="1" thickTop="1" thickBot="1" x14ac:dyDescent="0.25">
      <c r="A20" s="2298" t="s">
        <v>444</v>
      </c>
      <c r="B20" s="2299"/>
      <c r="C20" s="1733"/>
      <c r="D20" s="1664"/>
      <c r="E20" s="1733"/>
      <c r="F20" s="1732">
        <f>SUM(C20+D20)-E20</f>
        <v>0</v>
      </c>
    </row>
    <row r="21" spans="1:11" ht="14.25" thickTop="1" thickBot="1" x14ac:dyDescent="0.25">
      <c r="A21" s="2303" t="s">
        <v>627</v>
      </c>
      <c r="B21" s="2304"/>
      <c r="C21" s="1732">
        <f>SUM(C17:C20)</f>
        <v>0</v>
      </c>
      <c r="D21" s="1732">
        <f>SUM(D17:D20)</f>
        <v>0</v>
      </c>
      <c r="E21" s="1732">
        <f>SUM(E17:E20)</f>
        <v>0</v>
      </c>
      <c r="F21" s="1732">
        <f>SUM(F17:F20)</f>
        <v>0</v>
      </c>
      <c r="G21" s="473"/>
    </row>
    <row r="22" spans="1:11" ht="15.75" customHeight="1" thickTop="1" x14ac:dyDescent="0.2">
      <c r="A22" s="2305" t="s">
        <v>1102</v>
      </c>
      <c r="B22" s="2306"/>
      <c r="C22" s="2300"/>
      <c r="D22" s="2301"/>
      <c r="E22" s="2301"/>
      <c r="F22" s="2302"/>
    </row>
    <row r="23" spans="1:11" ht="13.5" thickBot="1" x14ac:dyDescent="0.25">
      <c r="A23" s="2307" t="s">
        <v>628</v>
      </c>
      <c r="B23" s="2308"/>
      <c r="C23" s="1656"/>
      <c r="D23" s="1656"/>
      <c r="E23" s="1656"/>
      <c r="F23" s="1732">
        <f>SUM(C23+D23)-E23</f>
        <v>0</v>
      </c>
      <c r="G23" s="473"/>
    </row>
    <row r="24" spans="1:11" ht="15.75" customHeight="1" thickTop="1" x14ac:dyDescent="0.2">
      <c r="A24" s="2305" t="s">
        <v>2002</v>
      </c>
      <c r="B24" s="2306"/>
      <c r="C24" s="2300"/>
      <c r="D24" s="2301"/>
      <c r="E24" s="2301"/>
      <c r="F24" s="2302"/>
    </row>
    <row r="25" spans="1:11" ht="13.5" thickBot="1" x14ac:dyDescent="0.25">
      <c r="A25" s="2307" t="s">
        <v>2003</v>
      </c>
      <c r="B25" s="2308"/>
      <c r="C25" s="1656"/>
      <c r="D25" s="1656"/>
      <c r="E25" s="1656"/>
      <c r="F25" s="1732">
        <f>SUM(C25+D25)-E25</f>
        <v>0</v>
      </c>
      <c r="G25" s="473"/>
    </row>
    <row r="26" spans="1:11" ht="15.75" customHeight="1" thickTop="1" x14ac:dyDescent="0.2">
      <c r="A26" s="2311" t="s">
        <v>651</v>
      </c>
      <c r="B26" s="2306"/>
      <c r="C26" s="589"/>
      <c r="D26" s="589"/>
      <c r="E26" s="589"/>
      <c r="F26" s="590"/>
    </row>
    <row r="27" spans="1:11" ht="13.5" thickBot="1" x14ac:dyDescent="0.25">
      <c r="A27" s="2303" t="s">
        <v>1060</v>
      </c>
      <c r="B27" s="2304"/>
      <c r="C27" s="1664"/>
      <c r="D27" s="1664"/>
      <c r="E27" s="1664"/>
      <c r="F27" s="1732">
        <f>SUM(C27+D27)-E27</f>
        <v>0</v>
      </c>
      <c r="G27" s="473"/>
    </row>
    <row r="28" spans="1:11" ht="7.5" customHeight="1" thickTop="1" x14ac:dyDescent="0.2">
      <c r="A28" s="489"/>
    </row>
    <row r="29" spans="1:11" ht="23.25" customHeight="1" x14ac:dyDescent="0.2">
      <c r="A29" s="2309" t="s">
        <v>577</v>
      </c>
      <c r="B29" s="2310"/>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2063</v>
      </c>
      <c r="B31" s="595">
        <v>38580</v>
      </c>
      <c r="C31" s="1734">
        <v>2210000</v>
      </c>
      <c r="D31" s="1735">
        <v>6</v>
      </c>
      <c r="E31" s="1734">
        <v>344430</v>
      </c>
      <c r="F31" s="1734"/>
      <c r="G31" s="1734"/>
      <c r="H31" s="1734">
        <v>114810</v>
      </c>
      <c r="I31" s="1736">
        <f>((E31+F31)-H31)+G31</f>
        <v>229620</v>
      </c>
      <c r="J31" s="1734">
        <v>114810</v>
      </c>
      <c r="K31" s="596"/>
    </row>
    <row r="32" spans="1:11" ht="12" customHeight="1" x14ac:dyDescent="0.2">
      <c r="A32" s="594" t="s">
        <v>2064</v>
      </c>
      <c r="B32" s="595">
        <v>40309</v>
      </c>
      <c r="C32" s="1734">
        <v>1050000</v>
      </c>
      <c r="D32" s="1735">
        <v>6</v>
      </c>
      <c r="E32" s="1734">
        <v>420000</v>
      </c>
      <c r="F32" s="1734"/>
      <c r="G32" s="1734"/>
      <c r="H32" s="1734">
        <v>70000</v>
      </c>
      <c r="I32" s="1736">
        <f>((E32+F32)-H32)+G32</f>
        <v>350000</v>
      </c>
      <c r="J32" s="1734">
        <v>74853</v>
      </c>
      <c r="K32" s="596"/>
    </row>
    <row r="33" spans="1:11" ht="12" customHeight="1" x14ac:dyDescent="0.2">
      <c r="A33" s="594" t="s">
        <v>2065</v>
      </c>
      <c r="B33" s="595">
        <v>42394</v>
      </c>
      <c r="C33" s="1734">
        <v>93696</v>
      </c>
      <c r="D33" s="1735">
        <v>7</v>
      </c>
      <c r="E33" s="1734">
        <v>17424</v>
      </c>
      <c r="F33" s="1734"/>
      <c r="G33" s="1734"/>
      <c r="H33" s="1734">
        <v>17424</v>
      </c>
      <c r="I33" s="1736">
        <f t="shared" ref="I33:I48" si="1">((E33+F33)-H33)+G33</f>
        <v>0</v>
      </c>
      <c r="J33" s="1734"/>
      <c r="K33" s="596"/>
    </row>
    <row r="34" spans="1:11" ht="12" customHeight="1" x14ac:dyDescent="0.2">
      <c r="A34" s="594" t="s">
        <v>2065</v>
      </c>
      <c r="B34" s="595">
        <v>42613</v>
      </c>
      <c r="C34" s="1734">
        <v>179778</v>
      </c>
      <c r="D34" s="1735">
        <v>7</v>
      </c>
      <c r="E34" s="1734">
        <v>93704</v>
      </c>
      <c r="F34" s="1734"/>
      <c r="G34" s="1734"/>
      <c r="H34" s="1734">
        <v>45860</v>
      </c>
      <c r="I34" s="1736">
        <f t="shared" si="1"/>
        <v>47844</v>
      </c>
      <c r="J34" s="1734">
        <v>47844</v>
      </c>
      <c r="K34" s="597"/>
    </row>
    <row r="35" spans="1:11" ht="12" customHeight="1" x14ac:dyDescent="0.2">
      <c r="A35" s="594" t="s">
        <v>2066</v>
      </c>
      <c r="B35" s="595">
        <v>42503</v>
      </c>
      <c r="C35" s="1737">
        <v>44559</v>
      </c>
      <c r="D35" s="1735">
        <v>8</v>
      </c>
      <c r="E35" s="1737">
        <v>19329</v>
      </c>
      <c r="F35" s="1737"/>
      <c r="G35" s="1737"/>
      <c r="H35" s="1737">
        <v>9394</v>
      </c>
      <c r="I35" s="1736">
        <f t="shared" si="1"/>
        <v>9935</v>
      </c>
      <c r="J35" s="1737">
        <v>9935</v>
      </c>
      <c r="K35" s="597"/>
    </row>
    <row r="36" spans="1:11" ht="12" customHeight="1" x14ac:dyDescent="0.2">
      <c r="A36" s="594" t="s">
        <v>2067</v>
      </c>
      <c r="B36" s="595">
        <v>42615</v>
      </c>
      <c r="C36" s="1734">
        <v>1710888</v>
      </c>
      <c r="D36" s="1735">
        <v>3</v>
      </c>
      <c r="E36" s="1734">
        <v>360000</v>
      </c>
      <c r="F36" s="1734"/>
      <c r="G36" s="1734"/>
      <c r="H36" s="1734">
        <v>360000</v>
      </c>
      <c r="I36" s="1736">
        <f t="shared" si="1"/>
        <v>0</v>
      </c>
      <c r="J36" s="1734"/>
      <c r="K36" s="598"/>
    </row>
    <row r="37" spans="1:11" ht="12" customHeight="1" x14ac:dyDescent="0.2">
      <c r="A37" s="594" t="s">
        <v>2068</v>
      </c>
      <c r="B37" s="595">
        <v>43516</v>
      </c>
      <c r="C37" s="1574">
        <v>950000</v>
      </c>
      <c r="D37" s="1738">
        <v>4</v>
      </c>
      <c r="E37" s="1574">
        <v>950000</v>
      </c>
      <c r="F37" s="1574"/>
      <c r="G37" s="1574"/>
      <c r="H37" s="1574">
        <v>270000</v>
      </c>
      <c r="I37" s="1736">
        <f t="shared" si="1"/>
        <v>680000</v>
      </c>
      <c r="J37" s="1574"/>
      <c r="K37" s="597"/>
    </row>
    <row r="38" spans="1:11" ht="12" customHeight="1" x14ac:dyDescent="0.2">
      <c r="A38" s="594" t="s">
        <v>2065</v>
      </c>
      <c r="B38" s="595">
        <v>43924</v>
      </c>
      <c r="C38" s="1734">
        <v>289665</v>
      </c>
      <c r="D38" s="1739">
        <v>7</v>
      </c>
      <c r="E38" s="1740"/>
      <c r="F38" s="1740">
        <v>289665</v>
      </c>
      <c r="G38" s="1740"/>
      <c r="H38" s="1740">
        <v>62347</v>
      </c>
      <c r="I38" s="1736">
        <f t="shared" si="1"/>
        <v>227318</v>
      </c>
      <c r="J38" s="1741">
        <v>227318</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6528586</v>
      </c>
      <c r="D49" s="1742"/>
      <c r="E49" s="1736">
        <f t="shared" ref="E49:J49" si="2">SUM(E31:E48)</f>
        <v>2204887</v>
      </c>
      <c r="F49" s="1736">
        <f t="shared" si="2"/>
        <v>289665</v>
      </c>
      <c r="G49" s="1736">
        <f t="shared" si="2"/>
        <v>0</v>
      </c>
      <c r="H49" s="1736">
        <f t="shared" si="2"/>
        <v>949835</v>
      </c>
      <c r="I49" s="1736">
        <f t="shared" si="2"/>
        <v>1544717</v>
      </c>
      <c r="J49" s="1736">
        <f t="shared" si="2"/>
        <v>474760</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292" t="s">
        <v>579</v>
      </c>
      <c r="C52" s="2293"/>
      <c r="D52" s="2293"/>
      <c r="E52" s="603" t="s">
        <v>839</v>
      </c>
      <c r="F52" s="2294" t="s">
        <v>2069</v>
      </c>
      <c r="G52" s="2295"/>
      <c r="H52" s="596"/>
      <c r="I52" s="596"/>
      <c r="J52" s="600"/>
    </row>
    <row r="53" spans="1:11" ht="11.25" customHeight="1" x14ac:dyDescent="0.2">
      <c r="A53" s="604" t="s">
        <v>906</v>
      </c>
      <c r="B53" s="605" t="s">
        <v>944</v>
      </c>
      <c r="C53" s="600"/>
      <c r="D53" s="597"/>
      <c r="E53" s="603" t="s">
        <v>493</v>
      </c>
      <c r="F53" s="2296" t="s">
        <v>2070</v>
      </c>
      <c r="G53" s="2297"/>
      <c r="H53" s="596"/>
      <c r="I53" s="596"/>
      <c r="J53" s="600"/>
    </row>
    <row r="54" spans="1:11" ht="11.25" customHeight="1" x14ac:dyDescent="0.2">
      <c r="A54" s="606" t="s">
        <v>907</v>
      </c>
      <c r="B54" s="601" t="s">
        <v>945</v>
      </c>
      <c r="C54" s="600"/>
      <c r="D54" s="597"/>
      <c r="E54" s="603" t="s">
        <v>494</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12" sqref="A12:E1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850</v>
      </c>
      <c r="B1" s="2322"/>
      <c r="C1" s="2322"/>
      <c r="D1" s="2322"/>
      <c r="E1" s="2322"/>
      <c r="F1" s="2322"/>
      <c r="G1" s="2323"/>
      <c r="H1" s="1298"/>
      <c r="I1" s="614"/>
      <c r="J1" s="400"/>
    </row>
    <row r="2" spans="1:11" ht="26.25" x14ac:dyDescent="0.2">
      <c r="A2" s="2340" t="s">
        <v>1657</v>
      </c>
      <c r="B2" s="2341"/>
      <c r="C2" s="2341"/>
      <c r="D2" s="2341"/>
      <c r="E2" s="2342"/>
      <c r="F2" s="615" t="s">
        <v>897</v>
      </c>
      <c r="G2" s="616" t="s">
        <v>1654</v>
      </c>
      <c r="H2" s="616" t="s">
        <v>406</v>
      </c>
      <c r="I2" s="616" t="s">
        <v>1147</v>
      </c>
      <c r="J2" s="616" t="s">
        <v>1785</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v>1173952</v>
      </c>
      <c r="K3" s="1745"/>
    </row>
    <row r="4" spans="1:11" x14ac:dyDescent="0.2">
      <c r="A4" s="2346" t="s">
        <v>365</v>
      </c>
      <c r="B4" s="2347"/>
      <c r="C4" s="2347"/>
      <c r="D4" s="2347"/>
      <c r="E4" s="2293"/>
      <c r="F4" s="620"/>
      <c r="G4" s="1746"/>
      <c r="H4" s="1747"/>
      <c r="I4" s="1746"/>
      <c r="J4" s="1748"/>
      <c r="K4" s="1748"/>
    </row>
    <row r="5" spans="1:11" x14ac:dyDescent="0.2">
      <c r="A5" s="2324" t="s">
        <v>1059</v>
      </c>
      <c r="B5" s="2325"/>
      <c r="C5" s="2325"/>
      <c r="D5" s="2325"/>
      <c r="E5" s="2326"/>
      <c r="F5" s="622" t="s">
        <v>842</v>
      </c>
      <c r="G5" s="1749"/>
      <c r="H5" s="1744">
        <v>24175</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v>5040</v>
      </c>
    </row>
    <row r="8" spans="1:11" x14ac:dyDescent="0.2">
      <c r="A8" s="629" t="s">
        <v>341</v>
      </c>
      <c r="B8" s="630"/>
      <c r="C8" s="630"/>
      <c r="D8" s="630"/>
      <c r="E8" s="631"/>
      <c r="F8" s="622" t="s">
        <v>845</v>
      </c>
      <c r="G8" s="1753"/>
      <c r="H8" s="1753"/>
      <c r="I8" s="1753"/>
      <c r="J8" s="1745">
        <v>490985</v>
      </c>
      <c r="K8" s="1748"/>
    </row>
    <row r="9" spans="1:11" x14ac:dyDescent="0.2">
      <c r="A9" s="629" t="s">
        <v>137</v>
      </c>
      <c r="B9" s="630"/>
      <c r="C9" s="630"/>
      <c r="D9" s="630"/>
      <c r="E9" s="631"/>
      <c r="F9" s="628" t="s">
        <v>847</v>
      </c>
      <c r="G9" s="1753"/>
      <c r="H9" s="1749"/>
      <c r="I9" s="1749"/>
      <c r="J9" s="1752"/>
      <c r="K9" s="1745">
        <v>14672</v>
      </c>
    </row>
    <row r="10" spans="1:11" x14ac:dyDescent="0.2">
      <c r="A10" s="2324" t="s">
        <v>1786</v>
      </c>
      <c r="B10" s="2325"/>
      <c r="C10" s="2325"/>
      <c r="D10" s="2325"/>
      <c r="E10" s="2327"/>
      <c r="F10" s="633" t="s">
        <v>856</v>
      </c>
      <c r="G10" s="1753"/>
      <c r="H10" s="1754"/>
      <c r="I10" s="1744"/>
      <c r="J10" s="1745"/>
      <c r="K10" s="1745"/>
    </row>
    <row r="11" spans="1:11" x14ac:dyDescent="0.2">
      <c r="A11" s="2324" t="s">
        <v>159</v>
      </c>
      <c r="B11" s="2325"/>
      <c r="C11" s="2325"/>
      <c r="D11" s="2325"/>
      <c r="E11" s="2326"/>
      <c r="F11" s="622" t="s">
        <v>846</v>
      </c>
      <c r="G11" s="1749"/>
      <c r="H11" s="1744"/>
      <c r="I11" s="1744"/>
      <c r="J11" s="1745"/>
      <c r="K11" s="1751"/>
    </row>
    <row r="12" spans="1:11" ht="13.5" thickBot="1" x14ac:dyDescent="0.25">
      <c r="A12" s="2351" t="s">
        <v>898</v>
      </c>
      <c r="B12" s="2352"/>
      <c r="C12" s="2352"/>
      <c r="D12" s="2352"/>
      <c r="E12" s="2353"/>
      <c r="F12" s="1433"/>
      <c r="G12" s="1755">
        <f>SUM(G5:G11)</f>
        <v>0</v>
      </c>
      <c r="H12" s="1755">
        <f>SUM(H5:H11)</f>
        <v>24175</v>
      </c>
      <c r="I12" s="1755">
        <f>SUM(I5:I11)</f>
        <v>0</v>
      </c>
      <c r="J12" s="1755">
        <f>SUM(J5:J11)</f>
        <v>490985</v>
      </c>
      <c r="K12" s="1755">
        <f>SUM(K5:K11)</f>
        <v>19712</v>
      </c>
    </row>
    <row r="13" spans="1:11" ht="13.5" thickTop="1" x14ac:dyDescent="0.2">
      <c r="A13" s="2348" t="s">
        <v>366</v>
      </c>
      <c r="B13" s="2349"/>
      <c r="C13" s="2349"/>
      <c r="D13" s="2349"/>
      <c r="E13" s="2350"/>
      <c r="F13" s="634"/>
      <c r="G13" s="1756"/>
      <c r="H13" s="1757"/>
      <c r="I13" s="1758"/>
      <c r="J13" s="1758"/>
      <c r="K13" s="1758"/>
    </row>
    <row r="14" spans="1:11" x14ac:dyDescent="0.2">
      <c r="A14" s="2331" t="s">
        <v>452</v>
      </c>
      <c r="B14" s="2331"/>
      <c r="C14" s="2331"/>
      <c r="D14" s="2331"/>
      <c r="E14" s="2332"/>
      <c r="F14" s="635" t="s">
        <v>848</v>
      </c>
      <c r="G14" s="1753"/>
      <c r="H14" s="1744">
        <v>24175</v>
      </c>
      <c r="I14" s="1749"/>
      <c r="J14" s="1751"/>
      <c r="K14" s="1745">
        <v>19712</v>
      </c>
    </row>
    <row r="15" spans="1:11" x14ac:dyDescent="0.2">
      <c r="A15" s="2325" t="s">
        <v>4</v>
      </c>
      <c r="B15" s="2325"/>
      <c r="C15" s="2325"/>
      <c r="D15" s="2325"/>
      <c r="E15" s="2326"/>
      <c r="F15" s="635" t="s">
        <v>849</v>
      </c>
      <c r="G15" s="1749"/>
      <c r="H15" s="1744"/>
      <c r="I15" s="1744"/>
      <c r="J15" s="1745"/>
      <c r="K15" s="1745"/>
    </row>
    <row r="16" spans="1:11" x14ac:dyDescent="0.2">
      <c r="A16" s="2325" t="s">
        <v>294</v>
      </c>
      <c r="B16" s="2325"/>
      <c r="C16" s="2325"/>
      <c r="D16" s="2325"/>
      <c r="E16" s="2326"/>
      <c r="F16" s="635" t="s">
        <v>916</v>
      </c>
      <c r="G16" s="1750"/>
      <c r="H16" s="1746"/>
      <c r="I16" s="1746"/>
      <c r="J16" s="1748"/>
      <c r="K16" s="1748"/>
    </row>
    <row r="17" spans="1:15" x14ac:dyDescent="0.2">
      <c r="A17" s="2358" t="s">
        <v>928</v>
      </c>
      <c r="B17" s="2358"/>
      <c r="C17" s="2358"/>
      <c r="D17" s="2358"/>
      <c r="E17" s="2359"/>
      <c r="F17" s="636"/>
      <c r="G17" s="1759"/>
      <c r="H17" s="1760"/>
      <c r="I17" s="1760"/>
      <c r="J17" s="1761"/>
      <c r="K17" s="1762"/>
    </row>
    <row r="18" spans="1:15" x14ac:dyDescent="0.2">
      <c r="A18" s="2335" t="s">
        <v>364</v>
      </c>
      <c r="B18" s="2336"/>
      <c r="C18" s="2336"/>
      <c r="D18" s="2336"/>
      <c r="E18" s="2337"/>
      <c r="F18" s="635" t="s">
        <v>925</v>
      </c>
      <c r="G18" s="1753"/>
      <c r="H18" s="1753"/>
      <c r="I18" s="1753"/>
      <c r="J18" s="1745">
        <v>594980</v>
      </c>
      <c r="K18" s="1763"/>
    </row>
    <row r="19" spans="1:15" ht="21.75" customHeight="1" x14ac:dyDescent="0.2">
      <c r="A19" s="2333" t="s">
        <v>1782</v>
      </c>
      <c r="B19" s="2333"/>
      <c r="C19" s="2333"/>
      <c r="D19" s="2333"/>
      <c r="E19" s="2334"/>
      <c r="F19" s="635" t="s">
        <v>926</v>
      </c>
      <c r="G19" s="1753"/>
      <c r="H19" s="1753"/>
      <c r="I19" s="1753"/>
      <c r="J19" s="1745"/>
      <c r="K19" s="1763"/>
    </row>
    <row r="20" spans="1:15" x14ac:dyDescent="0.2">
      <c r="A20" s="2335" t="s">
        <v>1787</v>
      </c>
      <c r="B20" s="2336"/>
      <c r="C20" s="2336"/>
      <c r="D20" s="2336"/>
      <c r="E20" s="2337"/>
      <c r="F20" s="635" t="s">
        <v>927</v>
      </c>
      <c r="G20" s="1753"/>
      <c r="H20" s="1753"/>
      <c r="I20" s="1753"/>
      <c r="J20" s="1745"/>
      <c r="K20" s="1763"/>
    </row>
    <row r="21" spans="1:15" ht="13.5" thickBot="1" x14ac:dyDescent="0.25">
      <c r="A21" s="2354" t="s">
        <v>632</v>
      </c>
      <c r="B21" s="2354"/>
      <c r="C21" s="2354"/>
      <c r="D21" s="2354"/>
      <c r="E21" s="2354"/>
      <c r="F21" s="1434"/>
      <c r="G21" s="1760"/>
      <c r="H21" s="1764"/>
      <c r="I21" s="1764"/>
      <c r="J21" s="1765">
        <f>SUM(J18:J20)</f>
        <v>594980</v>
      </c>
      <c r="K21" s="1761"/>
    </row>
    <row r="22" spans="1:15" ht="13.5" thickTop="1" x14ac:dyDescent="0.2">
      <c r="A22" s="2325" t="s">
        <v>1788</v>
      </c>
      <c r="B22" s="2325"/>
      <c r="C22" s="2325"/>
      <c r="D22" s="2325"/>
      <c r="E22" s="2326"/>
      <c r="F22" s="635" t="s">
        <v>856</v>
      </c>
      <c r="G22" s="1753"/>
      <c r="H22" s="1744"/>
      <c r="I22" s="1744"/>
      <c r="J22" s="1766"/>
      <c r="K22" s="1745"/>
    </row>
    <row r="23" spans="1:15" ht="13.5" thickBot="1" x14ac:dyDescent="0.25">
      <c r="A23" s="2355" t="s">
        <v>899</v>
      </c>
      <c r="B23" s="2354"/>
      <c r="C23" s="2354"/>
      <c r="D23" s="2354"/>
      <c r="E23" s="2354"/>
      <c r="F23" s="1436"/>
      <c r="G23" s="1755">
        <f>SUM(G14:G16,G21,G22)</f>
        <v>0</v>
      </c>
      <c r="H23" s="1755">
        <f>SUM(H14:H16,H21,H22)</f>
        <v>24175</v>
      </c>
      <c r="I23" s="1755">
        <f>SUM(I14:I16,I21,I22)</f>
        <v>0</v>
      </c>
      <c r="J23" s="1755">
        <f>SUM(J14:J16,J21,J22)</f>
        <v>594980</v>
      </c>
      <c r="K23" s="1755">
        <f>SUM(K14:K16,K21,K22)</f>
        <v>19712</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1069957</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1069957</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8"/>
      <c r="I31" s="2329"/>
      <c r="J31" s="2329"/>
      <c r="K31" s="2329"/>
    </row>
    <row r="32" spans="1:15" x14ac:dyDescent="0.2">
      <c r="A32" s="649"/>
      <c r="B32" s="232"/>
      <c r="C32" s="232"/>
      <c r="D32" s="232"/>
      <c r="E32" s="645"/>
      <c r="F32" s="651" t="s">
        <v>536</v>
      </c>
      <c r="G32" s="618"/>
      <c r="H32" s="2330"/>
      <c r="I32" s="2329"/>
      <c r="J32" s="2329"/>
      <c r="K32" s="2329"/>
    </row>
    <row r="33" spans="1:11" ht="1.5" customHeight="1" x14ac:dyDescent="0.2">
      <c r="A33" s="652" t="s">
        <v>1158</v>
      </c>
      <c r="B33" s="341"/>
      <c r="C33" s="341"/>
      <c r="D33" s="341"/>
      <c r="E33" s="341"/>
      <c r="F33" s="341"/>
      <c r="G33" s="653"/>
      <c r="H33" s="2330"/>
      <c r="I33" s="2329"/>
      <c r="J33" s="2329"/>
      <c r="K33" s="2329"/>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5" t="s">
        <v>537</v>
      </c>
      <c r="B41" s="2338"/>
      <c r="C41" s="2338"/>
      <c r="D41" s="2338"/>
      <c r="E41" s="2338"/>
      <c r="F41" s="233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2" sqref="E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1871</v>
      </c>
      <c r="B1" s="2363"/>
      <c r="C1" s="2364"/>
      <c r="D1" s="666"/>
      <c r="E1" s="667"/>
      <c r="F1" s="667"/>
      <c r="G1" s="668"/>
      <c r="H1" s="669"/>
      <c r="I1" s="670"/>
      <c r="J1" s="2360"/>
      <c r="K1" s="2361"/>
      <c r="L1" s="2361"/>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142942</v>
      </c>
      <c r="D5" s="1770"/>
      <c r="E5" s="1770"/>
      <c r="F5" s="1765">
        <f>(C5+D5)-E5</f>
        <v>142942</v>
      </c>
      <c r="G5" s="676"/>
      <c r="H5" s="680"/>
      <c r="I5" s="680"/>
      <c r="J5" s="680"/>
      <c r="K5" s="637"/>
      <c r="L5" s="1442">
        <f>F5-K5</f>
        <v>142942</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33189859</v>
      </c>
      <c r="D8" s="1771">
        <v>204090</v>
      </c>
      <c r="E8" s="1771"/>
      <c r="F8" s="1765">
        <f>(C8+D8)-E8</f>
        <v>33393949</v>
      </c>
      <c r="G8" s="681">
        <v>50</v>
      </c>
      <c r="H8" s="619">
        <v>12589606</v>
      </c>
      <c r="I8" s="619">
        <v>620162</v>
      </c>
      <c r="J8" s="619"/>
      <c r="K8" s="1442">
        <f>(H8+I8)-J8</f>
        <v>13209768</v>
      </c>
      <c r="L8" s="1442">
        <f>F8-K8</f>
        <v>20184181</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200339</v>
      </c>
      <c r="D10" s="1772">
        <v>78989</v>
      </c>
      <c r="E10" s="1772"/>
      <c r="F10" s="1773">
        <f>(C10+D10)-E10</f>
        <v>279328</v>
      </c>
      <c r="G10" s="681">
        <v>20</v>
      </c>
      <c r="H10" s="683">
        <v>81411</v>
      </c>
      <c r="I10" s="683">
        <v>10996</v>
      </c>
      <c r="J10" s="683"/>
      <c r="K10" s="1442">
        <f>(H10+I10)-J10</f>
        <v>92407</v>
      </c>
      <c r="L10" s="1442">
        <f>F10-K10</f>
        <v>186921</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1400200</v>
      </c>
      <c r="D12" s="1771">
        <v>257704</v>
      </c>
      <c r="E12" s="1771"/>
      <c r="F12" s="1765">
        <f>(C12+D12)-E12</f>
        <v>1657904</v>
      </c>
      <c r="G12" s="681">
        <v>10</v>
      </c>
      <c r="H12" s="619">
        <v>834452</v>
      </c>
      <c r="I12" s="619">
        <v>150661</v>
      </c>
      <c r="J12" s="619"/>
      <c r="K12" s="1442">
        <f>(H12+I12)-J12</f>
        <v>985113</v>
      </c>
      <c r="L12" s="1442">
        <f>F12-K12</f>
        <v>672791</v>
      </c>
    </row>
    <row r="13" spans="1:14" ht="14.25" thickTop="1" thickBot="1" x14ac:dyDescent="0.25">
      <c r="A13" s="684" t="s">
        <v>1111</v>
      </c>
      <c r="B13" s="679">
        <v>252</v>
      </c>
      <c r="C13" s="1771">
        <v>827281</v>
      </c>
      <c r="D13" s="1771">
        <v>103734</v>
      </c>
      <c r="E13" s="1771">
        <v>255053</v>
      </c>
      <c r="F13" s="1765">
        <f>(C13+D13)-E13</f>
        <v>675962</v>
      </c>
      <c r="G13" s="681">
        <v>5</v>
      </c>
      <c r="H13" s="619">
        <v>679287</v>
      </c>
      <c r="I13" s="619">
        <v>98091</v>
      </c>
      <c r="J13" s="619">
        <v>245560</v>
      </c>
      <c r="K13" s="1442">
        <f>(H13+I13)-J13</f>
        <v>531818</v>
      </c>
      <c r="L13" s="1442">
        <f>F13-K13</f>
        <v>144144</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35760621</v>
      </c>
      <c r="D16" s="1765">
        <f>SUM(D3,D5:D6,D8:D10,D12:D15)</f>
        <v>644517</v>
      </c>
      <c r="E16" s="1765">
        <f>SUM(E3,E5:E6,E8:E10,E12:E15)</f>
        <v>255053</v>
      </c>
      <c r="F16" s="1765">
        <f>SUM(F3,F5:F6,F8:F10,F12:F15)</f>
        <v>36150085</v>
      </c>
      <c r="G16" s="681"/>
      <c r="H16" s="1435">
        <f>SUM(H3,H6,H8:H10,H12:H14,)</f>
        <v>14184756</v>
      </c>
      <c r="I16" s="1435">
        <f>SUM(I3,I6,I8:I10,I12:I14,)</f>
        <v>879910</v>
      </c>
      <c r="J16" s="1435">
        <f>SUM(J3,J6,J8:J10,J12:J14,)</f>
        <v>245560</v>
      </c>
      <c r="K16" s="1435">
        <f>(H16+I16)-J16</f>
        <v>14819106</v>
      </c>
      <c r="L16" s="1435">
        <f>F16-K16</f>
        <v>21330979</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879910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E12" sqref="E1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473</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4"/>
      <c r="B5" s="2375"/>
      <c r="C5" s="2375"/>
      <c r="D5" s="2375"/>
      <c r="E5" s="2375"/>
      <c r="F5" s="2375"/>
    </row>
    <row r="6" spans="1:9" ht="13.5" customHeight="1" thickBot="1" x14ac:dyDescent="0.25">
      <c r="A6" s="2365" t="s">
        <v>1094</v>
      </c>
      <c r="B6" s="2366"/>
      <c r="C6" s="2366"/>
      <c r="D6" s="2366"/>
      <c r="E6" s="2366"/>
      <c r="F6" s="2367"/>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12197958</v>
      </c>
      <c r="G8" s="701"/>
    </row>
    <row r="9" spans="1:9" x14ac:dyDescent="0.2">
      <c r="A9" s="705" t="s">
        <v>456</v>
      </c>
      <c r="B9" s="706" t="s">
        <v>1844</v>
      </c>
      <c r="C9" s="707"/>
      <c r="D9" s="705" t="s">
        <v>497</v>
      </c>
      <c r="E9" s="704"/>
      <c r="F9" s="1775">
        <f>'Expenditures 15-22'!K151</f>
        <v>532643</v>
      </c>
      <c r="G9" s="708"/>
    </row>
    <row r="10" spans="1:9" x14ac:dyDescent="0.2">
      <c r="A10" s="705" t="s">
        <v>495</v>
      </c>
      <c r="B10" s="706" t="s">
        <v>1845</v>
      </c>
      <c r="C10" s="707"/>
      <c r="D10" s="705" t="s">
        <v>497</v>
      </c>
      <c r="E10" s="704"/>
      <c r="F10" s="1775">
        <f>'Expenditures 15-22'!K174</f>
        <v>896846</v>
      </c>
      <c r="G10" s="708"/>
    </row>
    <row r="11" spans="1:9" x14ac:dyDescent="0.2">
      <c r="A11" s="705" t="s">
        <v>457</v>
      </c>
      <c r="B11" s="706" t="s">
        <v>1846</v>
      </c>
      <c r="C11" s="707"/>
      <c r="D11" s="705" t="s">
        <v>497</v>
      </c>
      <c r="E11" s="704"/>
      <c r="F11" s="1775">
        <f>'Expenditures 15-22'!K210</f>
        <v>458242</v>
      </c>
      <c r="G11" s="708"/>
    </row>
    <row r="12" spans="1:9" x14ac:dyDescent="0.2">
      <c r="A12" s="705" t="s">
        <v>458</v>
      </c>
      <c r="B12" s="706" t="s">
        <v>1847</v>
      </c>
      <c r="C12" s="707"/>
      <c r="D12" s="705" t="s">
        <v>497</v>
      </c>
      <c r="E12" s="704"/>
      <c r="F12" s="1775">
        <f>'Expenditures 15-22'!K295</f>
        <v>449743</v>
      </c>
      <c r="G12" s="708"/>
    </row>
    <row r="13" spans="1:9" x14ac:dyDescent="0.2">
      <c r="A13" s="705" t="s">
        <v>106</v>
      </c>
      <c r="B13" s="706" t="s">
        <v>1848</v>
      </c>
      <c r="C13" s="707"/>
      <c r="D13" s="705" t="s">
        <v>497</v>
      </c>
      <c r="E13" s="704"/>
      <c r="F13" s="1775">
        <f>'Expenditures 15-22'!K342</f>
        <v>294028</v>
      </c>
      <c r="G13" s="709"/>
    </row>
    <row r="14" spans="1:9" ht="12" customHeight="1" thickBot="1" x14ac:dyDescent="0.25">
      <c r="A14" s="1443"/>
      <c r="B14" s="1444"/>
      <c r="C14" s="1445"/>
      <c r="D14" s="1446" t="s">
        <v>497</v>
      </c>
      <c r="E14" s="1447" t="s">
        <v>951</v>
      </c>
      <c r="F14" s="1776">
        <f>SUM(F8:F13)</f>
        <v>14829460</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83">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1905</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307657</v>
      </c>
      <c r="G52" s="701"/>
    </row>
    <row r="53" spans="1:7" x14ac:dyDescent="0.2">
      <c r="A53" s="705" t="s">
        <v>455</v>
      </c>
      <c r="B53" s="705" t="s">
        <v>1457</v>
      </c>
      <c r="C53" s="724">
        <f>'Expenditures 15-22'!B102</f>
        <v>4000</v>
      </c>
      <c r="D53" s="723" t="str">
        <f>'Expenditures 15-22'!A102</f>
        <v>Total Payments to Other Govt Units</v>
      </c>
      <c r="E53" s="704"/>
      <c r="F53" s="1782">
        <f>'Expenditures 15-22'!K102</f>
        <v>630468</v>
      </c>
      <c r="G53" s="701"/>
    </row>
    <row r="54" spans="1:7" x14ac:dyDescent="0.2">
      <c r="A54" s="705" t="s">
        <v>455</v>
      </c>
      <c r="B54" s="705" t="s">
        <v>1458</v>
      </c>
      <c r="C54" s="724" t="s">
        <v>974</v>
      </c>
      <c r="D54" s="720" t="s">
        <v>1085</v>
      </c>
      <c r="E54" s="704"/>
      <c r="F54" s="1782">
        <f>'Expenditures 15-22'!G114</f>
        <v>155925</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2">
        <f>'Expenditures 15-22'!K139</f>
        <v>0</v>
      </c>
      <c r="G57" s="701"/>
    </row>
    <row r="58" spans="1:7" x14ac:dyDescent="0.2">
      <c r="A58" s="705" t="s">
        <v>456</v>
      </c>
      <c r="B58" s="705" t="s">
        <v>1850</v>
      </c>
      <c r="C58" s="721" t="s">
        <v>974</v>
      </c>
      <c r="D58" s="720" t="s">
        <v>1085</v>
      </c>
      <c r="E58" s="704"/>
      <c r="F58" s="1784">
        <f>'Expenditures 15-22'!G151</f>
        <v>195790</v>
      </c>
      <c r="G58" s="701"/>
    </row>
    <row r="59" spans="1:7" x14ac:dyDescent="0.2">
      <c r="A59" s="728" t="s">
        <v>456</v>
      </c>
      <c r="B59" s="692" t="s">
        <v>1851</v>
      </c>
      <c r="C59" s="729" t="s">
        <v>974</v>
      </c>
      <c r="D59" s="692" t="s">
        <v>287</v>
      </c>
      <c r="F59" s="1785">
        <f>'Expenditures 15-22'!I151</f>
        <v>0</v>
      </c>
      <c r="G59" s="701"/>
    </row>
    <row r="60" spans="1:7" x14ac:dyDescent="0.2">
      <c r="A60" s="728" t="s">
        <v>495</v>
      </c>
      <c r="B60" s="692" t="s">
        <v>1852</v>
      </c>
      <c r="C60" s="729">
        <v>4000</v>
      </c>
      <c r="D60" s="692" t="s">
        <v>308</v>
      </c>
      <c r="F60" s="1783">
        <f>'Expenditures 15-22'!K160</f>
        <v>0</v>
      </c>
      <c r="G60" s="701"/>
    </row>
    <row r="61" spans="1:7" x14ac:dyDescent="0.2">
      <c r="A61" s="730" t="s">
        <v>495</v>
      </c>
      <c r="B61" s="730" t="s">
        <v>1853</v>
      </c>
      <c r="C61" s="731" t="str">
        <f>'Expenditures 15-22'!B170</f>
        <v>5300</v>
      </c>
      <c r="D61" s="732" t="s">
        <v>307</v>
      </c>
      <c r="E61" s="715"/>
      <c r="F61" s="1782">
        <f>'Expenditures 15-22'!K170</f>
        <v>814810</v>
      </c>
      <c r="G61" s="701"/>
    </row>
    <row r="62" spans="1:7" x14ac:dyDescent="0.2">
      <c r="A62" s="705" t="s">
        <v>457</v>
      </c>
      <c r="B62" s="705" t="s">
        <v>1854</v>
      </c>
      <c r="C62" s="721">
        <f>'Expenditures 15-22'!B185</f>
        <v>3000</v>
      </c>
      <c r="D62" s="712" t="s">
        <v>445</v>
      </c>
      <c r="E62" s="704"/>
      <c r="F62" s="1782">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1856</v>
      </c>
      <c r="C64" s="731" t="str">
        <f>'Expenditures 15-22'!B206</f>
        <v>5300</v>
      </c>
      <c r="D64" s="727" t="s">
        <v>307</v>
      </c>
      <c r="E64" s="704"/>
      <c r="F64" s="1782">
        <f>'Expenditures 15-22'!K206</f>
        <v>63284</v>
      </c>
      <c r="G64" s="701"/>
    </row>
    <row r="65" spans="1:9" x14ac:dyDescent="0.2">
      <c r="A65" s="705" t="s">
        <v>457</v>
      </c>
      <c r="B65" s="705" t="s">
        <v>1857</v>
      </c>
      <c r="C65" s="721" t="s">
        <v>974</v>
      </c>
      <c r="D65" s="720" t="s">
        <v>1085</v>
      </c>
      <c r="E65" s="704"/>
      <c r="F65" s="1782">
        <f>'Expenditures 15-22'!G210</f>
        <v>103734</v>
      </c>
      <c r="G65" s="701"/>
    </row>
    <row r="66" spans="1:9" x14ac:dyDescent="0.2">
      <c r="A66" s="705" t="s">
        <v>457</v>
      </c>
      <c r="B66" s="705" t="s">
        <v>1858</v>
      </c>
      <c r="C66" s="721" t="s">
        <v>974</v>
      </c>
      <c r="D66" s="720" t="s">
        <v>287</v>
      </c>
      <c r="E66" s="704"/>
      <c r="F66" s="1782">
        <f>'Expenditures 15-22'!I210</f>
        <v>0</v>
      </c>
      <c r="G66" s="701"/>
    </row>
    <row r="67" spans="1:9" x14ac:dyDescent="0.2">
      <c r="A67" s="705" t="s">
        <v>458</v>
      </c>
      <c r="B67" s="705" t="s">
        <v>1859</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1861</v>
      </c>
      <c r="C70" s="721">
        <f>'Expenditures 15-22'!B221</f>
        <v>1300</v>
      </c>
      <c r="D70" s="722" t="str">
        <f>'Expenditures 15-22'!A221</f>
        <v>Adult/Continuing Education Programs</v>
      </c>
      <c r="E70" s="704"/>
      <c r="F70" s="1782">
        <f>'Expenditures 15-22'!K221</f>
        <v>0</v>
      </c>
      <c r="G70" s="701"/>
    </row>
    <row r="71" spans="1:9" x14ac:dyDescent="0.2">
      <c r="A71" s="705" t="s">
        <v>458</v>
      </c>
      <c r="B71" s="705" t="s">
        <v>1862</v>
      </c>
      <c r="C71" s="721">
        <f>'Expenditures 15-22'!B224</f>
        <v>1600</v>
      </c>
      <c r="D71" s="722" t="str">
        <f>'Expenditures 15-22'!A224</f>
        <v>Summer School Programs</v>
      </c>
      <c r="E71" s="704"/>
      <c r="F71" s="1782">
        <f>'Expenditures 15-22'!K224</f>
        <v>0</v>
      </c>
      <c r="G71" s="701"/>
    </row>
    <row r="72" spans="1:9" x14ac:dyDescent="0.2">
      <c r="A72" s="705" t="s">
        <v>458</v>
      </c>
      <c r="B72" s="705" t="s">
        <v>1863</v>
      </c>
      <c r="C72" s="721">
        <f>'Expenditures 15-22'!B280</f>
        <v>3000</v>
      </c>
      <c r="D72" s="712" t="s">
        <v>445</v>
      </c>
      <c r="E72" s="704"/>
      <c r="F72" s="1782">
        <f>'Expenditures 15-22'!K280</f>
        <v>31324</v>
      </c>
      <c r="G72" s="701"/>
    </row>
    <row r="73" spans="1:9" x14ac:dyDescent="0.2">
      <c r="A73" s="705" t="s">
        <v>458</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1865</v>
      </c>
      <c r="C74" s="721" t="s">
        <v>854</v>
      </c>
      <c r="D74" s="722" t="s">
        <v>1469</v>
      </c>
      <c r="E74" s="704"/>
      <c r="F74" s="1786">
        <f>'Expenditures 15-22'!K334</f>
        <v>0</v>
      </c>
      <c r="G74" s="701"/>
    </row>
    <row r="75" spans="1:9" x14ac:dyDescent="0.2">
      <c r="A75" s="705" t="s">
        <v>2004</v>
      </c>
      <c r="B75" s="705" t="s">
        <v>2005</v>
      </c>
      <c r="C75" s="721" t="s">
        <v>974</v>
      </c>
      <c r="D75" s="722" t="s">
        <v>1085</v>
      </c>
      <c r="E75" s="704"/>
      <c r="F75" s="1786">
        <f>'Expenditures 15-22'!G342</f>
        <v>5100</v>
      </c>
      <c r="G75" s="701"/>
    </row>
    <row r="76" spans="1:9" ht="10.5" customHeight="1" x14ac:dyDescent="0.2">
      <c r="A76" s="701" t="s">
        <v>432</v>
      </c>
      <c r="B76" s="705" t="s">
        <v>2006</v>
      </c>
      <c r="C76" s="711" t="s">
        <v>974</v>
      </c>
      <c r="D76" s="701" t="s">
        <v>287</v>
      </c>
      <c r="E76" s="704"/>
      <c r="F76" s="1786">
        <f>'Expenditures 15-22'!I342</f>
        <v>0</v>
      </c>
      <c r="G76" s="703"/>
    </row>
    <row r="77" spans="1:9" ht="12" thickBot="1" x14ac:dyDescent="0.25">
      <c r="A77" s="1443"/>
      <c r="B77" s="1448"/>
      <c r="C77" s="1445"/>
      <c r="D77" s="1449" t="s">
        <v>2007</v>
      </c>
      <c r="E77" s="1447" t="s">
        <v>951</v>
      </c>
      <c r="F77" s="1787">
        <f>SUM(F18:F76)</f>
        <v>2308092</v>
      </c>
      <c r="G77" s="701"/>
    </row>
    <row r="78" spans="1:9" s="728" customFormat="1" ht="12" customHeight="1" thickTop="1" thickBot="1" x14ac:dyDescent="0.25">
      <c r="A78" s="1450"/>
      <c r="B78" s="1448"/>
      <c r="C78" s="1445"/>
      <c r="D78" s="1449" t="s">
        <v>2008</v>
      </c>
      <c r="E78" s="1447"/>
      <c r="F78" s="1788">
        <f>(F14-F77)</f>
        <v>12521368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1528</v>
      </c>
      <c r="G79" s="733"/>
      <c r="H79" s="705"/>
      <c r="I79" s="705"/>
    </row>
    <row r="80" spans="1:9" s="728" customFormat="1" ht="12" customHeight="1" thickBot="1" x14ac:dyDescent="0.25">
      <c r="A80" s="1452"/>
      <c r="B80" s="1448"/>
      <c r="C80" s="1445"/>
      <c r="D80" s="1449" t="s">
        <v>2009</v>
      </c>
      <c r="E80" s="1447" t="s">
        <v>951</v>
      </c>
      <c r="F80" s="1790">
        <f>IF(F79&gt;0,F78/F79," Complete Line 79")</f>
        <v>8194.6125654450261</v>
      </c>
      <c r="G80" s="705"/>
    </row>
    <row r="81" spans="1:7" s="728" customFormat="1" ht="8.25" customHeight="1" thickTop="1" x14ac:dyDescent="0.2">
      <c r="A81" s="734"/>
      <c r="B81" s="705"/>
      <c r="C81" s="707"/>
      <c r="D81" s="735"/>
      <c r="E81" s="704"/>
      <c r="F81" s="1791"/>
      <c r="G81" s="705"/>
    </row>
    <row r="82" spans="1:7" s="728" customFormat="1" ht="12" thickBot="1" x14ac:dyDescent="0.25">
      <c r="A82" s="2365" t="s">
        <v>1095</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1070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57439</v>
      </c>
      <c r="G95" s="745"/>
    </row>
    <row r="96" spans="1:7" x14ac:dyDescent="0.2">
      <c r="A96" s="741" t="s">
        <v>139</v>
      </c>
      <c r="B96" s="741" t="s">
        <v>174</v>
      </c>
      <c r="C96" s="743">
        <v>1700</v>
      </c>
      <c r="D96" s="751" t="str">
        <f>'Revenues 9-14'!A82</f>
        <v>Total District/School Activity Income</v>
      </c>
      <c r="E96" s="739"/>
      <c r="F96" s="1793">
        <f>SUM('Revenues 9-14'!C82,'Revenues 9-14'!D82)</f>
        <v>25850</v>
      </c>
      <c r="G96" s="745"/>
    </row>
    <row r="97" spans="1:7" x14ac:dyDescent="0.2">
      <c r="A97" s="741" t="s">
        <v>455</v>
      </c>
      <c r="B97" s="741" t="s">
        <v>175</v>
      </c>
      <c r="C97" s="743">
        <f>'Revenues 9-14'!B84</f>
        <v>1811</v>
      </c>
      <c r="D97" s="744" t="str">
        <f>'Revenues 9-14'!A84</f>
        <v>Rentals - Regular Textbooks</v>
      </c>
      <c r="E97" s="739"/>
      <c r="F97" s="1793">
        <f>'Revenues 9-14'!C84</f>
        <v>24948</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99</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7405</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17735</v>
      </c>
      <c r="G105" s="745"/>
    </row>
    <row r="106" spans="1:7" x14ac:dyDescent="0.2">
      <c r="A106" s="741" t="s">
        <v>499</v>
      </c>
      <c r="B106" s="741" t="s">
        <v>1906</v>
      </c>
      <c r="C106" s="746">
        <v>3100</v>
      </c>
      <c r="D106" s="752" t="str">
        <f>'Revenues 9-14'!A132</f>
        <v>Total Special Education</v>
      </c>
      <c r="E106" s="739"/>
      <c r="F106" s="1793">
        <f>SUM('Revenues 9-14'!C132:D132,'Revenues 9-14'!F132)</f>
        <v>218909</v>
      </c>
      <c r="G106" s="745"/>
    </row>
    <row r="107" spans="1:7" x14ac:dyDescent="0.2">
      <c r="A107" s="741" t="s">
        <v>667</v>
      </c>
      <c r="B107" s="741" t="s">
        <v>1907</v>
      </c>
      <c r="C107" s="753">
        <v>3200</v>
      </c>
      <c r="D107" s="744" t="str">
        <f>'Revenues 9-14'!A141</f>
        <v>Total Career and Technical Education</v>
      </c>
      <c r="E107" s="739"/>
      <c r="F107" s="1793">
        <f>SUM('Revenues 9-14'!C141,'Revenues 9-14'!D141,'Revenues 9-14'!G141)</f>
        <v>2470</v>
      </c>
      <c r="G107" s="745"/>
    </row>
    <row r="108" spans="1:7" x14ac:dyDescent="0.2">
      <c r="A108" s="754" t="s">
        <v>658</v>
      </c>
      <c r="B108" s="741" t="s">
        <v>1908</v>
      </c>
      <c r="C108" s="753">
        <v>3300</v>
      </c>
      <c r="D108" s="744" t="str">
        <f>'Revenues 9-14'!A145</f>
        <v>Total Bilingual Ed</v>
      </c>
      <c r="E108" s="739"/>
      <c r="F108" s="1793">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93">
        <f>'Revenues 9-14'!C146</f>
        <v>10436</v>
      </c>
      <c r="G109" s="745"/>
    </row>
    <row r="110" spans="1:7" x14ac:dyDescent="0.2">
      <c r="A110" s="741" t="s">
        <v>667</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14672</v>
      </c>
      <c r="G111" s="745"/>
    </row>
    <row r="112" spans="1:7" x14ac:dyDescent="0.2">
      <c r="A112" s="741" t="s">
        <v>662</v>
      </c>
      <c r="B112" s="741" t="s">
        <v>1912</v>
      </c>
      <c r="C112" s="755">
        <v>3500</v>
      </c>
      <c r="D112" s="744" t="str">
        <f>'Revenues 9-14'!A155</f>
        <v>Total Transportation</v>
      </c>
      <c r="E112" s="739"/>
      <c r="F112" s="1793">
        <f>SUM('Revenues 9-14'!C155,'Revenues 9-14'!D155,'Revenues 9-14'!F155,'Revenues 9-14'!G155)</f>
        <v>190486</v>
      </c>
      <c r="G112" s="745"/>
    </row>
    <row r="113" spans="1:7" x14ac:dyDescent="0.2">
      <c r="A113" s="741" t="s">
        <v>455</v>
      </c>
      <c r="B113" s="741" t="s">
        <v>1913</v>
      </c>
      <c r="C113" s="753">
        <f>'Revenues 9-14'!B156</f>
        <v>3610</v>
      </c>
      <c r="D113" s="744" t="str">
        <f>'Revenues 9-14'!A156</f>
        <v>Learning Improvement - Change Grants</v>
      </c>
      <c r="E113" s="739"/>
      <c r="F113" s="1793">
        <f>'Revenues 9-14'!C156</f>
        <v>0</v>
      </c>
      <c r="G113" s="745"/>
    </row>
    <row r="114" spans="1:7" x14ac:dyDescent="0.2">
      <c r="A114" s="741" t="s">
        <v>662</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2">
        <f>SUM('Revenues 9-14'!C163:G163)</f>
        <v>0</v>
      </c>
      <c r="G119" s="745"/>
    </row>
    <row r="120" spans="1:7" x14ac:dyDescent="0.2">
      <c r="A120" s="756" t="s">
        <v>500</v>
      </c>
      <c r="B120" s="756" t="s">
        <v>1920</v>
      </c>
      <c r="C120" s="757">
        <f>'Revenues 9-14'!B164</f>
        <v>3815</v>
      </c>
      <c r="D120" s="758" t="str">
        <f>'Revenues 9-14'!A164</f>
        <v>State Charter Schools</v>
      </c>
      <c r="E120" s="739"/>
      <c r="F120" s="1792">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3">
        <f>'Revenues 9-14'!D167</f>
        <v>0</v>
      </c>
      <c r="G121" s="763"/>
    </row>
    <row r="122" spans="1:7" x14ac:dyDescent="0.2">
      <c r="A122" s="760" t="s">
        <v>496</v>
      </c>
      <c r="B122" s="760" t="s">
        <v>1922</v>
      </c>
      <c r="C122" s="761">
        <f>'Revenues 9-14'!B168</f>
        <v>3999</v>
      </c>
      <c r="D122" s="762" t="s">
        <v>539</v>
      </c>
      <c r="E122" s="764"/>
      <c r="F122" s="1793">
        <f>SUM('Revenues 9-14'!C168:G168,'Revenues 9-14'!J168)</f>
        <v>55366</v>
      </c>
      <c r="G122" s="763"/>
    </row>
    <row r="123" spans="1:7" x14ac:dyDescent="0.2">
      <c r="A123" s="760" t="s">
        <v>455</v>
      </c>
      <c r="B123" s="760" t="s">
        <v>1923</v>
      </c>
      <c r="C123" s="765">
        <f>'Revenues 9-14'!B177</f>
        <v>4045</v>
      </c>
      <c r="D123" s="762" t="str">
        <f>'Revenues 9-14'!A177 &amp; " (Subtract)"</f>
        <v>Head Start (Subtract)</v>
      </c>
      <c r="E123" s="739"/>
      <c r="F123" s="1793">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1925</v>
      </c>
      <c r="C125" s="765">
        <v>4100</v>
      </c>
      <c r="D125" s="766" t="str">
        <f>'Revenues 9-14'!A188</f>
        <v>Total Title V</v>
      </c>
      <c r="E125" s="739"/>
      <c r="F125" s="1793">
        <f>SUM('Revenues 9-14'!C188,'Revenues 9-14'!D188,'Revenues 9-14'!F188,'Revenues 9-14'!G188)</f>
        <v>29525</v>
      </c>
      <c r="G125" s="763"/>
    </row>
    <row r="126" spans="1:7" x14ac:dyDescent="0.2">
      <c r="A126" s="760" t="s">
        <v>658</v>
      </c>
      <c r="B126" s="760" t="s">
        <v>1926</v>
      </c>
      <c r="C126" s="765">
        <v>4200</v>
      </c>
      <c r="D126" s="762" t="str">
        <f>'Revenues 9-14'!A198</f>
        <v>Total Food Service</v>
      </c>
      <c r="E126" s="739"/>
      <c r="F126" s="1793">
        <f>SUM('Revenues 9-14'!C198,'Revenues 9-14'!G198)</f>
        <v>845570</v>
      </c>
      <c r="G126" s="763"/>
    </row>
    <row r="127" spans="1:7" x14ac:dyDescent="0.2">
      <c r="A127" s="760" t="s">
        <v>662</v>
      </c>
      <c r="B127" s="760" t="s">
        <v>1927</v>
      </c>
      <c r="C127" s="765">
        <v>4300</v>
      </c>
      <c r="D127" s="766" t="str">
        <f>'Revenues 9-14'!A204</f>
        <v>Total Title I</v>
      </c>
      <c r="E127" s="739"/>
      <c r="F127" s="1793">
        <f>SUM('Revenues 9-14'!C204,'Revenues 9-14'!D204,'Revenues 9-14'!F204,'Revenues 9-14'!G204)</f>
        <v>784684</v>
      </c>
      <c r="G127" s="763"/>
    </row>
    <row r="128" spans="1:7" x14ac:dyDescent="0.2">
      <c r="A128" s="760" t="s">
        <v>662</v>
      </c>
      <c r="B128" s="760" t="s">
        <v>1928</v>
      </c>
      <c r="C128" s="765">
        <v>4400</v>
      </c>
      <c r="D128" s="766" t="str">
        <f>'Revenues 9-14'!A209</f>
        <v>Total Title IV</v>
      </c>
      <c r="E128" s="739"/>
      <c r="F128" s="1793">
        <f>SUM('Revenues 9-14'!C209,'Revenues 9-14'!D209,'Revenues 9-14'!F209,'Revenues 9-14'!G209)</f>
        <v>11447</v>
      </c>
      <c r="G128" s="763"/>
    </row>
    <row r="129" spans="1:7" x14ac:dyDescent="0.2">
      <c r="A129" s="760" t="s">
        <v>662</v>
      </c>
      <c r="B129" s="760" t="s">
        <v>1929</v>
      </c>
      <c r="C129" s="765">
        <f>'Revenues 9-14'!B213</f>
        <v>4620</v>
      </c>
      <c r="D129" s="766" t="str">
        <f>'Revenues 9-14'!A213</f>
        <v>Fed - Spec Education - IDEA - Flow Through</v>
      </c>
      <c r="E129" s="739"/>
      <c r="F129" s="1793">
        <f>SUM('Revenues 9-14'!C213:D213,'Revenues 9-14'!F213:G213)</f>
        <v>0</v>
      </c>
      <c r="G129" s="763"/>
    </row>
    <row r="130" spans="1:7" x14ac:dyDescent="0.2">
      <c r="A130" s="760" t="s">
        <v>662</v>
      </c>
      <c r="B130" s="760" t="s">
        <v>1930</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662</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1932</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1947</v>
      </c>
      <c r="C158" s="773" t="s">
        <v>835</v>
      </c>
      <c r="D158" s="774" t="s">
        <v>771</v>
      </c>
      <c r="E158" s="775"/>
      <c r="F158" s="1793">
        <f>SUM(F134:F157)</f>
        <v>0</v>
      </c>
      <c r="G158" s="738"/>
    </row>
    <row r="159" spans="1:7" s="703" customFormat="1" x14ac:dyDescent="0.2">
      <c r="A159" s="771" t="s">
        <v>455</v>
      </c>
      <c r="B159" s="772" t="s">
        <v>1948</v>
      </c>
      <c r="C159" s="773" t="s">
        <v>1409</v>
      </c>
      <c r="D159" s="774" t="s">
        <v>1410</v>
      </c>
      <c r="E159" s="775"/>
      <c r="F159" s="1793">
        <f>SUM('Revenues 9-14'!C253)</f>
        <v>0</v>
      </c>
      <c r="G159" s="738"/>
    </row>
    <row r="160" spans="1:7" s="703" customFormat="1" x14ac:dyDescent="0.2">
      <c r="A160" s="771" t="s">
        <v>496</v>
      </c>
      <c r="B160" s="772" t="s">
        <v>1949</v>
      </c>
      <c r="C160" s="773" t="s">
        <v>1448</v>
      </c>
      <c r="D160" s="774" t="s">
        <v>1449</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8916</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76849</v>
      </c>
      <c r="G162" s="776"/>
    </row>
    <row r="163" spans="1:7" x14ac:dyDescent="0.2">
      <c r="A163" s="760" t="s">
        <v>662</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2">
        <f>SUM('Revenues 9-14'!C259,'Revenues 9-14'!D259,'Revenues 9-14'!F259,'Revenues 9-14'!G259)</f>
        <v>28794</v>
      </c>
      <c r="G165" s="763"/>
    </row>
    <row r="166" spans="1:7" x14ac:dyDescent="0.2">
      <c r="A166" s="760" t="s">
        <v>662</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662</v>
      </c>
      <c r="B170" s="760" t="s">
        <v>1957</v>
      </c>
      <c r="C170" s="765">
        <f>'Revenues 9-14'!B264</f>
        <v>4992</v>
      </c>
      <c r="D170" s="766" t="str">
        <f>'Revenues 9-14'!A264</f>
        <v>Medicaid Matching Funds - Fee-for-Service Program</v>
      </c>
      <c r="E170" s="739"/>
      <c r="F170" s="1793">
        <f>SUM('Revenues 9-14'!C264:D264,'Revenues 9-14'!F264:G264)</f>
        <v>129271</v>
      </c>
      <c r="G170" s="780"/>
    </row>
    <row r="171" spans="1:7" x14ac:dyDescent="0.2">
      <c r="A171" s="781" t="s">
        <v>662</v>
      </c>
      <c r="B171" s="777" t="s">
        <v>1958</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1881</v>
      </c>
      <c r="C172" s="1531">
        <v>3100</v>
      </c>
      <c r="D172" s="1532" t="s">
        <v>1883</v>
      </c>
      <c r="E172" s="739"/>
      <c r="F172" s="1794">
        <v>587741</v>
      </c>
      <c r="G172" s="760"/>
    </row>
    <row r="173" spans="1:7" x14ac:dyDescent="0.2">
      <c r="A173" s="1529" t="s">
        <v>658</v>
      </c>
      <c r="B173" s="1530" t="s">
        <v>1881</v>
      </c>
      <c r="C173" s="1531">
        <v>3300</v>
      </c>
      <c r="D173" s="1532" t="s">
        <v>1884</v>
      </c>
      <c r="E173" s="739"/>
      <c r="F173" s="1794">
        <v>556198</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951</v>
      </c>
      <c r="F175" s="1796">
        <f>SUM(F85:F133,F158:F173)</f>
        <v>3685880</v>
      </c>
    </row>
    <row r="176" spans="1:7" ht="12" customHeight="1" x14ac:dyDescent="0.2">
      <c r="A176" s="1443"/>
      <c r="B176" s="1453"/>
      <c r="C176" s="1454"/>
      <c r="D176" s="1455" t="s">
        <v>2010</v>
      </c>
      <c r="E176" s="1456"/>
      <c r="F176" s="1793">
        <f>'PCTC-OEPP 27-28'!F78-F175</f>
        <v>8835488</v>
      </c>
    </row>
    <row r="177" spans="1:9" ht="12" customHeight="1" x14ac:dyDescent="0.2">
      <c r="A177" s="1443"/>
      <c r="B177" s="1453"/>
      <c r="C177" s="1454"/>
      <c r="D177" s="1455" t="s">
        <v>1790</v>
      </c>
      <c r="E177" s="1456"/>
      <c r="F177" s="1793">
        <f>'Cap Outlay Deprec 26'!I18</f>
        <v>879910</v>
      </c>
    </row>
    <row r="178" spans="1:9" ht="12" customHeight="1" x14ac:dyDescent="0.2">
      <c r="A178" s="1443"/>
      <c r="B178" s="1453"/>
      <c r="C178" s="1454"/>
      <c r="D178" s="1455" t="s">
        <v>2011</v>
      </c>
      <c r="E178" s="1456"/>
      <c r="F178" s="1793">
        <f>F176+F177</f>
        <v>9715398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1528</v>
      </c>
      <c r="G179" s="763"/>
      <c r="I179" s="701"/>
    </row>
    <row r="180" spans="1:9" ht="12" customHeight="1" thickBot="1" x14ac:dyDescent="0.25">
      <c r="A180" s="1443"/>
      <c r="B180" s="1457"/>
      <c r="C180" s="1454"/>
      <c r="D180" s="1455" t="s">
        <v>2013</v>
      </c>
      <c r="E180" s="1456" t="s">
        <v>1527</v>
      </c>
      <c r="F180" s="1798">
        <f>F178/F179</f>
        <v>6358.2447643979058</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1803</v>
      </c>
      <c r="B1" s="1860"/>
      <c r="C1" s="1861"/>
      <c r="D1" s="1861"/>
      <c r="E1" s="1861"/>
      <c r="F1" s="1861"/>
    </row>
    <row r="2" spans="1:6" x14ac:dyDescent="0.25">
      <c r="A2" s="1863"/>
      <c r="B2" s="1864"/>
      <c r="C2" s="1913" t="s">
        <v>1999</v>
      </c>
      <c r="D2" s="1863"/>
      <c r="E2" s="1863"/>
      <c r="F2" s="1863"/>
    </row>
    <row r="3" spans="1:6" ht="5.25" customHeight="1" x14ac:dyDescent="0.25">
      <c r="A3" s="1865"/>
      <c r="B3" s="1866"/>
      <c r="C3" s="1865"/>
      <c r="D3" s="1865"/>
      <c r="E3" s="1865"/>
      <c r="F3" s="1865"/>
    </row>
    <row r="4" spans="1:6" ht="18.75" customHeight="1" x14ac:dyDescent="0.25">
      <c r="A4" s="2379" t="s">
        <v>1791</v>
      </c>
      <c r="B4" s="2380"/>
      <c r="C4" s="2380"/>
      <c r="D4" s="2380"/>
      <c r="E4" s="2380"/>
      <c r="F4" s="2381"/>
    </row>
    <row r="5" spans="1:6" x14ac:dyDescent="0.25">
      <c r="A5" s="2382"/>
      <c r="B5" s="2383"/>
      <c r="C5" s="2383"/>
      <c r="D5" s="2383"/>
      <c r="E5" s="2383"/>
      <c r="F5" s="2384"/>
    </row>
    <row r="6" spans="1:6" ht="18.75" x14ac:dyDescent="0.25">
      <c r="A6" s="1867" t="s">
        <v>1792</v>
      </c>
      <c r="B6" s="1868"/>
      <c r="C6" s="1869"/>
      <c r="D6" s="1869"/>
      <c r="E6" s="1869"/>
      <c r="F6" s="1870"/>
    </row>
    <row r="7" spans="1:6" ht="47.25" customHeight="1" x14ac:dyDescent="0.25">
      <c r="A7" s="2385" t="s">
        <v>1981</v>
      </c>
      <c r="B7" s="2386"/>
      <c r="C7" s="2386"/>
      <c r="D7" s="2386"/>
      <c r="E7" s="2386"/>
      <c r="F7" s="2387"/>
    </row>
    <row r="8" spans="1:6" ht="20.25" customHeight="1" x14ac:dyDescent="0.25">
      <c r="A8" s="1902" t="s">
        <v>1983</v>
      </c>
      <c r="B8" s="1903"/>
      <c r="C8" s="1903"/>
      <c r="D8" s="1903"/>
      <c r="E8" s="1871"/>
      <c r="F8" s="1872"/>
    </row>
    <row r="9" spans="1:6" ht="18" customHeight="1" x14ac:dyDescent="0.25">
      <c r="A9" s="1873" t="s">
        <v>1980</v>
      </c>
      <c r="B9" s="1875"/>
      <c r="C9" s="1875"/>
      <c r="D9" s="1875"/>
      <c r="E9" s="1871"/>
      <c r="F9" s="1872"/>
    </row>
    <row r="10" spans="1:6" ht="15.75" customHeight="1" x14ac:dyDescent="0.25">
      <c r="A10" s="2388" t="s">
        <v>1977</v>
      </c>
      <c r="B10" s="2389"/>
      <c r="C10" s="2389"/>
      <c r="D10" s="2389"/>
      <c r="E10" s="2389"/>
      <c r="F10" s="2390"/>
    </row>
    <row r="11" spans="1:6" ht="33" customHeight="1" x14ac:dyDescent="0.25">
      <c r="A11" s="2385" t="s">
        <v>1982</v>
      </c>
      <c r="B11" s="2386"/>
      <c r="C11" s="2386"/>
      <c r="D11" s="2386"/>
      <c r="E11" s="2386"/>
      <c r="F11" s="2387"/>
    </row>
    <row r="12" spans="1:6" ht="15" customHeight="1" x14ac:dyDescent="0.25">
      <c r="A12" s="1873" t="s">
        <v>1978</v>
      </c>
      <c r="B12" s="1874"/>
      <c r="C12" s="1875"/>
      <c r="D12" s="1875"/>
      <c r="E12" s="1875"/>
      <c r="F12" s="1876"/>
    </row>
    <row r="13" spans="1:6" ht="17.25" customHeight="1" x14ac:dyDescent="0.25">
      <c r="A13" s="2385" t="s">
        <v>1979</v>
      </c>
      <c r="B13" s="2386"/>
      <c r="C13" s="2386"/>
      <c r="D13" s="2386"/>
      <c r="E13" s="2386"/>
      <c r="F13" s="2387"/>
    </row>
    <row r="14" spans="1:6" ht="15" customHeight="1" x14ac:dyDescent="0.25">
      <c r="A14" s="1873" t="s">
        <v>1796</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7" t="s">
        <v>1795</v>
      </c>
      <c r="C17" s="1881" t="s">
        <v>1793</v>
      </c>
      <c r="D17" s="1882">
        <v>500000</v>
      </c>
      <c r="E17" s="1882" t="str">
        <f>IF(D17&lt;25000,D17,"25,000")</f>
        <v>25,000</v>
      </c>
      <c r="F17" s="1883">
        <f>IF(D17&gt;=25000,(D17-E17),"0")</f>
        <v>475000</v>
      </c>
    </row>
    <row r="18" spans="1:7" x14ac:dyDescent="0.25">
      <c r="A18" s="2035" t="s">
        <v>2075</v>
      </c>
      <c r="B18" s="1908">
        <v>101000400</v>
      </c>
      <c r="C18" s="2036" t="s">
        <v>2076</v>
      </c>
      <c r="D18" s="1886">
        <v>38980</v>
      </c>
      <c r="E18" s="1906" t="str">
        <f t="shared" ref="E18:E81" si="0">IF(D18&lt;25000,D18,"25,000")</f>
        <v>25,000</v>
      </c>
      <c r="F18" s="1906">
        <f t="shared" ref="F18:F81" si="1">IF(D18&gt;=25000,(D18-E18),"0")</f>
        <v>13980</v>
      </c>
      <c r="G18" s="1887"/>
    </row>
    <row r="19" spans="1:7" x14ac:dyDescent="0.25">
      <c r="A19" s="2035" t="s">
        <v>2077</v>
      </c>
      <c r="B19" s="1908">
        <v>101000300</v>
      </c>
      <c r="C19" s="2036" t="s">
        <v>2078</v>
      </c>
      <c r="D19" s="1886">
        <v>61775</v>
      </c>
      <c r="E19" s="1906" t="str">
        <f t="shared" si="0"/>
        <v>25,000</v>
      </c>
      <c r="F19" s="1906">
        <f t="shared" si="1"/>
        <v>36775</v>
      </c>
    </row>
    <row r="20" spans="1:7" x14ac:dyDescent="0.25">
      <c r="A20" s="2035" t="s">
        <v>2079</v>
      </c>
      <c r="B20" s="1908">
        <v>102100300</v>
      </c>
      <c r="C20" s="2036" t="s">
        <v>2080</v>
      </c>
      <c r="D20" s="1886">
        <v>33081</v>
      </c>
      <c r="E20" s="1906" t="str">
        <f t="shared" si="0"/>
        <v>25,000</v>
      </c>
      <c r="F20" s="1906">
        <f t="shared" si="1"/>
        <v>8081</v>
      </c>
    </row>
    <row r="21" spans="1:7" x14ac:dyDescent="0.25">
      <c r="A21" s="2035" t="s">
        <v>2081</v>
      </c>
      <c r="B21" s="1908">
        <v>102540400</v>
      </c>
      <c r="C21" s="2036" t="s">
        <v>2082</v>
      </c>
      <c r="D21" s="1886">
        <v>38773</v>
      </c>
      <c r="E21" s="1906" t="str">
        <f t="shared" si="0"/>
        <v>25,000</v>
      </c>
      <c r="F21" s="1906">
        <f t="shared" si="1"/>
        <v>13773</v>
      </c>
    </row>
    <row r="22" spans="1:7" x14ac:dyDescent="0.25">
      <c r="A22" s="2035" t="s">
        <v>2083</v>
      </c>
      <c r="B22" s="1908">
        <v>202540300</v>
      </c>
      <c r="C22" s="2036" t="s">
        <v>2084</v>
      </c>
      <c r="D22" s="1886">
        <v>42204</v>
      </c>
      <c r="E22" s="1906" t="str">
        <f t="shared" si="0"/>
        <v>25,000</v>
      </c>
      <c r="F22" s="1906">
        <f t="shared" si="1"/>
        <v>17204</v>
      </c>
    </row>
    <row r="23" spans="1:7" x14ac:dyDescent="0.25">
      <c r="A23" s="2035" t="s">
        <v>2083</v>
      </c>
      <c r="B23" s="1908">
        <v>202540300</v>
      </c>
      <c r="C23" s="2036" t="s">
        <v>2085</v>
      </c>
      <c r="D23" s="1886">
        <v>65999</v>
      </c>
      <c r="E23" s="1906" t="str">
        <f t="shared" si="0"/>
        <v>25,000</v>
      </c>
      <c r="F23" s="1906">
        <f t="shared" si="1"/>
        <v>40999</v>
      </c>
    </row>
    <row r="24" spans="1:7" x14ac:dyDescent="0.25">
      <c r="A24" s="2035" t="s">
        <v>2086</v>
      </c>
      <c r="B24" s="1908">
        <v>802300300</v>
      </c>
      <c r="C24" s="2036" t="s">
        <v>2085</v>
      </c>
      <c r="D24" s="1886">
        <v>82305</v>
      </c>
      <c r="E24" s="1906" t="str">
        <f t="shared" si="0"/>
        <v>25,000</v>
      </c>
      <c r="F24" s="1906">
        <f t="shared" si="1"/>
        <v>57305</v>
      </c>
    </row>
    <row r="25" spans="1:7" x14ac:dyDescent="0.25">
      <c r="A25" s="2035" t="s">
        <v>2083</v>
      </c>
      <c r="B25" s="1908">
        <v>202540300</v>
      </c>
      <c r="C25" s="2036" t="s">
        <v>2087</v>
      </c>
      <c r="D25" s="1886">
        <v>28000</v>
      </c>
      <c r="E25" s="1906" t="str">
        <f t="shared" si="0"/>
        <v>25,000</v>
      </c>
      <c r="F25" s="1906">
        <f t="shared" si="1"/>
        <v>3000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391117</v>
      </c>
      <c r="E142" s="1893">
        <f>SUM(E18:E141)</f>
        <v>0</v>
      </c>
      <c r="F142" s="1894">
        <f>SUM(F18:F141)</f>
        <v>191117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1" t="s">
        <v>1659</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v>570822</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v>75985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7685110</v>
      </c>
      <c r="F19" s="1802"/>
      <c r="G19" s="1804">
        <f>'Expenditures 15-22'!K33-SUM('Expenditures 15-22'!G33,'Expenditures 15-22'!I33)+'Expenditures 15-22'!D229</f>
        <v>7685110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524201</v>
      </c>
      <c r="F21" s="1805"/>
      <c r="G21" s="1808">
        <f>'Expenditures 15-22'!K42-SUM('Expenditures 15-22'!G42,'Expenditures 15-22'!I42)+'Expenditures 15-22'!K120-SUM('Expenditures 15-22'!G120,'Expenditures 15-22'!I120)+'Expenditures 15-22'!K180-SUM('Expenditures 15-22'!G180,'Expenditures 15-22'!I180)+'Expenditures 15-22'!D238</f>
        <v>524201</v>
      </c>
      <c r="H21" s="817"/>
      <c r="I21" s="157"/>
    </row>
    <row r="22" spans="1:9" s="542" customFormat="1" ht="12" customHeight="1" x14ac:dyDescent="0.2">
      <c r="A22" s="824" t="s">
        <v>559</v>
      </c>
      <c r="B22" s="825"/>
      <c r="C22" s="823">
        <v>2200</v>
      </c>
      <c r="D22" s="1805"/>
      <c r="E22" s="1807">
        <f>'Expenditures 15-22'!K47-SUM('Expenditures 15-22'!G47,'Expenditures 15-22'!I47)+'Expenditures 15-22'!D243</f>
        <v>156323</v>
      </c>
      <c r="F22" s="1805"/>
      <c r="G22" s="1808">
        <f>'Expenditures 15-22'!K47-SUM('Expenditures 15-22'!G47,'Expenditures 15-22'!I47)+'Expenditures 15-22'!D243</f>
        <v>156323</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546345</v>
      </c>
      <c r="F23" s="1805"/>
      <c r="G23" s="1807">
        <f>'Expenditures 15-22'!K53-SUM('Expenditures 15-22'!G53,'Expenditures 15-22'!I53)+'Expenditures 15-22'!D257+'Expenditures 15-22'!K330-SUM('Expenditures 15-22'!G330,'Expenditures 15-22'!I330)</f>
        <v>546345</v>
      </c>
      <c r="H23" s="817"/>
      <c r="I23" s="157"/>
    </row>
    <row r="24" spans="1:9" s="542" customFormat="1" ht="12" customHeight="1" x14ac:dyDescent="0.2">
      <c r="A24" s="824" t="s">
        <v>561</v>
      </c>
      <c r="B24" s="825"/>
      <c r="C24" s="823">
        <v>2400</v>
      </c>
      <c r="D24" s="1805"/>
      <c r="E24" s="1807">
        <f>'Expenditures 15-22'!K57-SUM('Expenditures 15-22'!G57,'Expenditures 15-22'!I57)+'Expenditures 15-22'!D261</f>
        <v>721735</v>
      </c>
      <c r="F24" s="1805"/>
      <c r="G24" s="1808">
        <f>'Expenditures 15-22'!K57-SUM('Expenditures 15-22'!G57,'Expenditures 15-22'!I57)+'Expenditures 15-22'!D261</f>
        <v>721735</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172869</v>
      </c>
      <c r="E27" s="1807">
        <f>E8</f>
        <v>0</v>
      </c>
      <c r="F27" s="1807">
        <f>'Expenditures 15-22'!K60-SUM('Expenditures 15-22'!G60,'Expenditures 15-22'!I60)+'Expenditures 15-22'!D264-E8</f>
        <v>172869</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1441765</v>
      </c>
      <c r="F28" s="1809">
        <f>'Expenditures 15-22'!K61-SUM('Expenditures 15-22'!G61,'Expenditures 15-22'!I61)+'Expenditures 15-22'!K124-SUM('Expenditures 15-22'!G124,'Expenditures 15-22'!I124)+'Expenditures 15-22'!D266-E9</f>
        <v>1441765</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320024</v>
      </c>
      <c r="F29" s="1805"/>
      <c r="G29" s="1808">
        <f>'Expenditures 15-22'!K62-SUM('Expenditures 15-22'!G62,'Expenditures 15-22'!I62)+'Expenditures 15-22'!K125-SUM('Expenditures 15-22'!G125,'Expenditures 15-22'!I125)+'Expenditures 15-22'!K182-SUM('Expenditures 15-22'!G182,'Expenditures 15-22'!I182)+'Expenditures 15-22'!D267</f>
        <v>320024</v>
      </c>
      <c r="H29" s="815"/>
    </row>
    <row r="30" spans="1:9" ht="12" customHeight="1" x14ac:dyDescent="0.2">
      <c r="A30" s="824" t="s">
        <v>100</v>
      </c>
      <c r="B30" s="827"/>
      <c r="C30" s="823">
        <v>2560</v>
      </c>
      <c r="D30" s="1805"/>
      <c r="E30" s="1807">
        <f>'Expenditures 15-22'!K63-SUM('Expenditures 15-22'!G63,'Expenditures 15-22'!I63)+'Expenditures 15-22'!D268-E10</f>
        <v>293943</v>
      </c>
      <c r="F30" s="1805"/>
      <c r="G30" s="1807">
        <f>'Expenditures 15-22'!K63-SUM('Expenditures 15-22'!G63,'Expenditures 15-22'!I63)+'Expenditures 15-22'!D268-E10</f>
        <v>293943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417</v>
      </c>
      <c r="F38" s="1805"/>
      <c r="G38" s="1807">
        <f>'Expenditures 15-22'!K73-SUM('Expenditures 15-22'!G73,'Expenditures 15-22'!I73)+'Expenditures 15-22'!K128-SUM('Expenditures 15-22'!G128,'Expenditures 15-22'!I128)+'Expenditures 15-22'!K183-SUM('Expenditures 15-22'!G183,'Expenditures 15-22'!I183)+'Expenditures 15-22'!D278</f>
        <v>417</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338981</v>
      </c>
      <c r="F39" s="1805"/>
      <c r="G39" s="1807">
        <f>'Expenditures 15-22'!K75-SUM('Expenditures 15-22'!G75,'Expenditures 15-22'!I75)+'Expenditures 15-22'!K130-SUM('Expenditures 15-22'!G130,'Expenditures 15-22'!I130)+'Expenditures 15-22'!K185-SUM('Expenditures 15-22'!G185,'Expenditures 15-22'!I185)+'Expenditures 15-22'!D280</f>
        <v>338981</v>
      </c>
    </row>
    <row r="40" spans="1:7" ht="12" customHeight="1" x14ac:dyDescent="0.2">
      <c r="A40" s="820" t="s">
        <v>1794</v>
      </c>
      <c r="B40" s="821"/>
      <c r="C40" s="823"/>
      <c r="D40" s="1805"/>
      <c r="E40" s="1809">
        <f>-'Contracts Paid in CY 29'!F142</f>
        <v>-191117</v>
      </c>
      <c r="F40" s="1805"/>
      <c r="G40" s="1809">
        <f>-'Contracts Paid in CY 29'!F142</f>
        <v>-191117</v>
      </c>
    </row>
    <row r="41" spans="1:7" ht="12" customHeight="1" x14ac:dyDescent="0.2">
      <c r="A41" s="828" t="s">
        <v>155</v>
      </c>
      <c r="B41" s="829"/>
      <c r="C41" s="830"/>
      <c r="D41" s="1809">
        <f>SUM(D19:D39)</f>
        <v>172869</v>
      </c>
      <c r="E41" s="1809">
        <f>SUM(E19:E40)</f>
        <v>11837727</v>
      </c>
      <c r="F41" s="1809">
        <f>SUM(F19:F39)</f>
        <v>1614634</v>
      </c>
      <c r="G41" s="1809">
        <f>SUM(G19:G40)</f>
        <v>10395962</v>
      </c>
    </row>
    <row r="42" spans="1:7" x14ac:dyDescent="0.2">
      <c r="A42" s="817"/>
      <c r="B42" s="157"/>
      <c r="C42" s="831"/>
      <c r="D42" s="2394" t="s">
        <v>518</v>
      </c>
      <c r="E42" s="2395"/>
      <c r="F42" s="832" t="s">
        <v>519</v>
      </c>
      <c r="G42" s="833"/>
    </row>
    <row r="43" spans="1:7" ht="12" customHeight="1" x14ac:dyDescent="0.2">
      <c r="A43" s="817"/>
      <c r="B43" s="157"/>
      <c r="C43" s="831"/>
      <c r="D43" s="1458" t="s">
        <v>469</v>
      </c>
      <c r="E43" s="1810">
        <f>D41</f>
        <v>172869</v>
      </c>
      <c r="F43" s="1458" t="s">
        <v>469</v>
      </c>
      <c r="G43" s="1810">
        <f>F41</f>
        <v>1614634</v>
      </c>
    </row>
    <row r="44" spans="1:7" ht="12" customHeight="1" x14ac:dyDescent="0.2">
      <c r="A44" s="817"/>
      <c r="B44" s="157"/>
      <c r="C44" s="831"/>
      <c r="D44" s="1458" t="s">
        <v>470</v>
      </c>
      <c r="E44" s="1810">
        <f>E41</f>
        <v>11837727</v>
      </c>
      <c r="F44" s="1458" t="s">
        <v>470</v>
      </c>
      <c r="G44" s="1810">
        <f>G41</f>
        <v>10395962</v>
      </c>
    </row>
    <row r="45" spans="1:7" ht="12" customHeight="1" x14ac:dyDescent="0.2">
      <c r="A45" s="817"/>
      <c r="B45" s="157"/>
      <c r="C45" s="157"/>
      <c r="D45" s="1459" t="s">
        <v>998</v>
      </c>
      <c r="E45" s="1811">
        <f>(E43/E44)</f>
        <v>1.4603225771298831E-2</v>
      </c>
      <c r="F45" s="1459" t="s">
        <v>998</v>
      </c>
      <c r="G45" s="1811">
        <f>(G43/G44)</f>
        <v>0.15531357271217422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6" sqref="A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1362</v>
      </c>
      <c r="B1" s="2413"/>
      <c r="C1" s="2413"/>
      <c r="D1" s="2413"/>
      <c r="E1" s="2413"/>
      <c r="F1" s="2413"/>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1528</v>
      </c>
      <c r="B5" s="2415"/>
      <c r="C5" s="2416"/>
      <c r="D5" s="2416"/>
      <c r="E5" s="2416"/>
      <c r="F5" s="2416"/>
      <c r="G5" s="1507"/>
      <c r="L5" s="1507"/>
      <c r="M5" s="1855"/>
      <c r="N5" s="1855"/>
      <c r="O5" s="1855"/>
    </row>
    <row r="6" spans="1:15" ht="12" customHeight="1" x14ac:dyDescent="0.25">
      <c r="A6" s="1480"/>
      <c r="B6" s="1481"/>
      <c r="C6" s="2417" t="str">
        <f>COVER!A17</f>
        <v>Beardstown CUSD 15</v>
      </c>
      <c r="D6" s="2417"/>
      <c r="E6" s="2417"/>
      <c r="F6" s="1482"/>
      <c r="G6" s="1507"/>
      <c r="L6" s="1507"/>
      <c r="M6" s="1855"/>
      <c r="N6" s="1855"/>
      <c r="O6" s="1855"/>
    </row>
    <row r="7" spans="1:15" ht="11.25" customHeight="1" thickBot="1" x14ac:dyDescent="0.3">
      <c r="A7" s="1480"/>
      <c r="B7" s="1481"/>
      <c r="C7" s="2418">
        <f>COVER!A13</f>
        <v>1009015026</v>
      </c>
      <c r="D7" s="2418"/>
      <c r="E7" s="2418"/>
      <c r="F7" s="1482"/>
      <c r="G7" s="1507"/>
      <c r="L7" s="1507"/>
      <c r="M7" s="1855"/>
      <c r="N7" s="1855"/>
      <c r="O7" s="1855"/>
    </row>
    <row r="8" spans="1:15" ht="25.5" customHeight="1" thickBot="1" x14ac:dyDescent="0.25">
      <c r="A8" s="1519" t="s">
        <v>1870</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t="s">
        <v>2054</v>
      </c>
      <c r="D19" s="1495" t="s">
        <v>2054</v>
      </c>
      <c r="E19" s="1498"/>
      <c r="F19" s="1497" t="s">
        <v>2071</v>
      </c>
      <c r="G19" s="1507"/>
      <c r="H19" s="1507">
        <f t="shared" si="0"/>
        <v>5</v>
      </c>
      <c r="I19" s="1507">
        <f t="shared" si="1"/>
        <v>5</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2054</v>
      </c>
      <c r="D26" s="1495" t="s">
        <v>2054</v>
      </c>
      <c r="E26" s="1498"/>
      <c r="F26" s="1497" t="s">
        <v>2072</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t="s">
        <v>2054</v>
      </c>
      <c r="D31" s="1495" t="s">
        <v>2054</v>
      </c>
      <c r="E31" s="1498"/>
      <c r="F31" s="1497" t="s">
        <v>2073</v>
      </c>
      <c r="G31" s="1507"/>
      <c r="H31" s="1507">
        <f t="shared" si="0"/>
        <v>5</v>
      </c>
      <c r="I31" s="1507">
        <f t="shared" si="1"/>
        <v>5</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1375</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1374</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E12" sqref="E1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1998</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439" t="str">
        <f>COVER!A17</f>
        <v>Beardstown CUSD 15</v>
      </c>
      <c r="K6" s="2439"/>
      <c r="L6" s="2453"/>
      <c r="M6" s="838"/>
      <c r="N6" s="1998"/>
    </row>
    <row r="7" spans="1:14" x14ac:dyDescent="0.2">
      <c r="A7" s="2454" t="s">
        <v>863</v>
      </c>
      <c r="B7" s="2455"/>
      <c r="C7" s="2455"/>
      <c r="D7" s="2455"/>
      <c r="E7" s="2456"/>
      <c r="F7" s="839"/>
      <c r="G7" s="838"/>
      <c r="H7" s="838"/>
      <c r="I7" s="1924" t="s">
        <v>368</v>
      </c>
      <c r="J7" s="2441">
        <f>COVER!A13</f>
        <v>1009015026</v>
      </c>
      <c r="K7" s="2441"/>
      <c r="L7" s="244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2014</v>
      </c>
      <c r="F9" s="1857"/>
      <c r="G9" s="1857"/>
      <c r="H9" s="1857"/>
      <c r="I9" s="1929" t="s">
        <v>2015</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57" t="s">
        <v>477</v>
      </c>
      <c r="B11" s="2458"/>
      <c r="C11" s="2459"/>
      <c r="D11" s="1937" t="s">
        <v>865</v>
      </c>
      <c r="E11" s="1937" t="s">
        <v>64</v>
      </c>
      <c r="F11" s="1937" t="s">
        <v>6</v>
      </c>
      <c r="G11" s="1938" t="s">
        <v>2016</v>
      </c>
      <c r="H11" s="1939" t="s">
        <v>155</v>
      </c>
      <c r="I11" s="1937" t="s">
        <v>64</v>
      </c>
      <c r="J11" s="1937" t="s">
        <v>6</v>
      </c>
      <c r="K11" s="1938" t="s">
        <v>1997</v>
      </c>
      <c r="L11" s="1939" t="s">
        <v>155</v>
      </c>
      <c r="M11" s="838"/>
      <c r="N11" s="1998"/>
    </row>
    <row r="12" spans="1:14" x14ac:dyDescent="0.2">
      <c r="A12" s="2003">
        <v>1</v>
      </c>
      <c r="B12" s="1940" t="s">
        <v>812</v>
      </c>
      <c r="C12" s="842"/>
      <c r="D12" s="1941">
        <v>2320</v>
      </c>
      <c r="E12" s="1944">
        <f>'Expenditures 15-22'!K50</f>
        <v>146360</v>
      </c>
      <c r="F12" s="1942"/>
      <c r="G12" s="1968">
        <f>G68</f>
        <v>7135</v>
      </c>
      <c r="H12" s="1944">
        <f t="shared" ref="H12:H18" si="0">SUM(E12:G12)</f>
        <v>153495</v>
      </c>
      <c r="I12" s="1943"/>
      <c r="J12" s="1942"/>
      <c r="K12" s="1943">
        <v>144622</v>
      </c>
      <c r="L12" s="1944">
        <f t="shared" ref="L12:L18" si="1">SUM(I12:K12)</f>
        <v>144622</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1058</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0" t="s">
        <v>7</v>
      </c>
      <c r="C18" s="2461"/>
      <c r="D18" s="2462"/>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146360</v>
      </c>
      <c r="F19" s="1950">
        <f t="shared" si="2"/>
        <v>0</v>
      </c>
      <c r="G19" s="1950">
        <f t="shared" ref="G19" si="3">SUM(G12:G17)-G18</f>
        <v>7135</v>
      </c>
      <c r="H19" s="1950">
        <f t="shared" si="2"/>
        <v>153495</v>
      </c>
      <c r="I19" s="1950">
        <f t="shared" si="2"/>
        <v>0</v>
      </c>
      <c r="J19" s="1950">
        <f t="shared" si="2"/>
        <v>0</v>
      </c>
      <c r="K19" s="1950">
        <f t="shared" si="2"/>
        <v>144622</v>
      </c>
      <c r="L19" s="1950">
        <f t="shared" si="2"/>
        <v>144622</v>
      </c>
      <c r="M19" s="838"/>
      <c r="N19" s="1998"/>
    </row>
    <row r="20" spans="1:14" ht="13.5" thickTop="1" x14ac:dyDescent="0.2">
      <c r="A20" s="2003">
        <v>9</v>
      </c>
      <c r="B20" s="2463" t="s">
        <v>2017</v>
      </c>
      <c r="C20" s="2463"/>
      <c r="D20" s="2464"/>
      <c r="E20" s="1951"/>
      <c r="F20" s="1951"/>
      <c r="G20" s="1951"/>
      <c r="H20" s="1951"/>
      <c r="I20" s="1951"/>
      <c r="J20" s="1951"/>
      <c r="K20" s="1951"/>
      <c r="L20" s="1952">
        <f>IF(AND(H19&gt;0,L19&gt;0),(((L19-H19)/H19)),"Enter Budget Data")</f>
        <v>-5.780644320661911E-2</v>
      </c>
      <c r="M20" s="838"/>
      <c r="N20" s="1998"/>
    </row>
    <row r="21" spans="1:14" x14ac:dyDescent="0.2">
      <c r="A21" s="2005" t="s">
        <v>194</v>
      </c>
      <c r="B21" s="2006" t="s">
        <v>2042</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2018</v>
      </c>
      <c r="B24" s="2010"/>
      <c r="C24" s="2011"/>
      <c r="D24" s="2011"/>
      <c r="E24" s="2011"/>
      <c r="F24" s="2011"/>
      <c r="G24" s="2011"/>
      <c r="H24" s="2011"/>
      <c r="I24" s="2011"/>
      <c r="J24" s="2011"/>
      <c r="K24" s="2011"/>
      <c r="L24" s="838"/>
      <c r="M24" s="838"/>
      <c r="N24" s="1998"/>
    </row>
    <row r="25" spans="1:14" x14ac:dyDescent="0.2">
      <c r="A25" s="2009" t="s">
        <v>2019</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5"/>
      <c r="D27" s="2465"/>
      <c r="E27" s="843"/>
      <c r="F27" s="2466"/>
      <c r="G27" s="2466"/>
      <c r="H27" s="2466"/>
      <c r="I27" s="838"/>
      <c r="J27" s="838"/>
      <c r="K27" s="838"/>
      <c r="L27" s="838"/>
      <c r="M27" s="838"/>
      <c r="N27" s="1998"/>
    </row>
    <row r="28" spans="1:14" x14ac:dyDescent="0.2">
      <c r="A28" s="1997"/>
      <c r="B28" s="2007"/>
      <c r="C28" s="1957" t="s">
        <v>1025</v>
      </c>
      <c r="D28" s="844"/>
      <c r="E28" s="1958"/>
      <c r="F28" s="2467" t="s">
        <v>1491</v>
      </c>
      <c r="G28" s="2467"/>
      <c r="H28" s="2467"/>
      <c r="I28" s="838"/>
      <c r="J28" s="838"/>
      <c r="K28" s="838"/>
      <c r="L28" s="838"/>
      <c r="M28" s="838"/>
      <c r="N28" s="1998"/>
    </row>
    <row r="29" spans="1:14" x14ac:dyDescent="0.2">
      <c r="A29" s="1997"/>
      <c r="B29" s="2007"/>
      <c r="C29" s="2468"/>
      <c r="D29" s="2468"/>
      <c r="E29" s="845"/>
      <c r="F29" s="2468"/>
      <c r="G29" s="2468"/>
      <c r="H29" s="2468"/>
      <c r="I29" s="838"/>
      <c r="J29" s="838"/>
      <c r="K29" s="838"/>
      <c r="L29" s="838"/>
      <c r="M29" s="838"/>
      <c r="N29" s="1998"/>
    </row>
    <row r="30" spans="1:14" x14ac:dyDescent="0.2">
      <c r="A30" s="1997"/>
      <c r="B30" s="2007"/>
      <c r="C30" s="1960" t="s">
        <v>1543</v>
      </c>
      <c r="D30" s="838"/>
      <c r="E30" s="1959"/>
      <c r="F30" s="2452" t="s">
        <v>1492</v>
      </c>
      <c r="G30" s="2452"/>
      <c r="H30" s="245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9" t="s">
        <v>2020</v>
      </c>
      <c r="D34" s="2430"/>
      <c r="E34" s="2430"/>
      <c r="F34" s="2430"/>
      <c r="G34" s="2430"/>
      <c r="H34" s="2430"/>
      <c r="I34" s="2430"/>
      <c r="J34" s="2430"/>
      <c r="K34" s="2016"/>
      <c r="L34" s="838"/>
      <c r="M34" s="838"/>
      <c r="N34" s="1998"/>
    </row>
    <row r="35" spans="1:14" x14ac:dyDescent="0.2">
      <c r="A35" s="1997"/>
      <c r="B35" s="838"/>
      <c r="C35" s="2430"/>
      <c r="D35" s="2430"/>
      <c r="E35" s="2430"/>
      <c r="F35" s="2430"/>
      <c r="G35" s="2430"/>
      <c r="H35" s="2430"/>
      <c r="I35" s="2430"/>
      <c r="J35" s="243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9" t="s">
        <v>2021</v>
      </c>
      <c r="D37" s="2430"/>
      <c r="E37" s="2430"/>
      <c r="F37" s="2430"/>
      <c r="G37" s="2430"/>
      <c r="H37" s="2430"/>
      <c r="I37" s="2430"/>
      <c r="J37" s="2430"/>
      <c r="K37" s="2016"/>
      <c r="L37" s="2018"/>
      <c r="M37" s="838"/>
      <c r="N37" s="1998"/>
    </row>
    <row r="38" spans="1:14" x14ac:dyDescent="0.2">
      <c r="A38" s="1997"/>
      <c r="B38" s="838"/>
      <c r="C38" s="2430"/>
      <c r="D38" s="2430"/>
      <c r="E38" s="2430"/>
      <c r="F38" s="2430"/>
      <c r="G38" s="2430"/>
      <c r="H38" s="2430"/>
      <c r="I38" s="2430"/>
      <c r="J38" s="243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1" t="s">
        <v>2022</v>
      </c>
      <c r="D40" s="2432"/>
      <c r="E40" s="2432"/>
      <c r="F40" s="2432"/>
      <c r="G40" s="2432"/>
      <c r="H40" s="2432"/>
      <c r="I40" s="2432"/>
      <c r="J40" s="243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3" t="s">
        <v>2023</v>
      </c>
      <c r="B43" s="2434"/>
      <c r="C43" s="2434"/>
      <c r="D43" s="2434"/>
      <c r="E43" s="2434"/>
      <c r="F43" s="2434"/>
      <c r="G43" s="2434"/>
      <c r="H43" s="2434"/>
      <c r="I43" s="2434"/>
      <c r="J43" s="2434"/>
      <c r="K43" s="2434"/>
      <c r="L43" s="2434"/>
      <c r="M43" s="2434"/>
      <c r="N43" s="243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2024</v>
      </c>
      <c r="B45" s="1983"/>
      <c r="C45" s="1983"/>
      <c r="D45" s="1983"/>
      <c r="E45" s="1983"/>
      <c r="F45" s="1983"/>
      <c r="G45" s="1983"/>
      <c r="H45" s="1983"/>
      <c r="I45" s="1983"/>
      <c r="J45" s="1983"/>
      <c r="K45" s="1983"/>
      <c r="L45" s="1983"/>
      <c r="M45" s="1983"/>
      <c r="N45" s="1984"/>
    </row>
    <row r="46" spans="1:14" x14ac:dyDescent="0.2">
      <c r="A46" s="2436" t="s">
        <v>2025</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2041</v>
      </c>
      <c r="B49" s="2024"/>
      <c r="C49" s="2024"/>
      <c r="D49" s="2025"/>
      <c r="E49" s="2025"/>
      <c r="F49" s="2025"/>
      <c r="G49" s="2025"/>
      <c r="H49" s="2025"/>
      <c r="I49" s="2025"/>
      <c r="J49" s="2025"/>
      <c r="K49" s="2025"/>
      <c r="L49" s="2025"/>
      <c r="M49" s="2025"/>
      <c r="N49" s="2026"/>
    </row>
    <row r="50" spans="1:14" ht="15" x14ac:dyDescent="0.25">
      <c r="A50" s="2028" t="s">
        <v>2040</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39" t="str">
        <f>J6</f>
        <v>Beardstown CUSD 15</v>
      </c>
      <c r="M52" s="2439"/>
      <c r="N52" s="2440"/>
    </row>
    <row r="53" spans="1:14" x14ac:dyDescent="0.2">
      <c r="A53" s="1982"/>
      <c r="B53" s="1983"/>
      <c r="C53" s="1983"/>
      <c r="D53" s="1983"/>
      <c r="E53" s="1983"/>
      <c r="F53" s="1983"/>
      <c r="G53" s="1983"/>
      <c r="H53" s="1983"/>
      <c r="I53" s="1983"/>
      <c r="J53" s="1983"/>
      <c r="K53" s="1924" t="s">
        <v>368</v>
      </c>
      <c r="L53" s="2441">
        <f>J7</f>
        <v>1009015026</v>
      </c>
      <c r="M53" s="2441"/>
      <c r="N53" s="244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3"/>
      <c r="B55" s="2444"/>
      <c r="C55" s="2444"/>
      <c r="D55" s="1970"/>
      <c r="E55" s="1970"/>
      <c r="F55" s="1970"/>
      <c r="G55" s="2445" t="s">
        <v>2026</v>
      </c>
      <c r="H55" s="2445"/>
      <c r="I55" s="2445"/>
      <c r="J55" s="2445"/>
      <c r="K55" s="2445"/>
      <c r="L55" s="2445"/>
      <c r="M55" s="2445"/>
      <c r="N55" s="2446"/>
    </row>
    <row r="56" spans="1:14" ht="63.75" x14ac:dyDescent="0.2">
      <c r="A56" s="2447" t="s">
        <v>2027</v>
      </c>
      <c r="B56" s="2448"/>
      <c r="C56" s="2449"/>
      <c r="D56" s="1964" t="s">
        <v>2028</v>
      </c>
      <c r="E56" s="1964" t="s">
        <v>2029</v>
      </c>
      <c r="F56" s="1971"/>
      <c r="G56" s="1964" t="s">
        <v>2030</v>
      </c>
      <c r="H56" s="1964" t="s">
        <v>2031</v>
      </c>
      <c r="I56" s="1964" t="s">
        <v>2032</v>
      </c>
      <c r="J56" s="1964" t="s">
        <v>2033</v>
      </c>
      <c r="K56" s="1964" t="s">
        <v>2034</v>
      </c>
      <c r="L56" s="1964" t="s">
        <v>2035</v>
      </c>
      <c r="M56" s="1964" t="s">
        <v>2036</v>
      </c>
      <c r="N56" s="1965" t="s">
        <v>2043</v>
      </c>
    </row>
    <row r="57" spans="1:14" ht="24.75" customHeight="1" x14ac:dyDescent="0.2">
      <c r="A57" s="2450" t="s">
        <v>295</v>
      </c>
      <c r="B57" s="2451"/>
      <c r="C57" s="245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7" t="s">
        <v>2037</v>
      </c>
      <c r="B58" s="2428"/>
      <c r="C58" s="2428"/>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1" t="s">
        <v>296</v>
      </c>
      <c r="B59" s="2422"/>
      <c r="C59" s="242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1" t="s">
        <v>236</v>
      </c>
      <c r="B60" s="2422"/>
      <c r="C60" s="2422"/>
      <c r="D60" s="1967">
        <v>2364</v>
      </c>
      <c r="E60" s="1977">
        <f>'Expenditures 15-22'!K322</f>
        <v>87200</v>
      </c>
      <c r="F60" s="1972"/>
      <c r="G60" s="2031"/>
      <c r="H60" s="2032"/>
      <c r="I60" s="2032"/>
      <c r="J60" s="2032"/>
      <c r="K60" s="2032"/>
      <c r="L60" s="2032"/>
      <c r="M60" s="2032">
        <v>87200</v>
      </c>
      <c r="N60" s="1975">
        <f t="shared" ref="N60:N67" si="4">IF((SUM(G60:M60))=E60,SUM(G60:M60),"Column N does not agree with Column E")</f>
        <v>87200</v>
      </c>
    </row>
    <row r="61" spans="1:14" ht="24.75" customHeight="1" x14ac:dyDescent="0.2">
      <c r="A61" s="2421" t="s">
        <v>696</v>
      </c>
      <c r="B61" s="2422"/>
      <c r="C61" s="2422"/>
      <c r="D61" s="1967">
        <v>2365</v>
      </c>
      <c r="E61" s="1977">
        <f>'Expenditures 15-22'!K323</f>
        <v>0</v>
      </c>
      <c r="F61" s="1972"/>
      <c r="G61" s="2031"/>
      <c r="H61" s="2032"/>
      <c r="I61" s="2032"/>
      <c r="J61" s="2032"/>
      <c r="K61" s="2032"/>
      <c r="L61" s="2032"/>
      <c r="M61" s="2032"/>
      <c r="N61" s="1975">
        <f t="shared" si="4"/>
        <v>0</v>
      </c>
    </row>
    <row r="62" spans="1:14" ht="24" customHeight="1" x14ac:dyDescent="0.2">
      <c r="A62" s="2421" t="s">
        <v>237</v>
      </c>
      <c r="B62" s="2422"/>
      <c r="C62" s="2422"/>
      <c r="D62" s="1967">
        <v>2366</v>
      </c>
      <c r="E62" s="1977">
        <f>'Expenditures 15-22'!K324</f>
        <v>0</v>
      </c>
      <c r="F62" s="1972"/>
      <c r="G62" s="2031"/>
      <c r="H62" s="2032"/>
      <c r="I62" s="2032"/>
      <c r="J62" s="2032"/>
      <c r="K62" s="2032"/>
      <c r="L62" s="2032"/>
      <c r="M62" s="2032"/>
      <c r="N62" s="1975">
        <f t="shared" si="4"/>
        <v>0</v>
      </c>
    </row>
    <row r="63" spans="1:14" ht="24" customHeight="1" x14ac:dyDescent="0.2">
      <c r="A63" s="2427" t="s">
        <v>1021</v>
      </c>
      <c r="B63" s="2428"/>
      <c r="C63" s="2428"/>
      <c r="D63" s="1967">
        <v>2367</v>
      </c>
      <c r="E63" s="1977">
        <f>'Expenditures 15-22'!K325</f>
        <v>183121</v>
      </c>
      <c r="F63" s="1972"/>
      <c r="G63" s="2031">
        <v>7135</v>
      </c>
      <c r="H63" s="2032"/>
      <c r="I63" s="2032"/>
      <c r="J63" s="2032"/>
      <c r="K63" s="2032"/>
      <c r="L63" s="2032"/>
      <c r="M63" s="2032">
        <v>175986</v>
      </c>
      <c r="N63" s="1975">
        <f t="shared" si="4"/>
        <v>183121</v>
      </c>
    </row>
    <row r="64" spans="1:14" ht="24" customHeight="1" x14ac:dyDescent="0.2">
      <c r="A64" s="2421" t="s">
        <v>1022</v>
      </c>
      <c r="B64" s="2422"/>
      <c r="C64" s="2422"/>
      <c r="D64" s="1967">
        <v>2368</v>
      </c>
      <c r="E64" s="1977">
        <f>'Expenditures 15-22'!K326</f>
        <v>0</v>
      </c>
      <c r="F64" s="1972"/>
      <c r="G64" s="2031"/>
      <c r="H64" s="2032"/>
      <c r="I64" s="2032"/>
      <c r="J64" s="2032"/>
      <c r="K64" s="2032"/>
      <c r="L64" s="2032"/>
      <c r="M64" s="2032"/>
      <c r="N64" s="1975">
        <f t="shared" si="4"/>
        <v>0</v>
      </c>
    </row>
    <row r="65" spans="1:14" ht="24" customHeight="1" x14ac:dyDescent="0.2">
      <c r="A65" s="2421" t="s">
        <v>964</v>
      </c>
      <c r="B65" s="2422"/>
      <c r="C65" s="2422"/>
      <c r="D65" s="1967">
        <v>2369</v>
      </c>
      <c r="E65" s="1977">
        <f>'Expenditures 15-22'!K327</f>
        <v>23707</v>
      </c>
      <c r="F65" s="1972"/>
      <c r="G65" s="2031"/>
      <c r="H65" s="2032"/>
      <c r="I65" s="2032"/>
      <c r="J65" s="2032"/>
      <c r="K65" s="2032"/>
      <c r="L65" s="2032"/>
      <c r="M65" s="2032">
        <v>23707</v>
      </c>
      <c r="N65" s="1975">
        <f t="shared" si="4"/>
        <v>23707</v>
      </c>
    </row>
    <row r="66" spans="1:14" ht="24" customHeight="1" x14ac:dyDescent="0.2">
      <c r="A66" s="2421" t="s">
        <v>468</v>
      </c>
      <c r="B66" s="2422"/>
      <c r="C66" s="2422"/>
      <c r="D66" s="1967">
        <v>2371</v>
      </c>
      <c r="E66" s="1977">
        <f>'Expenditures 15-22'!K328</f>
        <v>0</v>
      </c>
      <c r="F66" s="1972"/>
      <c r="G66" s="2031"/>
      <c r="H66" s="2032"/>
      <c r="I66" s="2032"/>
      <c r="J66" s="2032"/>
      <c r="K66" s="2032"/>
      <c r="L66" s="2032"/>
      <c r="M66" s="2032"/>
      <c r="N66" s="1975">
        <f t="shared" si="4"/>
        <v>0</v>
      </c>
    </row>
    <row r="67" spans="1:14" ht="24.75" customHeight="1" x14ac:dyDescent="0.2">
      <c r="A67" s="2423" t="s">
        <v>2038</v>
      </c>
      <c r="B67" s="2424"/>
      <c r="C67" s="2424"/>
      <c r="D67" s="1969">
        <v>2372</v>
      </c>
      <c r="E67" s="1978">
        <f>'Expenditures 15-22'!K329</f>
        <v>0</v>
      </c>
      <c r="F67" s="1972"/>
      <c r="G67" s="2033"/>
      <c r="H67" s="2034"/>
      <c r="I67" s="2034"/>
      <c r="J67" s="2034"/>
      <c r="K67" s="2034"/>
      <c r="L67" s="2034"/>
      <c r="M67" s="2034"/>
      <c r="N67" s="1975">
        <f t="shared" si="4"/>
        <v>0</v>
      </c>
    </row>
    <row r="68" spans="1:14" x14ac:dyDescent="0.2">
      <c r="A68" s="2425" t="s">
        <v>1150</v>
      </c>
      <c r="B68" s="2426"/>
      <c r="C68" s="2426"/>
      <c r="D68" s="1970"/>
      <c r="E68" s="1974">
        <f>SUM(E57:E67)</f>
        <v>294028</v>
      </c>
      <c r="F68" s="1973"/>
      <c r="G68" s="1974">
        <f t="shared" ref="G68:N68" si="5">SUM(G57:G67)</f>
        <v>7135</v>
      </c>
      <c r="H68" s="1974">
        <f t="shared" si="5"/>
        <v>0</v>
      </c>
      <c r="I68" s="1974">
        <f t="shared" si="5"/>
        <v>0</v>
      </c>
      <c r="J68" s="1974">
        <f t="shared" si="5"/>
        <v>0</v>
      </c>
      <c r="K68" s="1974">
        <f t="shared" si="5"/>
        <v>0</v>
      </c>
      <c r="L68" s="1974">
        <f t="shared" si="5"/>
        <v>0</v>
      </c>
      <c r="M68" s="1974">
        <f t="shared" si="5"/>
        <v>286893</v>
      </c>
      <c r="N68" s="1988">
        <f t="shared" si="5"/>
        <v>294028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2039</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 sqref="B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2088</v>
      </c>
    </row>
    <row r="6" spans="1:2" x14ac:dyDescent="0.2">
      <c r="A6" s="847">
        <v>2</v>
      </c>
      <c r="B6" s="307" t="s">
        <v>2089</v>
      </c>
    </row>
    <row r="7" spans="1:2" x14ac:dyDescent="0.2">
      <c r="A7" s="847">
        <v>3</v>
      </c>
      <c r="B7" s="307" t="s">
        <v>2090</v>
      </c>
    </row>
    <row r="8" spans="1:2" x14ac:dyDescent="0.2">
      <c r="A8" s="847">
        <v>4</v>
      </c>
      <c r="B8" s="307" t="s">
        <v>2091</v>
      </c>
    </row>
    <row r="9" spans="1:2" x14ac:dyDescent="0.2">
      <c r="A9" s="847">
        <v>5</v>
      </c>
      <c r="B9" s="307" t="s">
        <v>2092</v>
      </c>
    </row>
    <row r="10" spans="1:2" x14ac:dyDescent="0.2">
      <c r="A10" s="847">
        <v>6</v>
      </c>
      <c r="B10" s="307" t="s">
        <v>2093</v>
      </c>
    </row>
    <row r="11" spans="1:2" x14ac:dyDescent="0.2">
      <c r="A11" s="847">
        <v>7</v>
      </c>
      <c r="B11" s="307" t="s">
        <v>2094</v>
      </c>
    </row>
    <row r="12" spans="1:2" x14ac:dyDescent="0.2">
      <c r="A12" s="847">
        <v>8</v>
      </c>
      <c r="B12" s="307" t="s">
        <v>2095</v>
      </c>
    </row>
    <row r="13" spans="1:2" x14ac:dyDescent="0.2">
      <c r="A13" s="847">
        <v>9</v>
      </c>
      <c r="B13" s="307" t="s">
        <v>2096</v>
      </c>
    </row>
    <row r="14" spans="1:2" x14ac:dyDescent="0.2">
      <c r="A14" s="847"/>
      <c r="B14" s="307" t="s">
        <v>2097</v>
      </c>
    </row>
    <row r="15" spans="1:2" x14ac:dyDescent="0.2">
      <c r="A15" s="847"/>
      <c r="B15" s="307" t="s">
        <v>2098</v>
      </c>
    </row>
    <row r="16" spans="1:2" x14ac:dyDescent="0.2">
      <c r="A16" s="847"/>
      <c r="B16" s="307" t="s">
        <v>2099</v>
      </c>
    </row>
    <row r="17" spans="1:1" x14ac:dyDescent="0.2">
      <c r="A17" s="847">
        <v>10</v>
      </c>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Beardstown CUSD 15</v>
      </c>
    </row>
    <row r="65" spans="2:2" x14ac:dyDescent="0.2">
      <c r="B65" s="849">
        <f>COVER!A13</f>
        <v>1009015026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23" sqref="T23:W2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55" t="s">
        <v>1055</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685</v>
      </c>
      <c r="B40" s="2152"/>
      <c r="C40" s="2152"/>
      <c r="D40" s="2152"/>
      <c r="E40" s="2152"/>
    </row>
    <row r="41" spans="1:5" x14ac:dyDescent="0.2">
      <c r="A41" s="2153" t="s">
        <v>1590</v>
      </c>
      <c r="B41" s="2153"/>
      <c r="C41" s="2153"/>
      <c r="D41" s="2153"/>
      <c r="E41" s="2153"/>
    </row>
    <row r="42" spans="1:5" ht="12.75" customHeight="1" x14ac:dyDescent="0.2">
      <c r="A42" s="2154" t="s">
        <v>1014</v>
      </c>
      <c r="B42" s="2154"/>
      <c r="C42" s="2154"/>
      <c r="D42" s="2154"/>
      <c r="E42" s="2154"/>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 sqref="C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69" t="s">
        <v>1664</v>
      </c>
      <c r="B18" s="246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6081" r:id="rId4">
          <objectPr defaultSize="0" autoPict="0" r:id="rId5">
            <anchor moveWithCells="1">
              <from>
                <xdr:col>1</xdr:col>
                <xdr:colOff>1562100</xdr:colOff>
                <xdr:row>3</xdr:row>
                <xdr:rowOff>95250</xdr:rowOff>
              </from>
              <to>
                <xdr:col>1</xdr:col>
                <xdr:colOff>2609850</xdr:colOff>
                <xdr:row>8</xdr:row>
                <xdr:rowOff>133350</xdr:rowOff>
              </to>
            </anchor>
          </objectPr>
        </oleObject>
      </mc:Choice>
      <mc:Fallback>
        <oleObject progId="Acrobat Document" dvAspect="DVASPECT_ICON" shapeId="4608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1668</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1968</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1669</v>
      </c>
      <c r="B6" s="2487"/>
      <c r="C6" s="2487"/>
      <c r="D6" s="2487"/>
      <c r="E6" s="2487"/>
      <c r="F6" s="2488"/>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14867448</v>
      </c>
      <c r="C8" s="1813">
        <f>'Acct Summary 7-8'!D8</f>
        <v>666934</v>
      </c>
      <c r="D8" s="1813">
        <f>'Acct Summary 7-8'!F8</f>
        <v>600365</v>
      </c>
      <c r="E8" s="1813">
        <f>'Acct Summary 7-8'!I8</f>
        <v>2326</v>
      </c>
      <c r="F8" s="1813">
        <f>SUM(B8:E8)</f>
        <v>16137073</v>
      </c>
    </row>
    <row r="9" spans="1:8" s="858" customFormat="1" ht="14.25" customHeight="1" thickBot="1" x14ac:dyDescent="0.25">
      <c r="A9" s="857" t="s">
        <v>1352</v>
      </c>
      <c r="B9" s="1814">
        <f>'Acct Summary 7-8'!C17</f>
        <v>12197958</v>
      </c>
      <c r="C9" s="1814">
        <f>'Acct Summary 7-8'!D17</f>
        <v>532643</v>
      </c>
      <c r="D9" s="1814">
        <f>'Acct Summary 7-8'!F17</f>
        <v>458242</v>
      </c>
      <c r="E9" s="1813"/>
      <c r="F9" s="1813">
        <f>SUM(B9:E9)</f>
        <v>13188843</v>
      </c>
    </row>
    <row r="10" spans="1:8" s="858" customFormat="1" ht="14.25" thickTop="1" thickBot="1" x14ac:dyDescent="0.25">
      <c r="A10" s="859" t="s">
        <v>1353</v>
      </c>
      <c r="B10" s="1815">
        <f>(B8-B9)</f>
        <v>2669490</v>
      </c>
      <c r="C10" s="1815">
        <f>(C8-C9)</f>
        <v>134291</v>
      </c>
      <c r="D10" s="1815">
        <f>(D8-D9)</f>
        <v>142123</v>
      </c>
      <c r="E10" s="1814">
        <f>(E8-E9)</f>
        <v>2326</v>
      </c>
      <c r="F10" s="1816">
        <f>SUM(F8-F9)</f>
        <v>2948230</v>
      </c>
    </row>
    <row r="11" spans="1:8" s="858" customFormat="1" ht="14.25" thickTop="1" thickBot="1" x14ac:dyDescent="0.25">
      <c r="A11" s="860" t="s">
        <v>1899</v>
      </c>
      <c r="B11" s="1817">
        <f>'Acct Summary 7-8'!C81</f>
        <v>9907043</v>
      </c>
      <c r="C11" s="1817">
        <f>'Acct Summary 7-8'!D81</f>
        <v>1570287</v>
      </c>
      <c r="D11" s="1817">
        <f>'Acct Summary 7-8'!F81</f>
        <v>1412811</v>
      </c>
      <c r="E11" s="1817">
        <f>'Acct Summary 7-8'!I81</f>
        <v>814286</v>
      </c>
      <c r="F11" s="1818">
        <f>SUM(B11:E11)</f>
        <v>13704427</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1665</v>
      </c>
      <c r="B16" s="2473"/>
      <c r="C16" s="2473"/>
      <c r="D16" s="2473"/>
      <c r="E16" s="2473"/>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A3" sqref="A3:D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659</v>
      </c>
      <c r="B3" s="2496"/>
      <c r="C3" s="2496"/>
      <c r="D3" s="2497"/>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6" t="s">
        <v>1486</v>
      </c>
      <c r="D7" s="2507"/>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8" t="s">
        <v>1000</v>
      </c>
      <c r="B15" s="2499"/>
      <c r="C15" s="2499"/>
      <c r="D15" s="2500"/>
    </row>
    <row r="16" spans="1:4" s="542" customFormat="1" ht="24" customHeight="1" x14ac:dyDescent="0.2">
      <c r="A16" s="2501" t="s">
        <v>657</v>
      </c>
      <c r="B16" s="2502"/>
      <c r="C16" s="2502"/>
      <c r="D16" s="2503"/>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10" t="s">
        <v>310</v>
      </c>
      <c r="D21" s="2511"/>
    </row>
    <row r="22" spans="1:10" ht="12.75" x14ac:dyDescent="0.2">
      <c r="A22" s="918"/>
      <c r="B22" s="919">
        <v>2</v>
      </c>
      <c r="C22" s="2508" t="s">
        <v>1506</v>
      </c>
      <c r="D22" s="2509"/>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2" t="s">
        <v>532</v>
      </c>
      <c r="D43" s="2513"/>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4" t="s">
        <v>778</v>
      </c>
      <c r="D56" s="2505"/>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ERROR!</v>
      </c>
    </row>
    <row r="69" spans="1:4" x14ac:dyDescent="0.2">
      <c r="A69" s="879"/>
      <c r="B69" s="889"/>
      <c r="C69" s="881" t="s">
        <v>1878</v>
      </c>
      <c r="D69" s="903" t="str">
        <f>IF('Expenditures 15-22'!H170&lt;&gt;'Short-Term Long-Term Debt 24'!H49,"ERROR!","OK")</f>
        <v>ERROR!</v>
      </c>
    </row>
    <row r="70" spans="1:4" x14ac:dyDescent="0.2">
      <c r="A70" s="877"/>
      <c r="B70" s="899">
        <f>B66+1</f>
        <v>9</v>
      </c>
      <c r="C70" s="2504" t="s">
        <v>1673</v>
      </c>
      <c r="D70" s="2505"/>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901"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900" t="s">
        <v>1974</v>
      </c>
    </row>
    <row r="2" spans="1:7" ht="15.75" x14ac:dyDescent="0.25">
      <c r="A2" t="s">
        <v>260</v>
      </c>
      <c r="B2" s="135">
        <f>COVER!A13</f>
        <v>1009015026</v>
      </c>
      <c r="E2" s="1542">
        <v>2020</v>
      </c>
      <c r="F2" s="1542">
        <v>1</v>
      </c>
      <c r="G2" s="1899">
        <v>101000300</v>
      </c>
    </row>
    <row r="3" spans="1:7" ht="15" x14ac:dyDescent="0.25">
      <c r="A3" t="s">
        <v>949</v>
      </c>
      <c r="B3" s="135" t="str">
        <f>COVER!A15</f>
        <v>Cass</v>
      </c>
      <c r="E3" s="1830" t="s">
        <v>1967</v>
      </c>
      <c r="F3" s="1830" t="s">
        <v>1966</v>
      </c>
      <c r="G3" s="1899">
        <v>101000400</v>
      </c>
    </row>
    <row r="4" spans="1:7" ht="15" x14ac:dyDescent="0.25">
      <c r="A4" t="s">
        <v>999</v>
      </c>
      <c r="B4" s="135" t="str">
        <f>COVER!A17</f>
        <v>Beardstown CUSD 15</v>
      </c>
      <c r="E4" s="1828">
        <v>44119</v>
      </c>
      <c r="F4" s="1829">
        <v>44151</v>
      </c>
      <c r="G4" s="1899">
        <v>101000600</v>
      </c>
    </row>
    <row r="5" spans="1:7" ht="15" x14ac:dyDescent="0.25">
      <c r="A5" t="s">
        <v>698</v>
      </c>
      <c r="B5" s="135" t="str">
        <f>COVER!A38</f>
        <v>Ron Gilbert, Superintendent</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Yes</v>
      </c>
      <c r="G12" s="1899">
        <v>202100600</v>
      </c>
    </row>
    <row r="13" spans="1:7" ht="15" x14ac:dyDescent="0.25">
      <c r="A13" s="1" t="s">
        <v>1526</v>
      </c>
      <c r="B13" s="135" t="str">
        <f>IF(COVER!J30="x","Yes",IF(COVER!L30="x","No",0))</f>
        <v>Yes</v>
      </c>
      <c r="G13" s="1899">
        <v>202100800</v>
      </c>
    </row>
    <row r="14" spans="1:7" ht="15" x14ac:dyDescent="0.25">
      <c r="A14" t="s">
        <v>472</v>
      </c>
      <c r="B14" s="135" t="str">
        <f>IF(COVER!J31="x","Yes",IF(COVER!L31="x","No",0))</f>
        <v>Yes</v>
      </c>
      <c r="G14" s="1899">
        <v>402100300</v>
      </c>
    </row>
    <row r="15" spans="1:7" ht="15" x14ac:dyDescent="0.25">
      <c r="A15" t="s">
        <v>572</v>
      </c>
      <c r="B15" s="135" t="str">
        <f>COVER!T23</f>
        <v>066-005315</v>
      </c>
      <c r="G15" s="1899">
        <v>402100400</v>
      </c>
    </row>
    <row r="16" spans="1:7" ht="15" x14ac:dyDescent="0.25">
      <c r="A16" t="s">
        <v>418</v>
      </c>
      <c r="B16" s="135" t="str">
        <f>COVER!T13</f>
        <v>Pehlman and Dold, P.C.</v>
      </c>
      <c r="G16" s="1899">
        <v>402100600</v>
      </c>
    </row>
    <row r="17" spans="1:7" ht="15" x14ac:dyDescent="0.25">
      <c r="A17" t="s">
        <v>877</v>
      </c>
      <c r="B17" s="135" t="str">
        <f>COVER!T15</f>
        <v>Dorinda L Fitzgerald</v>
      </c>
      <c r="G17" s="1899">
        <v>402100800</v>
      </c>
    </row>
    <row r="18" spans="1:7" ht="15" x14ac:dyDescent="0.25">
      <c r="A18" t="s">
        <v>1139</v>
      </c>
      <c r="B18" s="135" t="str">
        <f>COVER!T17</f>
        <v>100 North Amos Avenue</v>
      </c>
      <c r="G18" s="1899">
        <v>102200300</v>
      </c>
    </row>
    <row r="19" spans="1:7" ht="15" x14ac:dyDescent="0.25">
      <c r="A19" t="s">
        <v>879</v>
      </c>
      <c r="B19" s="135" t="str">
        <f>COVER!T25</f>
        <v>dfitzgerald@p-dcpas.com</v>
      </c>
      <c r="G19" s="1899">
        <v>102200400</v>
      </c>
    </row>
    <row r="20" spans="1:7" ht="15" x14ac:dyDescent="0.25">
      <c r="A20" t="s">
        <v>880</v>
      </c>
      <c r="B20" s="135" t="str">
        <f>COVER!T19</f>
        <v>Springfield</v>
      </c>
      <c r="G20" s="1899">
        <v>102200600</v>
      </c>
    </row>
    <row r="21" spans="1:7" ht="15" x14ac:dyDescent="0.25">
      <c r="A21" t="s">
        <v>475</v>
      </c>
      <c r="B21" s="135" t="str">
        <f>COVER!X19</f>
        <v>IL</v>
      </c>
      <c r="G21" s="1899">
        <v>102200800</v>
      </c>
    </row>
    <row r="22" spans="1:7" ht="15" x14ac:dyDescent="0.25">
      <c r="A22" t="s">
        <v>881</v>
      </c>
      <c r="B22" s="135">
        <f>COVER!Z19</f>
        <v>62702</v>
      </c>
      <c r="G22" s="1899">
        <v>102300300</v>
      </c>
    </row>
    <row r="23" spans="1:7" ht="15" x14ac:dyDescent="0.25">
      <c r="A23" t="s">
        <v>1141</v>
      </c>
      <c r="B23" s="135" t="str">
        <f>COVER!T21</f>
        <v>(217) 787-0563</v>
      </c>
      <c r="G23" s="1899">
        <v>102300400</v>
      </c>
    </row>
    <row r="24" spans="1:7" ht="15" x14ac:dyDescent="0.25">
      <c r="A24" t="s">
        <v>1140</v>
      </c>
      <c r="B24" s="135">
        <f>COVER!Y21</f>
        <v>0</v>
      </c>
      <c r="G24" s="1899">
        <v>102300600</v>
      </c>
    </row>
    <row r="25" spans="1:7" ht="15" x14ac:dyDescent="0.25">
      <c r="A25" t="s">
        <v>755</v>
      </c>
      <c r="B25" s="135">
        <f>COVER!B34</f>
        <v>0</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0</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0</v>
      </c>
      <c r="G49" s="1899">
        <v>102540800</v>
      </c>
    </row>
    <row r="50" spans="1:7" ht="15" x14ac:dyDescent="0.25">
      <c r="A50" s="1" t="s">
        <v>1462</v>
      </c>
      <c r="B50" s="146">
        <f>'Aud Quest 2'!H53</f>
        <v>0</v>
      </c>
      <c r="G50" s="1899">
        <v>202540300</v>
      </c>
    </row>
    <row r="51" spans="1:7" ht="15" x14ac:dyDescent="0.25">
      <c r="A51" s="1" t="s">
        <v>1464</v>
      </c>
      <c r="B51" s="135" t="str">
        <f>IF('Aud Quest 2'!B54="x","Yes",IF('Aud Quest 2'!B54&lt;&gt;"x","0"))</f>
        <v>Yes</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1843670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9985851</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3473</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78808</v>
      </c>
      <c r="C91" s="2" t="s">
        <v>568</v>
      </c>
      <c r="D91" s="2" t="str">
        <f t="shared" si="0"/>
        <v>Error?</v>
      </c>
      <c r="G91" s="1899">
        <v>102640400</v>
      </c>
    </row>
    <row r="92" spans="1:7" ht="15" x14ac:dyDescent="0.25">
      <c r="A92" s="5">
        <v>31</v>
      </c>
      <c r="B92" s="1832">
        <f>'Assets-Liab 5-6'!C39</f>
        <v>9794639</v>
      </c>
      <c r="D92" s="2" t="str">
        <f t="shared" si="0"/>
        <v>Error?</v>
      </c>
      <c r="G92" s="1899">
        <v>102640600</v>
      </c>
    </row>
    <row r="93" spans="1:7" ht="15" x14ac:dyDescent="0.25">
      <c r="A93" s="5">
        <v>32</v>
      </c>
      <c r="B93" s="1832">
        <f>'Assets-Liab 5-6'!C41</f>
        <v>9985851</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200000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1570287</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1570287</v>
      </c>
      <c r="D123" s="2" t="str">
        <f t="shared" si="0"/>
        <v>Error?</v>
      </c>
      <c r="G123" s="1899">
        <v>203000400</v>
      </c>
    </row>
    <row r="124" spans="1:7" ht="15" x14ac:dyDescent="0.25">
      <c r="A124" s="5">
        <v>63</v>
      </c>
      <c r="B124" s="1832">
        <f>'Assets-Liab 5-6'!D41</f>
        <v>1570287</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1069957</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0</v>
      </c>
      <c r="D140" s="2" t="str">
        <f t="shared" si="1"/>
        <v>Error?</v>
      </c>
    </row>
    <row r="141" spans="1:7" x14ac:dyDescent="0.2">
      <c r="A141" s="5">
        <v>80</v>
      </c>
      <c r="B141" s="1832">
        <f>'Assets-Liab 5-6'!E41</f>
        <v>1069957</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1412811</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1412811</v>
      </c>
      <c r="D170" s="2" t="str">
        <f t="shared" si="1"/>
        <v>Error?</v>
      </c>
    </row>
    <row r="171" spans="1:4" x14ac:dyDescent="0.2">
      <c r="A171" s="5">
        <v>110</v>
      </c>
      <c r="B171" s="1832">
        <f>'Assets-Liab 5-6'!F41</f>
        <v>1412811</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979145</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979145</v>
      </c>
      <c r="D189" s="2" t="str">
        <f t="shared" si="1"/>
        <v>Error?</v>
      </c>
    </row>
    <row r="190" spans="1:4" x14ac:dyDescent="0.2">
      <c r="A190" s="5">
        <v>129</v>
      </c>
      <c r="B190" s="1832">
        <f>'Assets-Liab 5-6'!G41</f>
        <v>979145</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5795</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5795</v>
      </c>
      <c r="D212" s="2" t="str">
        <f t="shared" si="2"/>
        <v>Error?</v>
      </c>
    </row>
    <row r="213" spans="1:4" x14ac:dyDescent="0.2">
      <c r="A213" s="12">
        <v>152</v>
      </c>
      <c r="B213" s="1832">
        <f>'Assets-Liab 5-6'!H41</f>
        <v>5795</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142942</v>
      </c>
      <c r="D273" s="2" t="str">
        <f t="shared" si="3"/>
        <v>Error?</v>
      </c>
    </row>
    <row r="274" spans="1:4" x14ac:dyDescent="0.2">
      <c r="A274" s="5">
        <v>213</v>
      </c>
      <c r="B274" s="1832">
        <f>'Assets-Liab 5-6'!M17</f>
        <v>33393949</v>
      </c>
      <c r="D274" s="2" t="str">
        <f t="shared" si="3"/>
        <v>Error?</v>
      </c>
    </row>
    <row r="275" spans="1:4" x14ac:dyDescent="0.2">
      <c r="A275" s="5">
        <v>214</v>
      </c>
      <c r="B275" s="1832">
        <f>'Assets-Liab 5-6'!M18</f>
        <v>279328</v>
      </c>
      <c r="D275" s="2" t="str">
        <f t="shared" si="3"/>
        <v>Error?</v>
      </c>
    </row>
    <row r="276" spans="1:4" x14ac:dyDescent="0.2">
      <c r="A276" s="5">
        <v>215</v>
      </c>
      <c r="B276" s="1832">
        <f>'Assets-Liab 5-6'!M19</f>
        <v>2333866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36150085</v>
      </c>
      <c r="C279" s="2" t="s">
        <v>568</v>
      </c>
      <c r="D279" s="2" t="str">
        <f t="shared" si="3"/>
        <v>Error?</v>
      </c>
    </row>
    <row r="280" spans="1:4" x14ac:dyDescent="0.2">
      <c r="A280" s="5">
        <v>219</v>
      </c>
      <c r="B280" s="1832">
        <f>'Assets-Liab 5-6'!M40</f>
        <v>36150085</v>
      </c>
      <c r="D280" s="2" t="str">
        <f t="shared" si="3"/>
        <v>Error?</v>
      </c>
    </row>
    <row r="281" spans="1:4" x14ac:dyDescent="0.2">
      <c r="A281" s="5">
        <v>220</v>
      </c>
      <c r="B281" s="1832">
        <f>'Assets-Liab 5-6'!M41</f>
        <v>36150085</v>
      </c>
      <c r="C281" s="2" t="s">
        <v>568</v>
      </c>
      <c r="D281" s="2" t="str">
        <f t="shared" si="3"/>
        <v>Error?</v>
      </c>
    </row>
    <row r="282" spans="1:4" x14ac:dyDescent="0.2">
      <c r="A282" s="5">
        <v>221</v>
      </c>
      <c r="B282" s="1832">
        <f>'Assets-Liab 5-6'!N21</f>
        <v>1069957</v>
      </c>
      <c r="D282" s="2" t="str">
        <f t="shared" si="3"/>
        <v>Error?</v>
      </c>
    </row>
    <row r="283" spans="1:4" x14ac:dyDescent="0.2">
      <c r="A283" s="5">
        <v>222</v>
      </c>
      <c r="B283" s="1832">
        <f>'Assets-Liab 5-6'!N22</f>
        <v>474760</v>
      </c>
      <c r="D283" s="2" t="str">
        <f t="shared" si="3"/>
        <v>Error?</v>
      </c>
    </row>
    <row r="284" spans="1:4" x14ac:dyDescent="0.2">
      <c r="A284" s="5">
        <v>223</v>
      </c>
      <c r="B284" s="1832">
        <f>'Assets-Liab 5-6'!N23</f>
        <v>1544717</v>
      </c>
      <c r="C284" s="2" t="s">
        <v>568</v>
      </c>
      <c r="D284" s="2" t="str">
        <f t="shared" si="3"/>
        <v>Error?</v>
      </c>
    </row>
    <row r="285" spans="1:4" x14ac:dyDescent="0.2">
      <c r="A285" s="5">
        <v>224</v>
      </c>
      <c r="B285" s="1832">
        <f>'Assets-Liab 5-6'!N36</f>
        <v>1544717</v>
      </c>
      <c r="D285" s="2" t="str">
        <f t="shared" si="3"/>
        <v>Error?</v>
      </c>
    </row>
    <row r="286" spans="1:4" x14ac:dyDescent="0.2">
      <c r="A286" s="10">
        <v>225</v>
      </c>
      <c r="B286" s="1832"/>
      <c r="D286" s="2" t="str">
        <f t="shared" si="3"/>
        <v>OK</v>
      </c>
    </row>
    <row r="287" spans="1:4" x14ac:dyDescent="0.2">
      <c r="A287" s="5">
        <v>226</v>
      </c>
      <c r="B287" s="1832">
        <f>'Assets-Liab 5-6'!N37</f>
        <v>1544717</v>
      </c>
      <c r="C287" s="2" t="s">
        <v>568</v>
      </c>
      <c r="D287" s="2" t="str">
        <f t="shared" si="3"/>
        <v>Error?</v>
      </c>
    </row>
    <row r="288" spans="1:4" x14ac:dyDescent="0.2">
      <c r="A288" s="5">
        <v>227</v>
      </c>
      <c r="B288" s="1832">
        <f>'Assets-Liab 5-6'!N41</f>
        <v>1544717</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4376431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168700</v>
      </c>
      <c r="D717" s="2" t="str">
        <f t="shared" si="10"/>
        <v>Error?</v>
      </c>
    </row>
    <row r="718" spans="1:4" x14ac:dyDescent="0.2">
      <c r="A718" s="5">
        <v>657</v>
      </c>
      <c r="B718" s="1832">
        <f>'Expenditures 15-22'!C14</f>
        <v>113310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6243047</v>
      </c>
      <c r="C720" s="2" t="s">
        <v>568</v>
      </c>
      <c r="D720" s="2" t="str">
        <f t="shared" si="10"/>
        <v>Error?</v>
      </c>
    </row>
    <row r="721" spans="1:4" x14ac:dyDescent="0.2">
      <c r="A721" s="5">
        <v>660</v>
      </c>
      <c r="B721" s="1832">
        <f>'Expenditures 15-22'!C36</f>
        <v>120093</v>
      </c>
      <c r="D721" s="2" t="str">
        <f t="shared" si="10"/>
        <v>Error?</v>
      </c>
    </row>
    <row r="722" spans="1:4" x14ac:dyDescent="0.2">
      <c r="A722" s="5">
        <v>661</v>
      </c>
      <c r="B722" s="1832">
        <f>'Expenditures 15-22'!C37</f>
        <v>103225</v>
      </c>
      <c r="D722" s="2" t="str">
        <f t="shared" si="10"/>
        <v>Error?</v>
      </c>
    </row>
    <row r="723" spans="1:4" x14ac:dyDescent="0.2">
      <c r="A723" s="5">
        <v>662</v>
      </c>
      <c r="B723" s="1832">
        <f>'Expenditures 15-22'!C38</f>
        <v>39510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106556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369384</v>
      </c>
      <c r="C727" s="2" t="s">
        <v>568</v>
      </c>
      <c r="D727" s="2" t="str">
        <f t="shared" si="10"/>
        <v>Error?</v>
      </c>
    </row>
    <row r="728" spans="1:4" x14ac:dyDescent="0.2">
      <c r="A728" s="5">
        <v>667</v>
      </c>
      <c r="B728" s="1832">
        <f>'Expenditures 15-22'!C44</f>
        <v>22401</v>
      </c>
      <c r="D728" s="2" t="str">
        <f t="shared" si="10"/>
        <v>Error?</v>
      </c>
    </row>
    <row r="729" spans="1:4" x14ac:dyDescent="0.2">
      <c r="A729" s="5">
        <v>668</v>
      </c>
      <c r="B729" s="1832">
        <f>'Expenditures 15-22'!C45</f>
        <v>19305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41706</v>
      </c>
      <c r="C731" s="2" t="s">
        <v>568</v>
      </c>
      <c r="D731" s="2" t="str">
        <f t="shared" si="10"/>
        <v>Error?</v>
      </c>
    </row>
    <row r="732" spans="1:4" x14ac:dyDescent="0.2">
      <c r="A732" s="5">
        <v>671</v>
      </c>
      <c r="B732" s="1832">
        <f>'Expenditures 15-22'!C49</f>
        <v>27438</v>
      </c>
      <c r="D732" s="2" t="str">
        <f t="shared" si="10"/>
        <v>Error?</v>
      </c>
    </row>
    <row r="733" spans="1:4" x14ac:dyDescent="0.2">
      <c r="A733" s="5">
        <v>672</v>
      </c>
      <c r="B733" s="1832">
        <f>'Expenditures 15-22'!C50</f>
        <v>135562</v>
      </c>
      <c r="D733" s="2" t="str">
        <f t="shared" si="10"/>
        <v>Error?</v>
      </c>
    </row>
    <row r="734" spans="1:4" x14ac:dyDescent="0.2">
      <c r="A734" s="5">
        <v>673</v>
      </c>
      <c r="B734" s="1832">
        <f>'Expenditures 15-22'!C53</f>
        <v>163000</v>
      </c>
      <c r="C734" s="2" t="s">
        <v>568</v>
      </c>
      <c r="D734" s="2" t="str">
        <f t="shared" si="10"/>
        <v>Error?</v>
      </c>
    </row>
    <row r="735" spans="1:4" x14ac:dyDescent="0.2">
      <c r="A735" s="5">
        <v>674</v>
      </c>
      <c r="B735" s="1832">
        <f>'Expenditures 15-22'!C55</f>
        <v>626982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626982</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122169</v>
      </c>
      <c r="D739" s="2" t="str">
        <f t="shared" si="10"/>
        <v>Error?</v>
      </c>
    </row>
    <row r="740" spans="1:4" x14ac:dyDescent="0.2">
      <c r="A740" s="5">
        <v>679</v>
      </c>
      <c r="B740" s="1832">
        <f>'Expenditures 15-22'!C61</f>
        <v>403866</v>
      </c>
      <c r="D740" s="2" t="str">
        <f t="shared" si="10"/>
        <v>Error?</v>
      </c>
    </row>
    <row r="741" spans="1:4" x14ac:dyDescent="0.2">
      <c r="A741" s="5">
        <v>680</v>
      </c>
      <c r="B741" s="1832">
        <f>'Expenditures 15-22'!C62</f>
        <v>3308</v>
      </c>
      <c r="D741" s="2" t="str">
        <f t="shared" si="10"/>
        <v>Error?</v>
      </c>
    </row>
    <row r="742" spans="1:4" x14ac:dyDescent="0.2">
      <c r="A742" s="5">
        <v>681</v>
      </c>
      <c r="B742" s="1832">
        <f>'Expenditures 15-22'!C63</f>
        <v>243213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772556</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1973628</v>
      </c>
      <c r="C755" s="2" t="s">
        <v>568</v>
      </c>
      <c r="D755" s="2" t="str">
        <f t="shared" si="10"/>
        <v>Error?</v>
      </c>
    </row>
    <row r="756" spans="1:4" x14ac:dyDescent="0.2">
      <c r="A756" s="5">
        <v>695</v>
      </c>
      <c r="B756" s="1832">
        <f>'Expenditures 15-22'!C75</f>
        <v>264384</v>
      </c>
      <c r="D756" s="2" t="str">
        <f t="shared" si="10"/>
        <v>Error?</v>
      </c>
    </row>
    <row r="757" spans="1:4" x14ac:dyDescent="0.2">
      <c r="A757" s="5">
        <v>696</v>
      </c>
      <c r="B757" s="1832">
        <f>'Expenditures 15-22'!C114</f>
        <v>8481059</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541501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21829</v>
      </c>
      <c r="D775" s="2" t="str">
        <f t="shared" si="11"/>
        <v>Error?</v>
      </c>
    </row>
    <row r="776" spans="1:4" x14ac:dyDescent="0.2">
      <c r="A776" s="5">
        <v>715</v>
      </c>
      <c r="B776" s="1832">
        <f>'Expenditures 15-22'!D14</f>
        <v>10075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760825</v>
      </c>
      <c r="C778" s="2" t="s">
        <v>568</v>
      </c>
      <c r="D778" s="2" t="str">
        <f t="shared" si="11"/>
        <v>Error?</v>
      </c>
    </row>
    <row r="779" spans="1:4" x14ac:dyDescent="0.2">
      <c r="A779" s="5">
        <v>718</v>
      </c>
      <c r="B779" s="1832">
        <f>'Expenditures 15-22'!D36</f>
        <v>17722</v>
      </c>
      <c r="D779" s="2" t="str">
        <f t="shared" si="11"/>
        <v>Error?</v>
      </c>
    </row>
    <row r="780" spans="1:4" x14ac:dyDescent="0.2">
      <c r="A780" s="5">
        <v>719</v>
      </c>
      <c r="B780" s="1832">
        <f>'Expenditures 15-22'!D37</f>
        <v>17740</v>
      </c>
      <c r="D780" s="2" t="str">
        <f t="shared" si="11"/>
        <v>Error?</v>
      </c>
    </row>
    <row r="781" spans="1:4" x14ac:dyDescent="0.2">
      <c r="A781" s="5">
        <v>720</v>
      </c>
      <c r="B781" s="1832">
        <f>'Expenditures 15-22'!D38</f>
        <v>5189</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14368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55019</v>
      </c>
      <c r="C785" s="2" t="s">
        <v>568</v>
      </c>
      <c r="D785" s="2" t="str">
        <f t="shared" si="11"/>
        <v>Error?</v>
      </c>
    </row>
    <row r="786" spans="1:4" x14ac:dyDescent="0.2">
      <c r="A786" s="5">
        <v>725</v>
      </c>
      <c r="B786" s="1832">
        <f>'Expenditures 15-22'!D44</f>
        <v>4425</v>
      </c>
      <c r="D786" s="2" t="str">
        <f t="shared" si="11"/>
        <v>Error?</v>
      </c>
    </row>
    <row r="787" spans="1:4" x14ac:dyDescent="0.2">
      <c r="A787" s="5">
        <v>726</v>
      </c>
      <c r="B787" s="1832">
        <f>'Expenditures 15-22'!D45</f>
        <v>1238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5663</v>
      </c>
      <c r="C789" s="2" t="s">
        <v>568</v>
      </c>
      <c r="D789" s="2" t="str">
        <f t="shared" si="11"/>
        <v>Error?</v>
      </c>
    </row>
    <row r="790" spans="1:4" x14ac:dyDescent="0.2">
      <c r="A790" s="5">
        <v>729</v>
      </c>
      <c r="B790" s="1832">
        <f>'Expenditures 15-22'!D49</f>
        <v>2636</v>
      </c>
      <c r="D790" s="2" t="str">
        <f t="shared" si="11"/>
        <v>Error?</v>
      </c>
    </row>
    <row r="791" spans="1:4" x14ac:dyDescent="0.2">
      <c r="A791" s="5">
        <v>730</v>
      </c>
      <c r="B791" s="1832">
        <f>'Expenditures 15-22'!D50</f>
        <v>6818</v>
      </c>
      <c r="D791" s="2" t="str">
        <f t="shared" si="11"/>
        <v>Error?</v>
      </c>
    </row>
    <row r="792" spans="1:4" x14ac:dyDescent="0.2">
      <c r="A792" s="5">
        <v>731</v>
      </c>
      <c r="B792" s="1832">
        <f>'Expenditures 15-22'!D53</f>
        <v>9454</v>
      </c>
      <c r="C792" s="2" t="s">
        <v>568</v>
      </c>
      <c r="D792" s="2" t="str">
        <f t="shared" si="11"/>
        <v>Error?</v>
      </c>
    </row>
    <row r="793" spans="1:4" x14ac:dyDescent="0.2">
      <c r="A793" s="5">
        <v>732</v>
      </c>
      <c r="B793" s="1832">
        <f>'Expenditures 15-22'!D55</f>
        <v>61920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61920</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21331</v>
      </c>
      <c r="D797" s="2" t="str">
        <f t="shared" si="11"/>
        <v>Error?</v>
      </c>
    </row>
    <row r="798" spans="1:4" x14ac:dyDescent="0.2">
      <c r="A798" s="5">
        <v>737</v>
      </c>
      <c r="B798" s="1832">
        <f>'Expenditures 15-22'!D61</f>
        <v>63051</v>
      </c>
      <c r="D798" s="2" t="str">
        <f t="shared" si="11"/>
        <v>Error?</v>
      </c>
    </row>
    <row r="799" spans="1:4" x14ac:dyDescent="0.2">
      <c r="A799" s="5">
        <v>738</v>
      </c>
      <c r="B799" s="1832">
        <f>'Expenditures 15-22'!D62</f>
        <v>518</v>
      </c>
      <c r="D799" s="2" t="str">
        <f t="shared" si="11"/>
        <v>Error?</v>
      </c>
    </row>
    <row r="800" spans="1:4" x14ac:dyDescent="0.2">
      <c r="A800" s="5">
        <v>739</v>
      </c>
      <c r="B800" s="1832">
        <f>'Expenditures 15-22'!D63</f>
        <v>12426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97326</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229382</v>
      </c>
      <c r="C813" s="2" t="s">
        <v>568</v>
      </c>
      <c r="D813" s="2" t="str">
        <f t="shared" si="11"/>
        <v>Error?</v>
      </c>
    </row>
    <row r="814" spans="1:4" x14ac:dyDescent="0.2">
      <c r="A814" s="5">
        <v>753</v>
      </c>
      <c r="B814" s="1832">
        <f>'Expenditures 15-22'!D75</f>
        <v>18590</v>
      </c>
      <c r="D814" s="2" t="str">
        <f t="shared" si="11"/>
        <v>Error?</v>
      </c>
    </row>
    <row r="815" spans="1:4" x14ac:dyDescent="0.2">
      <c r="A815" s="5">
        <v>754</v>
      </c>
      <c r="B815" s="1832">
        <f>'Expenditures 15-22'!D114</f>
        <v>1008797</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113505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28749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167513</v>
      </c>
      <c r="C836" s="2" t="s">
        <v>568</v>
      </c>
      <c r="D836" s="2" t="str">
        <f t="shared" si="12"/>
        <v>Error?</v>
      </c>
    </row>
    <row r="837" spans="1:4" x14ac:dyDescent="0.2">
      <c r="A837" s="5">
        <v>776</v>
      </c>
      <c r="B837" s="1832">
        <f>'Expenditures 15-22'!E36</f>
        <v>54259</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295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54554</v>
      </c>
      <c r="C843" s="2" t="s">
        <v>568</v>
      </c>
      <c r="D843" s="2" t="str">
        <f t="shared" si="12"/>
        <v>Error?</v>
      </c>
    </row>
    <row r="844" spans="1:4" x14ac:dyDescent="0.2">
      <c r="A844" s="5">
        <v>783</v>
      </c>
      <c r="B844" s="1832">
        <f>'Expenditures 15-22'!E44</f>
        <v>84296</v>
      </c>
      <c r="D844" s="2" t="str">
        <f t="shared" si="12"/>
        <v>Error?</v>
      </c>
    </row>
    <row r="845" spans="1:4" x14ac:dyDescent="0.2">
      <c r="A845" s="5">
        <v>784</v>
      </c>
      <c r="B845" s="1832">
        <f>'Expenditures 15-22'!E45</f>
        <v>1999</v>
      </c>
      <c r="D845" s="2" t="str">
        <f t="shared" si="12"/>
        <v>Error?</v>
      </c>
    </row>
    <row r="846" spans="1:4" x14ac:dyDescent="0.2">
      <c r="A846" s="5">
        <v>785</v>
      </c>
      <c r="B846" s="1832">
        <f>'Expenditures 15-22'!E46</f>
        <v>8479</v>
      </c>
      <c r="D846" s="2" t="str">
        <f t="shared" si="12"/>
        <v>Error?</v>
      </c>
    </row>
    <row r="847" spans="1:4" x14ac:dyDescent="0.2">
      <c r="A847" s="5">
        <v>786</v>
      </c>
      <c r="B847" s="1832">
        <f>'Expenditures 15-22'!E47</f>
        <v>94774</v>
      </c>
      <c r="C847" s="2" t="s">
        <v>568</v>
      </c>
      <c r="D847" s="2" t="str">
        <f t="shared" si="12"/>
        <v>Error?</v>
      </c>
    </row>
    <row r="848" spans="1:4" x14ac:dyDescent="0.2">
      <c r="A848" s="5">
        <v>787</v>
      </c>
      <c r="B848" s="1832">
        <f>'Expenditures 15-22'!E49</f>
        <v>51731</v>
      </c>
      <c r="D848" s="2" t="str">
        <f t="shared" si="12"/>
        <v>Error?</v>
      </c>
    </row>
    <row r="849" spans="1:4" x14ac:dyDescent="0.2">
      <c r="A849" s="5">
        <v>788</v>
      </c>
      <c r="B849" s="1832">
        <f>'Expenditures 15-22'!E50</f>
        <v>3980</v>
      </c>
      <c r="D849" s="2" t="str">
        <f t="shared" si="12"/>
        <v>Error?</v>
      </c>
    </row>
    <row r="850" spans="1:4" x14ac:dyDescent="0.2">
      <c r="A850" s="5">
        <v>789</v>
      </c>
      <c r="B850" s="1832">
        <f>'Expenditures 15-22'!E53</f>
        <v>55711</v>
      </c>
      <c r="C850" s="2" t="s">
        <v>568</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9832</v>
      </c>
      <c r="D855" s="2" t="str">
        <f t="shared" si="12"/>
        <v>Error?</v>
      </c>
    </row>
    <row r="856" spans="1:4" x14ac:dyDescent="0.2">
      <c r="A856" s="5">
        <v>795</v>
      </c>
      <c r="B856" s="1832">
        <f>'Expenditures 15-22'!E61</f>
        <v>511524</v>
      </c>
      <c r="D856" s="2" t="str">
        <f t="shared" si="12"/>
        <v>Error?</v>
      </c>
    </row>
    <row r="857" spans="1:4" x14ac:dyDescent="0.2">
      <c r="A857" s="5">
        <v>796</v>
      </c>
      <c r="B857" s="1832">
        <f>'Expenditures 15-22'!E62</f>
        <v>91</v>
      </c>
      <c r="D857" s="2" t="str">
        <f t="shared" si="12"/>
        <v>Error?</v>
      </c>
    </row>
    <row r="858" spans="1:4" x14ac:dyDescent="0.2">
      <c r="A858" s="5">
        <v>797</v>
      </c>
      <c r="B858" s="1832">
        <f>'Expenditures 15-22'!E63</f>
        <v>1490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522937</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727976</v>
      </c>
      <c r="C871" s="2" t="s">
        <v>568</v>
      </c>
      <c r="D871" s="2" t="str">
        <f t="shared" si="12"/>
        <v>Error?</v>
      </c>
    </row>
    <row r="872" spans="1:4" x14ac:dyDescent="0.2">
      <c r="A872" s="5">
        <v>811</v>
      </c>
      <c r="B872" s="1832">
        <f>'Expenditures 15-22'!E75</f>
        <v>12559</v>
      </c>
      <c r="D872" s="2" t="str">
        <f t="shared" si="12"/>
        <v>Error?</v>
      </c>
    </row>
    <row r="873" spans="1:4" x14ac:dyDescent="0.2">
      <c r="A873" s="5">
        <v>812</v>
      </c>
      <c r="B873" s="1832">
        <f>'Expenditures 15-22'!E114</f>
        <v>908048</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117630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6676</v>
      </c>
      <c r="D891" s="2" t="str">
        <f t="shared" si="12"/>
        <v>Error?</v>
      </c>
    </row>
    <row r="892" spans="1:4" x14ac:dyDescent="0.2">
      <c r="A892" s="5">
        <v>831</v>
      </c>
      <c r="B892" s="1832">
        <f>'Expenditures 15-22'!F14</f>
        <v>13270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307040</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24388</v>
      </c>
      <c r="D896" s="2" t="str">
        <f t="shared" si="13"/>
        <v>Error?</v>
      </c>
    </row>
    <row r="897" spans="1:4" x14ac:dyDescent="0.2">
      <c r="A897" s="5">
        <v>836</v>
      </c>
      <c r="B897" s="1832">
        <f>'Expenditures 15-22'!F38</f>
        <v>2104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26492</v>
      </c>
      <c r="C901" s="2" t="s">
        <v>568</v>
      </c>
      <c r="D901" s="2" t="str">
        <f t="shared" si="13"/>
        <v>Error?</v>
      </c>
    </row>
    <row r="902" spans="1:4" x14ac:dyDescent="0.2">
      <c r="A902" s="5">
        <v>841</v>
      </c>
      <c r="B902" s="1832">
        <f>'Expenditures 15-22'!F44</f>
        <v>4406</v>
      </c>
      <c r="D902" s="2" t="str">
        <f t="shared" si="13"/>
        <v>Error?</v>
      </c>
    </row>
    <row r="903" spans="1:4" x14ac:dyDescent="0.2">
      <c r="A903" s="5">
        <v>842</v>
      </c>
      <c r="B903" s="1832">
        <f>'Expenditures 15-22'!F45</f>
        <v>6522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10928</v>
      </c>
      <c r="C905" s="2" t="s">
        <v>568</v>
      </c>
      <c r="D905" s="2" t="str">
        <f t="shared" si="13"/>
        <v>Error?</v>
      </c>
    </row>
    <row r="906" spans="1:4" x14ac:dyDescent="0.2">
      <c r="A906" s="5">
        <v>845</v>
      </c>
      <c r="B906" s="1832">
        <f>'Expenditures 15-22'!F49</f>
        <v>13571</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13571</v>
      </c>
      <c r="C908" s="2" t="s">
        <v>568</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55883</v>
      </c>
      <c r="D914" s="2" t="str">
        <f t="shared" si="13"/>
        <v>Error?</v>
      </c>
    </row>
    <row r="915" spans="1:4" x14ac:dyDescent="0.2">
      <c r="A915" s="5">
        <v>854</v>
      </c>
      <c r="B915" s="1832">
        <f>'Expenditures 15-22'!F62</f>
        <v>1026</v>
      </c>
      <c r="D915" s="2" t="str">
        <f t="shared" si="13"/>
        <v>Error?</v>
      </c>
    </row>
    <row r="916" spans="1:4" x14ac:dyDescent="0.2">
      <c r="A916" s="5">
        <v>855</v>
      </c>
      <c r="B916" s="1832">
        <f>'Expenditures 15-22'!F63</f>
        <v>570822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627731</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568</v>
      </c>
      <c r="D927" s="2" t="str">
        <f t="shared" si="13"/>
        <v>Error?</v>
      </c>
    </row>
    <row r="928" spans="1:4" x14ac:dyDescent="0.2">
      <c r="A928" s="5">
        <v>867</v>
      </c>
      <c r="B928" s="1832">
        <f>'Expenditures 15-22'!F73</f>
        <v>417</v>
      </c>
      <c r="D928" s="2" t="str">
        <f t="shared" si="13"/>
        <v>Error?</v>
      </c>
    </row>
    <row r="929" spans="1:4" x14ac:dyDescent="0.2">
      <c r="A929" s="5">
        <v>868</v>
      </c>
      <c r="B929" s="1832">
        <f>'Expenditures 15-22'!F74</f>
        <v>679139</v>
      </c>
      <c r="C929" s="2" t="s">
        <v>568</v>
      </c>
      <c r="D929" s="2" t="str">
        <f t="shared" si="13"/>
        <v>Error?</v>
      </c>
    </row>
    <row r="930" spans="1:4" x14ac:dyDescent="0.2">
      <c r="A930" s="5">
        <v>869</v>
      </c>
      <c r="B930" s="1832">
        <f>'Expenditures 15-22'!F75</f>
        <v>12124</v>
      </c>
      <c r="D930" s="2" t="str">
        <f t="shared" si="13"/>
        <v>Error?</v>
      </c>
    </row>
    <row r="931" spans="1:4" x14ac:dyDescent="0.2">
      <c r="A931" s="5">
        <v>870</v>
      </c>
      <c r="B931" s="1832">
        <f>'Expenditures 15-22'!F114</f>
        <v>998303</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82010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1645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138875</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8280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8280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7656</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7656</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1114</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1114</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17050</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155925</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1038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1038</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568</v>
      </c>
      <c r="D1021" s="2" t="str">
        <f t="shared" si="14"/>
        <v>Error?</v>
      </c>
    </row>
    <row r="1022" spans="1:4" x14ac:dyDescent="0.2">
      <c r="A1022" s="5">
        <v>961</v>
      </c>
      <c r="B1022" s="1832">
        <f>'Expenditures 15-22'!H49</f>
        <v>13076</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13076</v>
      </c>
      <c r="C1024" s="2" t="s">
        <v>568</v>
      </c>
      <c r="D1024" s="2" t="str">
        <f t="shared" si="15"/>
        <v>Error?</v>
      </c>
    </row>
    <row r="1025" spans="1:4" x14ac:dyDescent="0.2">
      <c r="A1025" s="5">
        <v>964</v>
      </c>
      <c r="B1025" s="1832">
        <f>'Expenditures 15-22'!H55</f>
        <v>400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400</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13476</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630468</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645826</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1993</v>
      </c>
      <c r="E1056" s="4" t="s">
        <v>1992</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5232115</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197205</v>
      </c>
      <c r="C1105" s="2" t="s">
        <v>568</v>
      </c>
      <c r="D1105" s="2" t="str">
        <f t="shared" si="16"/>
        <v>Error?</v>
      </c>
    </row>
    <row r="1106" spans="1:4" x14ac:dyDescent="0.2">
      <c r="A1106" s="5">
        <v>1045</v>
      </c>
      <c r="B1106" s="1832">
        <f>'Expenditures 15-22'!K14</f>
        <v>167049</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7618338</v>
      </c>
      <c r="C1108" s="2" t="s">
        <v>568</v>
      </c>
      <c r="D1108" s="2" t="str">
        <f t="shared" si="16"/>
        <v>Error?</v>
      </c>
    </row>
    <row r="1109" spans="1:4" x14ac:dyDescent="0.2">
      <c r="A1109" s="5">
        <v>1048</v>
      </c>
      <c r="B1109" s="1832">
        <f>'Expenditures 15-22'!K36</f>
        <v>192074</v>
      </c>
      <c r="C1109" s="2" t="s">
        <v>568</v>
      </c>
      <c r="D1109" s="2" t="str">
        <f t="shared" si="16"/>
        <v>Error?</v>
      </c>
    </row>
    <row r="1110" spans="1:4" x14ac:dyDescent="0.2">
      <c r="A1110" s="5">
        <v>1049</v>
      </c>
      <c r="B1110" s="1832">
        <f>'Expenditures 15-22'!K37</f>
        <v>145353</v>
      </c>
      <c r="C1110" s="2" t="s">
        <v>568</v>
      </c>
      <c r="D1110" s="2" t="str">
        <f t="shared" si="16"/>
        <v>Error?</v>
      </c>
    </row>
    <row r="1111" spans="1:4" x14ac:dyDescent="0.2">
      <c r="A1111" s="5">
        <v>1050</v>
      </c>
      <c r="B1111" s="1832">
        <f>'Expenditures 15-22'!K38</f>
        <v>55378</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120924</v>
      </c>
      <c r="C1113" s="2" t="s">
        <v>568</v>
      </c>
      <c r="D1113" s="2" t="str">
        <f t="shared" si="16"/>
        <v>Error?</v>
      </c>
    </row>
    <row r="1114" spans="1:4" x14ac:dyDescent="0.2">
      <c r="A1114" s="5">
        <v>1053</v>
      </c>
      <c r="B1114" s="1832">
        <f>'Expenditures 15-22'!K41</f>
        <v>0</v>
      </c>
      <c r="C1114" s="2" t="s">
        <v>568</v>
      </c>
      <c r="D1114" s="2" t="str">
        <f t="shared" si="16"/>
        <v>Error?</v>
      </c>
    </row>
    <row r="1115" spans="1:4" x14ac:dyDescent="0.2">
      <c r="A1115" s="5">
        <v>1054</v>
      </c>
      <c r="B1115" s="1832">
        <f>'Expenditures 15-22'!K42</f>
        <v>513729</v>
      </c>
      <c r="C1115" s="2" t="s">
        <v>568</v>
      </c>
      <c r="D1115" s="2" t="str">
        <f t="shared" si="16"/>
        <v>Error?</v>
      </c>
    </row>
    <row r="1116" spans="1:4" x14ac:dyDescent="0.2">
      <c r="A1116" s="5">
        <v>1055</v>
      </c>
      <c r="B1116" s="1832">
        <f>'Expenditures 15-22'!K44</f>
        <v>115528</v>
      </c>
      <c r="C1116" s="2" t="s">
        <v>568</v>
      </c>
      <c r="D1116" s="2" t="str">
        <f t="shared" si="16"/>
        <v>Error?</v>
      </c>
    </row>
    <row r="1117" spans="1:4" x14ac:dyDescent="0.2">
      <c r="A1117" s="5">
        <v>1056</v>
      </c>
      <c r="B1117" s="1832">
        <f>'Expenditures 15-22'!K45</f>
        <v>29064</v>
      </c>
      <c r="C1117" s="2" t="s">
        <v>568</v>
      </c>
      <c r="D1117" s="2" t="str">
        <f t="shared" si="16"/>
        <v>Error?</v>
      </c>
    </row>
    <row r="1118" spans="1:4" x14ac:dyDescent="0.2">
      <c r="A1118" s="5">
        <v>1057</v>
      </c>
      <c r="B1118" s="1832">
        <f>'Expenditures 15-22'!K46</f>
        <v>8479</v>
      </c>
      <c r="C1118" s="2" t="s">
        <v>568</v>
      </c>
      <c r="D1118" s="2" t="str">
        <f t="shared" si="16"/>
        <v>Error?</v>
      </c>
    </row>
    <row r="1119" spans="1:4" x14ac:dyDescent="0.2">
      <c r="A1119" s="5">
        <v>1058</v>
      </c>
      <c r="B1119" s="1832">
        <f>'Expenditures 15-22'!K47</f>
        <v>153071</v>
      </c>
      <c r="C1119" s="2" t="s">
        <v>568</v>
      </c>
      <c r="D1119" s="2" t="str">
        <f t="shared" si="16"/>
        <v>Error?</v>
      </c>
    </row>
    <row r="1120" spans="1:4" x14ac:dyDescent="0.2">
      <c r="A1120" s="5">
        <v>1059</v>
      </c>
      <c r="B1120" s="1832">
        <f>'Expenditures 15-22'!K49</f>
        <v>116108</v>
      </c>
      <c r="C1120" s="2" t="s">
        <v>568</v>
      </c>
      <c r="D1120" s="2" t="str">
        <f t="shared" si="16"/>
        <v>Error?</v>
      </c>
    </row>
    <row r="1121" spans="1:4" x14ac:dyDescent="0.2">
      <c r="A1121" s="5">
        <v>1060</v>
      </c>
      <c r="B1121" s="1832">
        <f>'Expenditures 15-22'!K50</f>
        <v>146360</v>
      </c>
      <c r="C1121" s="2" t="s">
        <v>568</v>
      </c>
      <c r="D1121" s="2" t="str">
        <f t="shared" si="16"/>
        <v>Error?</v>
      </c>
    </row>
    <row r="1122" spans="1:4" x14ac:dyDescent="0.2">
      <c r="A1122" s="5">
        <v>1061</v>
      </c>
      <c r="B1122" s="1832">
        <f>'Expenditures 15-22'!K53</f>
        <v>262468</v>
      </c>
      <c r="C1122" s="2" t="s">
        <v>568</v>
      </c>
      <c r="D1122" s="2" t="str">
        <f t="shared" si="16"/>
        <v>Error?</v>
      </c>
    </row>
    <row r="1123" spans="1:4" x14ac:dyDescent="0.2">
      <c r="A1123" s="5">
        <v>1062</v>
      </c>
      <c r="B1123" s="1832">
        <f>'Expenditures 15-22'!K55</f>
        <v>689302</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689302</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153332</v>
      </c>
      <c r="C1127" s="2" t="s">
        <v>568</v>
      </c>
      <c r="D1127" s="2" t="str">
        <f t="shared" si="16"/>
        <v>Error?</v>
      </c>
    </row>
    <row r="1128" spans="1:4" x14ac:dyDescent="0.2">
      <c r="A1128" s="5">
        <v>1067</v>
      </c>
      <c r="B1128" s="1832">
        <f>'Expenditures 15-22'!K61</f>
        <v>1035438</v>
      </c>
      <c r="C1128" s="2" t="s">
        <v>568</v>
      </c>
      <c r="D1128" s="2" t="str">
        <f t="shared" si="16"/>
        <v>Error?</v>
      </c>
    </row>
    <row r="1129" spans="1:4" x14ac:dyDescent="0.2">
      <c r="A1129" s="5">
        <v>1068</v>
      </c>
      <c r="B1129" s="1832">
        <f>'Expenditures 15-22'!K62</f>
        <v>4943</v>
      </c>
      <c r="C1129" s="2" t="s">
        <v>568</v>
      </c>
      <c r="D1129" s="2" t="str">
        <f t="shared" si="16"/>
        <v>Error?</v>
      </c>
    </row>
    <row r="1130" spans="1:4" x14ac:dyDescent="0.2">
      <c r="A1130" s="5">
        <v>1069</v>
      </c>
      <c r="B1130" s="1832">
        <f>'Expenditures 15-22'!K63</f>
        <v>827951</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2021664</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0</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568</v>
      </c>
      <c r="D1141" s="2" t="str">
        <f t="shared" si="16"/>
        <v>Error?</v>
      </c>
    </row>
    <row r="1142" spans="1:4" x14ac:dyDescent="0.2">
      <c r="A1142" s="5">
        <v>1081</v>
      </c>
      <c r="B1142" s="1832">
        <f>'Expenditures 15-22'!K73</f>
        <v>417</v>
      </c>
      <c r="C1142" s="2" t="s">
        <v>568</v>
      </c>
      <c r="D1142" s="2" t="str">
        <f t="shared" si="16"/>
        <v>Error?</v>
      </c>
    </row>
    <row r="1143" spans="1:4" x14ac:dyDescent="0.2">
      <c r="A1143" s="5">
        <v>1082</v>
      </c>
      <c r="B1143" s="1832">
        <f>'Expenditures 15-22'!K74</f>
        <v>3640651</v>
      </c>
      <c r="C1143" s="2" t="s">
        <v>568</v>
      </c>
      <c r="D1143" s="2" t="str">
        <f t="shared" si="16"/>
        <v>Error?</v>
      </c>
    </row>
    <row r="1144" spans="1:4" x14ac:dyDescent="0.2">
      <c r="A1144" s="5">
        <v>1083</v>
      </c>
      <c r="B1144" s="1832">
        <f>'Expenditures 15-22'!K75</f>
        <v>307657</v>
      </c>
      <c r="C1144" s="2" t="s">
        <v>568</v>
      </c>
      <c r="D1144" s="2" t="str">
        <f t="shared" si="16"/>
        <v>Error?</v>
      </c>
    </row>
    <row r="1145" spans="1:4" x14ac:dyDescent="0.2">
      <c r="A1145" s="5">
        <v>1084</v>
      </c>
      <c r="B1145" s="1832">
        <f>'Expenditures 15-22'!K102</f>
        <v>630468</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12197958</v>
      </c>
      <c r="C1152" s="2" t="s">
        <v>568</v>
      </c>
      <c r="D1152" s="2" t="str">
        <f t="shared" si="17"/>
        <v>Error?</v>
      </c>
    </row>
    <row r="1153" spans="1:4" x14ac:dyDescent="0.2">
      <c r="A1153" s="5">
        <v>1092</v>
      </c>
      <c r="B1153" s="1832">
        <f>'Expenditures 15-22'!K115</f>
        <v>2669490</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568</v>
      </c>
      <c r="D1225" s="2" t="str">
        <f t="shared" si="18"/>
        <v>Error?</v>
      </c>
    </row>
    <row r="1226" spans="1:4" x14ac:dyDescent="0.2">
      <c r="A1226" s="5">
        <v>1165</v>
      </c>
      <c r="B1226" s="1832">
        <f>'Expenditures 15-22'!C151</f>
        <v>0</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568</v>
      </c>
      <c r="D1233" s="2" t="str">
        <f t="shared" si="18"/>
        <v>Error?</v>
      </c>
    </row>
    <row r="1234" spans="1:4" x14ac:dyDescent="0.2">
      <c r="A1234" s="5">
        <v>1173</v>
      </c>
      <c r="B1234" s="1832">
        <f>'Expenditures 15-22'!D151</f>
        <v>0</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282725</v>
      </c>
      <c r="D1237" s="2" t="str">
        <f t="shared" si="18"/>
        <v>Error?</v>
      </c>
    </row>
    <row r="1238" spans="1:4" x14ac:dyDescent="0.2">
      <c r="A1238" s="10">
        <v>1177</v>
      </c>
      <c r="B1238" s="1832"/>
      <c r="D1238" s="2" t="str">
        <f t="shared" si="18"/>
        <v>OK</v>
      </c>
    </row>
    <row r="1239" spans="1:4" x14ac:dyDescent="0.2">
      <c r="A1239" s="5">
        <v>1178</v>
      </c>
      <c r="B1239" s="1832">
        <f>'Expenditures 15-22'!E127</f>
        <v>282725</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282725</v>
      </c>
      <c r="C1241" s="2" t="s">
        <v>568</v>
      </c>
      <c r="D1241" s="2" t="str">
        <f t="shared" si="18"/>
        <v>Error?</v>
      </c>
    </row>
    <row r="1242" spans="1:4" x14ac:dyDescent="0.2">
      <c r="A1242" s="5">
        <v>1181</v>
      </c>
      <c r="B1242" s="1832">
        <f>'Expenditures 15-22'!E151</f>
        <v>282725</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54128</v>
      </c>
      <c r="D1245" s="2" t="str">
        <f t="shared" si="18"/>
        <v>Error?</v>
      </c>
    </row>
    <row r="1246" spans="1:4" x14ac:dyDescent="0.2">
      <c r="A1246" s="10">
        <v>1185</v>
      </c>
      <c r="B1246" s="1832"/>
      <c r="D1246" s="2" t="str">
        <f t="shared" si="18"/>
        <v>OK</v>
      </c>
    </row>
    <row r="1247" spans="1:4" x14ac:dyDescent="0.2">
      <c r="A1247" s="5">
        <v>1186</v>
      </c>
      <c r="B1247" s="1832">
        <f>'Expenditures 15-22'!F127</f>
        <v>54128</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54128</v>
      </c>
      <c r="C1249" s="2" t="s">
        <v>568</v>
      </c>
      <c r="D1249" s="2" t="str">
        <f t="shared" si="18"/>
        <v>Error?</v>
      </c>
    </row>
    <row r="1250" spans="1:4" x14ac:dyDescent="0.2">
      <c r="A1250" s="5">
        <v>1189</v>
      </c>
      <c r="B1250" s="1832">
        <f>'Expenditures 15-22'!F151</f>
        <v>54128</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195790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195790</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195790</v>
      </c>
      <c r="C1258" s="2" t="s">
        <v>568</v>
      </c>
      <c r="D1258" s="2" t="str">
        <f t="shared" si="18"/>
        <v>Error?</v>
      </c>
    </row>
    <row r="1259" spans="1:4" x14ac:dyDescent="0.2">
      <c r="A1259" s="5">
        <v>1198</v>
      </c>
      <c r="B1259" s="1832">
        <f>'Expenditures 15-22'!G151</f>
        <v>195790</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532643</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532643</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532643</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532643</v>
      </c>
      <c r="C1288" s="2" t="s">
        <v>568</v>
      </c>
      <c r="D1288" s="2" t="str">
        <f t="shared" si="19"/>
        <v>Error?</v>
      </c>
    </row>
    <row r="1289" spans="1:4" x14ac:dyDescent="0.2">
      <c r="A1289" s="5">
        <v>1228</v>
      </c>
      <c r="B1289" s="1832">
        <f>'Expenditures 15-22'!K152</f>
        <v>134291</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81536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814810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896846</v>
      </c>
      <c r="C1317" s="2" t="s">
        <v>568</v>
      </c>
      <c r="D1317" s="2" t="str">
        <f t="shared" si="19"/>
        <v>Error?</v>
      </c>
    </row>
    <row r="1318" spans="1:4" x14ac:dyDescent="0.2">
      <c r="A1318" s="5">
        <v>1257</v>
      </c>
      <c r="B1318" s="1832">
        <f>'Expenditures 15-22'!H174</f>
        <v>896846</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81536</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814810</v>
      </c>
      <c r="C1329" s="2" t="s">
        <v>568</v>
      </c>
      <c r="D1329" s="2" t="str">
        <f t="shared" si="19"/>
        <v>Error?</v>
      </c>
    </row>
    <row r="1330" spans="1:4" x14ac:dyDescent="0.2">
      <c r="A1330" s="5">
        <v>1269</v>
      </c>
      <c r="B1330" s="1832">
        <f>'Expenditures 15-22'!K171</f>
        <v>500</v>
      </c>
      <c r="C1330" s="2" t="s">
        <v>568</v>
      </c>
      <c r="D1330" s="2" t="str">
        <f t="shared" si="19"/>
        <v>Error?</v>
      </c>
    </row>
    <row r="1331" spans="1:4" x14ac:dyDescent="0.2">
      <c r="A1331" s="5">
        <v>1270</v>
      </c>
      <c r="B1331" s="1832">
        <f>'Expenditures 15-22'!K172</f>
        <v>896846</v>
      </c>
      <c r="C1331" s="2" t="s">
        <v>568</v>
      </c>
      <c r="D1331" s="2" t="str">
        <f t="shared" si="19"/>
        <v>Error?</v>
      </c>
    </row>
    <row r="1332" spans="1:4" x14ac:dyDescent="0.2">
      <c r="A1332" s="5">
        <v>1271</v>
      </c>
      <c r="B1332" s="1832">
        <f>'Expenditures 15-22'!K174</f>
        <v>896846</v>
      </c>
      <c r="C1332" s="2" t="s">
        <v>568</v>
      </c>
      <c r="D1332" s="2" t="str">
        <f t="shared" si="19"/>
        <v>Error?</v>
      </c>
    </row>
    <row r="1333" spans="1:4" x14ac:dyDescent="0.2">
      <c r="A1333" s="5">
        <v>1272</v>
      </c>
      <c r="B1333" s="1832">
        <f>'Expenditures 15-22'!K175</f>
        <v>-103995</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181863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181863</v>
      </c>
      <c r="C1339" s="2" t="s">
        <v>568</v>
      </c>
      <c r="D1339" s="2" t="str">
        <f t="shared" si="19"/>
        <v>Error?</v>
      </c>
    </row>
    <row r="1340" spans="1:4" x14ac:dyDescent="0.2">
      <c r="A1340" s="5">
        <v>1279</v>
      </c>
      <c r="B1340" s="1832">
        <f>'Expenditures 15-22'!C210</f>
        <v>181863</v>
      </c>
      <c r="C1340" s="2" t="s">
        <v>568</v>
      </c>
      <c r="D1340" s="2" t="str">
        <f t="shared" si="19"/>
        <v>Error?</v>
      </c>
    </row>
    <row r="1341" spans="1:4" x14ac:dyDescent="0.2">
      <c r="A1341" s="5">
        <v>1280</v>
      </c>
      <c r="B1341" s="1832">
        <f>'Expenditures 15-22'!D182</f>
        <v>290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290</v>
      </c>
      <c r="C1345" s="2" t="s">
        <v>568</v>
      </c>
      <c r="D1345" s="2" t="str">
        <f t="shared" si="20"/>
        <v>Error?</v>
      </c>
    </row>
    <row r="1346" spans="1:4" x14ac:dyDescent="0.2">
      <c r="A1346" s="5">
        <v>1285</v>
      </c>
      <c r="B1346" s="1832">
        <f>'Expenditures 15-22'!D210</f>
        <v>290</v>
      </c>
      <c r="C1346" s="2" t="s">
        <v>568</v>
      </c>
      <c r="D1346" s="2" t="str">
        <f t="shared" si="20"/>
        <v>Error?</v>
      </c>
    </row>
    <row r="1347" spans="1:4" x14ac:dyDescent="0.2">
      <c r="A1347" s="5">
        <v>1286</v>
      </c>
      <c r="B1347" s="1832">
        <f>'Expenditures 15-22'!E182</f>
        <v>74333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74333</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74333</v>
      </c>
      <c r="C1353" s="2" t="s">
        <v>568</v>
      </c>
      <c r="D1353" s="2" t="str">
        <f t="shared" si="20"/>
        <v>Error?</v>
      </c>
    </row>
    <row r="1354" spans="1:4" x14ac:dyDescent="0.2">
      <c r="A1354" s="5">
        <v>1293</v>
      </c>
      <c r="B1354" s="1832">
        <f>'Expenditures 15-22'!F182</f>
        <v>29804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29804</v>
      </c>
      <c r="C1358" s="2" t="s">
        <v>568</v>
      </c>
      <c r="D1358" s="2" t="str">
        <f t="shared" si="20"/>
        <v>Error?</v>
      </c>
    </row>
    <row r="1359" spans="1:4" x14ac:dyDescent="0.2">
      <c r="A1359" s="5">
        <v>1298</v>
      </c>
      <c r="B1359" s="1832">
        <f>'Expenditures 15-22'!F210</f>
        <v>29804</v>
      </c>
      <c r="C1359" s="2" t="s">
        <v>568</v>
      </c>
      <c r="D1359" s="2" t="str">
        <f t="shared" si="20"/>
        <v>Error?</v>
      </c>
    </row>
    <row r="1360" spans="1:4" x14ac:dyDescent="0.2">
      <c r="A1360" s="5">
        <v>1299</v>
      </c>
      <c r="B1360" s="1832">
        <f>'Expenditures 15-22'!G182</f>
        <v>103734</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103734</v>
      </c>
      <c r="C1364" s="2" t="s">
        <v>568</v>
      </c>
      <c r="D1364" s="2" t="str">
        <f t="shared" si="20"/>
        <v>Error?</v>
      </c>
    </row>
    <row r="1365" spans="1:4" x14ac:dyDescent="0.2">
      <c r="A1365" s="5">
        <v>1304</v>
      </c>
      <c r="B1365" s="1832">
        <f>'Expenditures 15-22'!G210</f>
        <v>103734</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68218</v>
      </c>
      <c r="C1375" s="2" t="s">
        <v>568</v>
      </c>
      <c r="D1375" s="2" t="str">
        <f t="shared" si="20"/>
        <v>Error?</v>
      </c>
    </row>
    <row r="1376" spans="1:4" x14ac:dyDescent="0.2">
      <c r="A1376" s="5">
        <v>1315</v>
      </c>
      <c r="B1376" s="1832">
        <f>'Expenditures 15-22'!H210</f>
        <v>68218</v>
      </c>
      <c r="C1376" s="2" t="s">
        <v>568</v>
      </c>
      <c r="D1376" s="2" t="str">
        <f t="shared" si="20"/>
        <v>Error?</v>
      </c>
    </row>
    <row r="1377" spans="1:4" x14ac:dyDescent="0.2">
      <c r="A1377" s="5">
        <v>1316</v>
      </c>
      <c r="B1377" s="1832">
        <f>'Expenditures 15-22'!K182</f>
        <v>390024</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390024</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68218</v>
      </c>
      <c r="C1387" s="2" t="s">
        <v>568</v>
      </c>
      <c r="D1387" s="2" t="str">
        <f t="shared" si="20"/>
        <v>Error?</v>
      </c>
    </row>
    <row r="1388" spans="1:4" x14ac:dyDescent="0.2">
      <c r="A1388" s="5">
        <v>1327</v>
      </c>
      <c r="B1388" s="1832">
        <f>'Expenditures 15-22'!K210</f>
        <v>458242</v>
      </c>
      <c r="C1388" s="2" t="s">
        <v>568</v>
      </c>
      <c r="D1388" s="2" t="str">
        <f t="shared" si="20"/>
        <v>Error?</v>
      </c>
    </row>
    <row r="1389" spans="1:4" x14ac:dyDescent="0.2">
      <c r="A1389" s="5">
        <v>1328</v>
      </c>
      <c r="B1389" s="1832">
        <f>'Expenditures 15-22'!K211</f>
        <v>142123</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2555</v>
      </c>
      <c r="D1407" s="2" t="str">
        <f t="shared" ref="D1407:D1470" si="21">IF(ISBLANK(B1407),"OK",IF(A1407-B1407=0,"OK","Error?"))</f>
        <v>Error?</v>
      </c>
    </row>
    <row r="1408" spans="1:4" x14ac:dyDescent="0.2">
      <c r="A1408" s="5">
        <v>1347</v>
      </c>
      <c r="B1408" s="1832">
        <f>'Expenditures 15-22'!D223</f>
        <v>3490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205647</v>
      </c>
      <c r="C1410" s="2" t="s">
        <v>568</v>
      </c>
      <c r="D1410" s="2" t="str">
        <f t="shared" si="21"/>
        <v>Error?</v>
      </c>
    </row>
    <row r="1411" spans="1:4" x14ac:dyDescent="0.2">
      <c r="A1411" s="5">
        <v>1350</v>
      </c>
      <c r="B1411" s="1832">
        <f>'Expenditures 15-22'!D232</f>
        <v>4627</v>
      </c>
      <c r="D1411" s="2" t="str">
        <f t="shared" si="21"/>
        <v>Error?</v>
      </c>
    </row>
    <row r="1412" spans="1:4" x14ac:dyDescent="0.2">
      <c r="A1412" s="5">
        <v>1351</v>
      </c>
      <c r="B1412" s="1832">
        <f>'Expenditures 15-22'!D233</f>
        <v>1402</v>
      </c>
      <c r="D1412" s="2" t="str">
        <f t="shared" si="21"/>
        <v>Error?</v>
      </c>
    </row>
    <row r="1413" spans="1:4" x14ac:dyDescent="0.2">
      <c r="A1413" s="5">
        <v>1352</v>
      </c>
      <c r="B1413" s="1832">
        <f>'Expenditures 15-22'!D234</f>
        <v>11247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1476</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18752</v>
      </c>
      <c r="C1417" s="2" t="s">
        <v>568</v>
      </c>
      <c r="D1417" s="2" t="str">
        <f t="shared" si="21"/>
        <v>Error?</v>
      </c>
    </row>
    <row r="1418" spans="1:4" x14ac:dyDescent="0.2">
      <c r="A1418" s="5">
        <v>1357</v>
      </c>
      <c r="B1418" s="1832">
        <f>'Expenditures 15-22'!D240</f>
        <v>132</v>
      </c>
      <c r="D1418" s="2" t="str">
        <f t="shared" si="21"/>
        <v>Error?</v>
      </c>
    </row>
    <row r="1419" spans="1:4" x14ac:dyDescent="0.2">
      <c r="A1419" s="5">
        <v>1358</v>
      </c>
      <c r="B1419" s="1832">
        <f>'Expenditures 15-22'!D241</f>
        <v>3120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3252</v>
      </c>
      <c r="C1421" s="2" t="s">
        <v>568</v>
      </c>
      <c r="D1421" s="2" t="str">
        <f t="shared" si="21"/>
        <v>Error?</v>
      </c>
    </row>
    <row r="1422" spans="1:4" x14ac:dyDescent="0.2">
      <c r="A1422" s="5">
        <v>1361</v>
      </c>
      <c r="B1422" s="1832">
        <f>'Expenditures 15-22'!D245</f>
        <v>639</v>
      </c>
      <c r="D1422" s="2" t="str">
        <f t="shared" si="21"/>
        <v>Error?</v>
      </c>
    </row>
    <row r="1423" spans="1:4" x14ac:dyDescent="0.2">
      <c r="A1423" s="5">
        <v>1362</v>
      </c>
      <c r="B1423" s="1832">
        <f>'Expenditures 15-22'!D246</f>
        <v>1966</v>
      </c>
      <c r="D1423" s="2" t="str">
        <f t="shared" si="21"/>
        <v>Error?</v>
      </c>
    </row>
    <row r="1424" spans="1:4" x14ac:dyDescent="0.2">
      <c r="A1424" s="5">
        <v>1363</v>
      </c>
      <c r="B1424" s="1832">
        <f>'Expenditures 15-22'!D257</f>
        <v>2605</v>
      </c>
      <c r="C1424" s="2" t="s">
        <v>568</v>
      </c>
      <c r="D1424" s="2" t="str">
        <f t="shared" si="21"/>
        <v>Error?</v>
      </c>
    </row>
    <row r="1425" spans="1:4" x14ac:dyDescent="0.2">
      <c r="A1425" s="5">
        <v>1364</v>
      </c>
      <c r="B1425" s="1832">
        <f>'Expenditures 15-22'!D259</f>
        <v>32433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32433</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19537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70588</v>
      </c>
      <c r="D1431" s="2" t="str">
        <f t="shared" si="21"/>
        <v>Error?</v>
      </c>
    </row>
    <row r="1432" spans="1:4" x14ac:dyDescent="0.2">
      <c r="A1432" s="5">
        <v>1371</v>
      </c>
      <c r="B1432" s="1832">
        <f>'Expenditures 15-22'!D267</f>
        <v>28791</v>
      </c>
      <c r="D1432" s="2" t="str">
        <f t="shared" si="21"/>
        <v>Error?</v>
      </c>
    </row>
    <row r="1433" spans="1:4" x14ac:dyDescent="0.2">
      <c r="A1433" s="5">
        <v>1372</v>
      </c>
      <c r="B1433" s="1832">
        <f>'Expenditures 15-22'!D268</f>
        <v>36814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155730</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212772</v>
      </c>
      <c r="C1446" s="2" t="s">
        <v>568</v>
      </c>
      <c r="D1446" s="2" t="str">
        <f t="shared" si="21"/>
        <v>Error?</v>
      </c>
    </row>
    <row r="1447" spans="1:4" x14ac:dyDescent="0.2">
      <c r="A1447" s="5">
        <v>1386</v>
      </c>
      <c r="B1447" s="1832">
        <f>'Expenditures 15-22'!D280</f>
        <v>31324</v>
      </c>
      <c r="D1447" s="2" t="str">
        <f t="shared" si="21"/>
        <v>Error?</v>
      </c>
    </row>
    <row r="1448" spans="1:4" x14ac:dyDescent="0.2">
      <c r="A1448" s="5">
        <v>1387</v>
      </c>
      <c r="B1448" s="1832">
        <f>'Expenditures 15-22'!D295</f>
        <v>449743</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2555</v>
      </c>
      <c r="C1471" s="2" t="s">
        <v>568</v>
      </c>
      <c r="D1471" s="2" t="str">
        <f t="shared" ref="D1471:D1534" si="22">IF(ISBLANK(B1471),"OK",IF(A1471-B1471=0,"OK","Error?"))</f>
        <v>Error?</v>
      </c>
    </row>
    <row r="1472" spans="1:4" x14ac:dyDescent="0.2">
      <c r="A1472" s="5">
        <v>1411</v>
      </c>
      <c r="B1472" s="1832">
        <f>'Expenditures 15-22'!K223</f>
        <v>3490</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205647</v>
      </c>
      <c r="C1474" s="2" t="s">
        <v>568</v>
      </c>
      <c r="D1474" s="2" t="str">
        <f t="shared" si="22"/>
        <v>Error?</v>
      </c>
    </row>
    <row r="1475" spans="1:4" x14ac:dyDescent="0.2">
      <c r="A1475" s="5">
        <v>1414</v>
      </c>
      <c r="B1475" s="1832">
        <f>'Expenditures 15-22'!K232</f>
        <v>4627</v>
      </c>
      <c r="C1475" s="2" t="s">
        <v>568</v>
      </c>
      <c r="D1475" s="2" t="str">
        <f t="shared" si="22"/>
        <v>Error?</v>
      </c>
    </row>
    <row r="1476" spans="1:4" x14ac:dyDescent="0.2">
      <c r="A1476" s="5">
        <v>1415</v>
      </c>
      <c r="B1476" s="1832">
        <f>'Expenditures 15-22'!K233</f>
        <v>1402</v>
      </c>
      <c r="C1476" s="2" t="s">
        <v>568</v>
      </c>
      <c r="D1476" s="2" t="str">
        <f t="shared" si="22"/>
        <v>Error?</v>
      </c>
    </row>
    <row r="1477" spans="1:4" x14ac:dyDescent="0.2">
      <c r="A1477" s="5">
        <v>1416</v>
      </c>
      <c r="B1477" s="1832">
        <f>'Expenditures 15-22'!K234</f>
        <v>11247</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1476</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18752</v>
      </c>
      <c r="C1481" s="2" t="s">
        <v>568</v>
      </c>
      <c r="D1481" s="2" t="str">
        <f t="shared" si="22"/>
        <v>Error?</v>
      </c>
    </row>
    <row r="1482" spans="1:4" x14ac:dyDescent="0.2">
      <c r="A1482" s="5">
        <v>1421</v>
      </c>
      <c r="B1482" s="1832">
        <f>'Expenditures 15-22'!K240</f>
        <v>132</v>
      </c>
      <c r="C1482" s="2" t="s">
        <v>568</v>
      </c>
      <c r="D1482" s="2" t="str">
        <f t="shared" si="22"/>
        <v>Error?</v>
      </c>
    </row>
    <row r="1483" spans="1:4" x14ac:dyDescent="0.2">
      <c r="A1483" s="5">
        <v>1422</v>
      </c>
      <c r="B1483" s="1832">
        <f>'Expenditures 15-22'!K241</f>
        <v>3120</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3252</v>
      </c>
      <c r="C1485" s="2" t="s">
        <v>568</v>
      </c>
      <c r="D1485" s="2" t="str">
        <f t="shared" si="22"/>
        <v>Error?</v>
      </c>
    </row>
    <row r="1486" spans="1:4" x14ac:dyDescent="0.2">
      <c r="A1486" s="5">
        <v>1425</v>
      </c>
      <c r="B1486" s="1832">
        <f>'Expenditures 15-22'!K245</f>
        <v>639</v>
      </c>
      <c r="C1486" s="2" t="s">
        <v>568</v>
      </c>
      <c r="D1486" s="2" t="str">
        <f t="shared" si="22"/>
        <v>Error?</v>
      </c>
    </row>
    <row r="1487" spans="1:4" x14ac:dyDescent="0.2">
      <c r="A1487" s="5">
        <v>1426</v>
      </c>
      <c r="B1487" s="1832">
        <f>'Expenditures 15-22'!K246</f>
        <v>1966</v>
      </c>
      <c r="C1487" s="2" t="s">
        <v>568</v>
      </c>
      <c r="D1487" s="2" t="str">
        <f t="shared" si="22"/>
        <v>Error?</v>
      </c>
    </row>
    <row r="1488" spans="1:4" x14ac:dyDescent="0.2">
      <c r="A1488" s="5">
        <v>1427</v>
      </c>
      <c r="B1488" s="1832">
        <f>'Expenditures 15-22'!K257</f>
        <v>2605</v>
      </c>
      <c r="C1488" s="2" t="s">
        <v>568</v>
      </c>
      <c r="D1488" s="2" t="str">
        <f t="shared" si="22"/>
        <v>Error?</v>
      </c>
    </row>
    <row r="1489" spans="1:4" x14ac:dyDescent="0.2">
      <c r="A1489" s="5">
        <v>1428</v>
      </c>
      <c r="B1489" s="1832">
        <f>'Expenditures 15-22'!K259</f>
        <v>32433</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32433</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19537</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70588</v>
      </c>
      <c r="C1495" s="2" t="s">
        <v>568</v>
      </c>
      <c r="D1495" s="2" t="str">
        <f t="shared" si="22"/>
        <v>Error?</v>
      </c>
    </row>
    <row r="1496" spans="1:4" x14ac:dyDescent="0.2">
      <c r="A1496" s="5">
        <v>1435</v>
      </c>
      <c r="B1496" s="1832">
        <f>'Expenditures 15-22'!K267</f>
        <v>28791</v>
      </c>
      <c r="C1496" s="2" t="s">
        <v>568</v>
      </c>
      <c r="D1496" s="2" t="str">
        <f t="shared" si="22"/>
        <v>Error?</v>
      </c>
    </row>
    <row r="1497" spans="1:4" x14ac:dyDescent="0.2">
      <c r="A1497" s="5">
        <v>1436</v>
      </c>
      <c r="B1497" s="1832">
        <f>'Expenditures 15-22'!K268</f>
        <v>36814</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155730</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212772</v>
      </c>
      <c r="C1510" s="2" t="s">
        <v>568</v>
      </c>
      <c r="D1510" s="2" t="str">
        <f t="shared" si="22"/>
        <v>Error?</v>
      </c>
    </row>
    <row r="1511" spans="1:4" x14ac:dyDescent="0.2">
      <c r="A1511" s="5">
        <v>1450</v>
      </c>
      <c r="B1511" s="1832">
        <f>'Expenditures 15-22'!K280</f>
        <v>31324</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449743</v>
      </c>
      <c r="C1517" s="2" t="s">
        <v>568</v>
      </c>
      <c r="D1517" s="2" t="str">
        <f t="shared" si="22"/>
        <v>Error?</v>
      </c>
    </row>
    <row r="1518" spans="1:4" x14ac:dyDescent="0.2">
      <c r="A1518" s="5">
        <v>1457</v>
      </c>
      <c r="B1518" s="1832">
        <f>'Expenditures 15-22'!K296</f>
        <v>93305</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568</v>
      </c>
      <c r="D1535" s="2" t="str">
        <f t="shared" ref="D1535:D1598" si="23">IF(ISBLANK(B1535),"OK",IF(A1535-B1535=0,"OK","Error?"))</f>
        <v>Error?</v>
      </c>
    </row>
    <row r="1536" spans="1:4" x14ac:dyDescent="0.2">
      <c r="A1536" s="5">
        <v>1475</v>
      </c>
      <c r="B1536" s="1832">
        <f>'Expenditures 15-22'!E312</f>
        <v>0</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568</v>
      </c>
      <c r="D1547" s="2" t="str">
        <f t="shared" si="23"/>
        <v>Error?</v>
      </c>
    </row>
    <row r="1548" spans="1:4" x14ac:dyDescent="0.2">
      <c r="A1548" s="5">
        <v>1487</v>
      </c>
      <c r="B1548" s="1832">
        <f>'Expenditures 15-22'!G312</f>
        <v>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0</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0</v>
      </c>
      <c r="C1559" s="2" t="s">
        <v>568</v>
      </c>
      <c r="D1559" s="2" t="str">
        <f t="shared" si="23"/>
        <v>Error?</v>
      </c>
    </row>
    <row r="1560" spans="1:4" x14ac:dyDescent="0.2">
      <c r="A1560" s="5">
        <v>1499</v>
      </c>
      <c r="B1560" s="1832">
        <f>'Expenditures 15-22'!K312</f>
        <v>0</v>
      </c>
      <c r="C1560" s="2" t="s">
        <v>568</v>
      </c>
      <c r="D1560" s="2" t="str">
        <f t="shared" si="23"/>
        <v>Error?</v>
      </c>
    </row>
    <row r="1561" spans="1:4" x14ac:dyDescent="0.2">
      <c r="A1561" s="5">
        <v>1500</v>
      </c>
      <c r="B1561" s="1832">
        <f>'Expenditures 15-22'!K313</f>
        <v>815</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7246947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9907043</v>
      </c>
      <c r="C1630" s="2" t="s">
        <v>568</v>
      </c>
      <c r="D1630" s="2" t="str">
        <f t="shared" si="24"/>
        <v>Error?</v>
      </c>
    </row>
    <row r="1631" spans="1:4" x14ac:dyDescent="0.2">
      <c r="A1631" s="5">
        <v>1570</v>
      </c>
      <c r="B1631" s="1832">
        <f>'Acct Summary 7-8'!D79</f>
        <v>1435996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1570287</v>
      </c>
      <c r="C1644" s="2" t="s">
        <v>568</v>
      </c>
      <c r="D1644" s="2" t="str">
        <f t="shared" si="24"/>
        <v>Error?</v>
      </c>
    </row>
    <row r="1645" spans="1:4" x14ac:dyDescent="0.2">
      <c r="A1645" s="5">
        <v>1584</v>
      </c>
      <c r="B1645" s="1832">
        <f>'Acct Summary 7-8'!E79</f>
        <v>24573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1069957</v>
      </c>
      <c r="C1658" s="2" t="s">
        <v>568</v>
      </c>
      <c r="D1658" s="2" t="str">
        <f t="shared" si="24"/>
        <v>Error?</v>
      </c>
    </row>
    <row r="1659" spans="1:4" x14ac:dyDescent="0.2">
      <c r="A1659" s="5">
        <v>1598</v>
      </c>
      <c r="B1659" s="1832">
        <f>'Acct Summary 7-8'!F79</f>
        <v>1270688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1412811</v>
      </c>
      <c r="C1672" s="2" t="s">
        <v>568</v>
      </c>
      <c r="D1672" s="2" t="str">
        <f t="shared" si="25"/>
        <v>Error?</v>
      </c>
    </row>
    <row r="1673" spans="1:4" x14ac:dyDescent="0.2">
      <c r="A1673" s="5">
        <v>1612</v>
      </c>
      <c r="B1673" s="1832">
        <f>'Acct Summary 7-8'!G79</f>
        <v>885840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979145</v>
      </c>
      <c r="C1686" s="2" t="s">
        <v>568</v>
      </c>
      <c r="D1686" s="2" t="str">
        <f t="shared" si="25"/>
        <v>Error?</v>
      </c>
    </row>
    <row r="1687" spans="1:4" x14ac:dyDescent="0.2">
      <c r="A1687" s="5">
        <v>1626</v>
      </c>
      <c r="B1687" s="1832">
        <f>'Acct Summary 7-8'!H79</f>
        <v>1154359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5795</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1135962</v>
      </c>
      <c r="C1744" s="2" t="s">
        <v>568</v>
      </c>
      <c r="D1744" s="2" t="str">
        <f t="shared" si="26"/>
        <v>Error?</v>
      </c>
    </row>
    <row r="1745" spans="1:5" x14ac:dyDescent="0.2">
      <c r="A1745" s="5">
        <v>1684</v>
      </c>
      <c r="B1745" s="1832">
        <f>'Tax Sched 23'!B5</f>
        <v>308684</v>
      </c>
      <c r="C1745" s="2" t="s">
        <v>568</v>
      </c>
      <c r="D1745" s="2" t="str">
        <f t="shared" si="26"/>
        <v>Error?</v>
      </c>
    </row>
    <row r="1746" spans="1:5" x14ac:dyDescent="0.2">
      <c r="A1746" s="5">
        <v>1685</v>
      </c>
      <c r="B1746" s="1832">
        <f>'Tax Sched 23'!B6</f>
        <v>287038</v>
      </c>
      <c r="C1746" s="2" t="s">
        <v>568</v>
      </c>
      <c r="D1746" s="2" t="str">
        <f t="shared" si="26"/>
        <v>Error?</v>
      </c>
    </row>
    <row r="1747" spans="1:5" x14ac:dyDescent="0.2">
      <c r="A1747" s="5">
        <v>1686</v>
      </c>
      <c r="B1747" s="1832">
        <f>'Tax Sched 23'!B7</f>
        <v>123475</v>
      </c>
      <c r="C1747" s="2" t="s">
        <v>568</v>
      </c>
      <c r="D1747" s="2" t="str">
        <f t="shared" si="26"/>
        <v>Error?</v>
      </c>
    </row>
    <row r="1748" spans="1:5" x14ac:dyDescent="0.2">
      <c r="A1748" s="5">
        <v>1687</v>
      </c>
      <c r="B1748" s="1832">
        <f>'Tax Sched 23'!B8</f>
        <v>248676</v>
      </c>
      <c r="C1748" s="2" t="s">
        <v>568</v>
      </c>
      <c r="D1748" s="2" t="str">
        <f t="shared" si="26"/>
        <v>Error?</v>
      </c>
    </row>
    <row r="1749" spans="1:5" x14ac:dyDescent="0.2">
      <c r="A1749" s="5">
        <v>1688</v>
      </c>
      <c r="B1749" s="1832">
        <f>'Tax Sched 23'!B10</f>
        <v>0</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489736</v>
      </c>
      <c r="C1752" s="2" t="s">
        <v>568</v>
      </c>
      <c r="D1752" s="2" t="str">
        <f t="shared" si="26"/>
        <v>Error?</v>
      </c>
    </row>
    <row r="1753" spans="1:5" x14ac:dyDescent="0.2">
      <c r="A1753" s="5">
        <v>1692</v>
      </c>
      <c r="B1753" s="1832">
        <f>'Tax Sched 23'!B12</f>
        <v>10201</v>
      </c>
      <c r="C1753" s="2" t="s">
        <v>568</v>
      </c>
      <c r="D1753" s="2" t="str">
        <f t="shared" si="26"/>
        <v>Error?</v>
      </c>
    </row>
    <row r="1754" spans="1:5" x14ac:dyDescent="0.2">
      <c r="A1754" s="5">
        <v>1693</v>
      </c>
      <c r="B1754" s="1832">
        <f>'Tax Sched 23'!B14</f>
        <v>24175</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2907066</v>
      </c>
      <c r="C1759" s="2" t="s">
        <v>568</v>
      </c>
      <c r="D1759" s="2" t="str">
        <f t="shared" si="26"/>
        <v>Error?</v>
      </c>
    </row>
    <row r="1760" spans="1:5" x14ac:dyDescent="0.2">
      <c r="A1760" s="5">
        <v>1699</v>
      </c>
      <c r="B1760" s="1832">
        <f>'Tax Sched 23'!D4</f>
        <v>1135962</v>
      </c>
      <c r="C1760" s="2" t="s">
        <v>568</v>
      </c>
      <c r="D1760" s="2" t="str">
        <f t="shared" si="26"/>
        <v>Error?</v>
      </c>
    </row>
    <row r="1761" spans="1:7" x14ac:dyDescent="0.2">
      <c r="A1761" s="5">
        <v>1700</v>
      </c>
      <c r="B1761" s="1832">
        <f>'Tax Sched 23'!D5</f>
        <v>308684</v>
      </c>
      <c r="C1761" s="2" t="s">
        <v>568</v>
      </c>
      <c r="D1761" s="2" t="str">
        <f t="shared" si="26"/>
        <v>Error?</v>
      </c>
    </row>
    <row r="1762" spans="1:7" s="8" customFormat="1" x14ac:dyDescent="0.2">
      <c r="A1762" s="5">
        <v>1701</v>
      </c>
      <c r="B1762" s="1832">
        <f>'Tax Sched 23'!D6</f>
        <v>287038</v>
      </c>
      <c r="C1762" s="2" t="s">
        <v>568</v>
      </c>
      <c r="D1762" s="2" t="str">
        <f t="shared" si="26"/>
        <v>Error?</v>
      </c>
      <c r="E1762" s="9"/>
      <c r="G1762"/>
    </row>
    <row r="1763" spans="1:7" x14ac:dyDescent="0.2">
      <c r="A1763" s="5">
        <v>1702</v>
      </c>
      <c r="B1763" s="1832">
        <f>'Tax Sched 23'!D7</f>
        <v>123475</v>
      </c>
      <c r="C1763" s="2" t="s">
        <v>568</v>
      </c>
      <c r="D1763" s="2" t="str">
        <f t="shared" si="26"/>
        <v>Error?</v>
      </c>
    </row>
    <row r="1764" spans="1:7" x14ac:dyDescent="0.2">
      <c r="A1764" s="5">
        <v>1703</v>
      </c>
      <c r="B1764" s="1832">
        <f>'Tax Sched 23'!D8</f>
        <v>248676</v>
      </c>
      <c r="C1764" s="2" t="s">
        <v>568</v>
      </c>
      <c r="D1764" s="2" t="str">
        <f t="shared" si="26"/>
        <v>Error?</v>
      </c>
    </row>
    <row r="1765" spans="1:7" x14ac:dyDescent="0.2">
      <c r="A1765" s="5">
        <v>1704</v>
      </c>
      <c r="B1765" s="1832">
        <f>'Tax Sched 23'!D10</f>
        <v>0</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489736</v>
      </c>
      <c r="C1768" s="2" t="s">
        <v>568</v>
      </c>
      <c r="D1768" s="2" t="str">
        <f t="shared" si="26"/>
        <v>Error?</v>
      </c>
    </row>
    <row r="1769" spans="1:7" x14ac:dyDescent="0.2">
      <c r="A1769" s="5">
        <v>1708</v>
      </c>
      <c r="B1769" s="1832">
        <f>'Tax Sched 23'!D12</f>
        <v>10201</v>
      </c>
      <c r="C1769" s="2" t="s">
        <v>568</v>
      </c>
      <c r="D1769" s="2" t="str">
        <f t="shared" si="26"/>
        <v>Error?</v>
      </c>
    </row>
    <row r="1770" spans="1:7" x14ac:dyDescent="0.2">
      <c r="A1770" s="5">
        <v>1709</v>
      </c>
      <c r="B1770" s="1832">
        <f>'Tax Sched 23'!D14</f>
        <v>24175</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2907066</v>
      </c>
      <c r="C1775" s="2" t="s">
        <v>568</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568</v>
      </c>
      <c r="D1791" s="2" t="str">
        <f t="shared" ref="D1791:D1854" si="27">IF(ISBLANK(B1791),"OK",IF(A1791-B1791=0,"OK","Error?"))</f>
        <v>Error?</v>
      </c>
    </row>
    <row r="1792" spans="1:4" x14ac:dyDescent="0.2">
      <c r="A1792" s="5">
        <v>1731</v>
      </c>
      <c r="B1792" s="1832">
        <f>'Tax Sched 23'!F4</f>
        <v>1158124</v>
      </c>
      <c r="C1792" s="2" t="s">
        <v>568</v>
      </c>
      <c r="D1792" s="2" t="str">
        <f t="shared" si="27"/>
        <v>Error?</v>
      </c>
    </row>
    <row r="1793" spans="1:4" x14ac:dyDescent="0.2">
      <c r="A1793" s="5">
        <v>1732</v>
      </c>
      <c r="B1793" s="1832">
        <f>'Tax Sched 23'!F5</f>
        <v>314710</v>
      </c>
      <c r="C1793" s="2" t="s">
        <v>568</v>
      </c>
      <c r="D1793" s="2" t="str">
        <f t="shared" si="27"/>
        <v>Error?</v>
      </c>
    </row>
    <row r="1794" spans="1:4" x14ac:dyDescent="0.2">
      <c r="A1794" s="5">
        <v>1733</v>
      </c>
      <c r="B1794" s="1832">
        <f>'Tax Sched 23'!F6</f>
        <v>497850</v>
      </c>
      <c r="C1794" s="2" t="s">
        <v>568</v>
      </c>
      <c r="D1794" s="2" t="str">
        <f t="shared" si="27"/>
        <v>Error?</v>
      </c>
    </row>
    <row r="1795" spans="1:4" x14ac:dyDescent="0.2">
      <c r="A1795" s="5">
        <v>1734</v>
      </c>
      <c r="B1795" s="1832">
        <f>'Tax Sched 23'!F7</f>
        <v>125890</v>
      </c>
      <c r="C1795" s="2" t="s">
        <v>568</v>
      </c>
      <c r="D1795" s="2" t="str">
        <f t="shared" si="27"/>
        <v>Error?</v>
      </c>
    </row>
    <row r="1796" spans="1:4" x14ac:dyDescent="0.2">
      <c r="A1796" s="5">
        <v>1735</v>
      </c>
      <c r="B1796" s="1832">
        <f>'Tax Sched 23'!F8</f>
        <v>253530</v>
      </c>
      <c r="C1796" s="2" t="s">
        <v>568</v>
      </c>
      <c r="D1796" s="2" t="str">
        <f t="shared" si="27"/>
        <v>Error?</v>
      </c>
    </row>
    <row r="1797" spans="1:4" x14ac:dyDescent="0.2">
      <c r="A1797" s="5">
        <v>1736</v>
      </c>
      <c r="B1797" s="1832">
        <f>'Tax Sched 23'!F10</f>
        <v>0</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499274</v>
      </c>
      <c r="C1800" s="2" t="s">
        <v>568</v>
      </c>
      <c r="D1800" s="2" t="str">
        <f t="shared" si="27"/>
        <v>Error?</v>
      </c>
    </row>
    <row r="1801" spans="1:4" x14ac:dyDescent="0.2">
      <c r="A1801" s="5">
        <v>1740</v>
      </c>
      <c r="B1801" s="1832">
        <f>'Tax Sched 23'!F12</f>
        <v>10399</v>
      </c>
      <c r="C1801" s="2" t="s">
        <v>568</v>
      </c>
      <c r="D1801" s="2" t="str">
        <f t="shared" si="27"/>
        <v>Error?</v>
      </c>
    </row>
    <row r="1802" spans="1:4" x14ac:dyDescent="0.2">
      <c r="A1802" s="5">
        <v>1741</v>
      </c>
      <c r="B1802" s="1832">
        <f>'Tax Sched 23'!F14</f>
        <v>24653</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3168998</v>
      </c>
      <c r="C1807" s="2" t="s">
        <v>568</v>
      </c>
      <c r="D1807" s="2" t="str">
        <f t="shared" si="27"/>
        <v>Error?</v>
      </c>
    </row>
    <row r="1808" spans="1:4" x14ac:dyDescent="0.2">
      <c r="A1808" s="5">
        <v>1747</v>
      </c>
      <c r="B1808" s="1832">
        <f>'Tax Sched 23'!E4</f>
        <v>1158124</v>
      </c>
      <c r="D1808" s="2" t="str">
        <f t="shared" si="27"/>
        <v>Error?</v>
      </c>
    </row>
    <row r="1809" spans="1:4" x14ac:dyDescent="0.2">
      <c r="A1809" s="5">
        <v>1748</v>
      </c>
      <c r="B1809" s="1832">
        <f>'Tax Sched 23'!E5</f>
        <v>314710</v>
      </c>
      <c r="D1809" s="2" t="str">
        <f t="shared" si="27"/>
        <v>Error?</v>
      </c>
    </row>
    <row r="1810" spans="1:4" x14ac:dyDescent="0.2">
      <c r="A1810" s="5">
        <v>1749</v>
      </c>
      <c r="B1810" s="1832">
        <f>'Tax Sched 23'!E6</f>
        <v>497850</v>
      </c>
      <c r="D1810" s="2" t="str">
        <f t="shared" si="27"/>
        <v>Error?</v>
      </c>
    </row>
    <row r="1811" spans="1:4" x14ac:dyDescent="0.2">
      <c r="A1811" s="5">
        <v>1750</v>
      </c>
      <c r="B1811" s="1832">
        <f>'Tax Sched 23'!E7</f>
        <v>125890</v>
      </c>
      <c r="D1811" s="2" t="str">
        <f t="shared" si="27"/>
        <v>Error?</v>
      </c>
    </row>
    <row r="1812" spans="1:4" x14ac:dyDescent="0.2">
      <c r="A1812" s="5">
        <v>1751</v>
      </c>
      <c r="B1812" s="1832">
        <f>'Tax Sched 23'!E8</f>
        <v>253530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499274</v>
      </c>
      <c r="D1816" s="2" t="str">
        <f t="shared" si="27"/>
        <v>Error?</v>
      </c>
    </row>
    <row r="1817" spans="1:4" x14ac:dyDescent="0.2">
      <c r="A1817" s="5">
        <v>1756</v>
      </c>
      <c r="B1817" s="1832">
        <f>'Tax Sched 23'!E12</f>
        <v>10399</v>
      </c>
      <c r="D1817" s="2" t="str">
        <f t="shared" si="27"/>
        <v>Error?</v>
      </c>
    </row>
    <row r="1818" spans="1:4" x14ac:dyDescent="0.2">
      <c r="A1818" s="5">
        <v>1757</v>
      </c>
      <c r="B1818" s="1832">
        <f>'Tax Sched 23'!E14</f>
        <v>24653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3168998</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2204887</v>
      </c>
      <c r="C1939" s="2" t="s">
        <v>568</v>
      </c>
      <c r="D1939" s="2" t="str">
        <f t="shared" si="29"/>
        <v>Error?</v>
      </c>
    </row>
    <row r="1940" spans="1:5" x14ac:dyDescent="0.2">
      <c r="A1940" s="5">
        <v>1879</v>
      </c>
      <c r="B1940" s="1832">
        <f>'Short-Term Long-Term Debt 24'!F49</f>
        <v>289665</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24175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24175</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24175</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142942</v>
      </c>
      <c r="D2008" s="2" t="str">
        <f t="shared" si="30"/>
        <v>Error?</v>
      </c>
    </row>
    <row r="2009" spans="1:4" x14ac:dyDescent="0.2">
      <c r="A2009" s="5">
        <v>1948</v>
      </c>
      <c r="B2009" s="1832">
        <f>'Cap Outlay Deprec 26'!C8</f>
        <v>33189859</v>
      </c>
      <c r="D2009" s="2" t="str">
        <f t="shared" si="30"/>
        <v>Error?</v>
      </c>
    </row>
    <row r="2010" spans="1:4" x14ac:dyDescent="0.2">
      <c r="A2010" s="5">
        <v>1949</v>
      </c>
      <c r="B2010" s="1832">
        <f>'Cap Outlay Deprec 26'!C10</f>
        <v>200339</v>
      </c>
      <c r="D2010" s="2" t="str">
        <f t="shared" si="30"/>
        <v>Error?</v>
      </c>
    </row>
    <row r="2011" spans="1:4" x14ac:dyDescent="0.2">
      <c r="A2011" s="5">
        <v>1950</v>
      </c>
      <c r="B2011" s="1832">
        <f>'Cap Outlay Deprec 26'!C12</f>
        <v>1400200</v>
      </c>
      <c r="D2011" s="2" t="str">
        <f t="shared" si="30"/>
        <v>Error?</v>
      </c>
    </row>
    <row r="2012" spans="1:4" x14ac:dyDescent="0.2">
      <c r="A2012" s="5">
        <v>1951</v>
      </c>
      <c r="B2012" s="1832">
        <f>'Cap Outlay Deprec 26'!C13</f>
        <v>827281</v>
      </c>
      <c r="D2012" s="2" t="str">
        <f t="shared" si="30"/>
        <v>Error?</v>
      </c>
    </row>
    <row r="2013" spans="1:4" x14ac:dyDescent="0.2">
      <c r="A2013" s="5">
        <v>1952</v>
      </c>
      <c r="B2013" s="1832">
        <f>'Cap Outlay Deprec 26'!C16</f>
        <v>35760621</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204090</v>
      </c>
      <c r="D2015" s="2" t="str">
        <f t="shared" si="30"/>
        <v>Error?</v>
      </c>
    </row>
    <row r="2016" spans="1:4" x14ac:dyDescent="0.2">
      <c r="A2016" s="5">
        <v>1955</v>
      </c>
      <c r="B2016" s="1832">
        <f>'Cap Outlay Deprec 26'!D10</f>
        <v>78989</v>
      </c>
      <c r="D2016" s="2" t="str">
        <f t="shared" si="30"/>
        <v>Error?</v>
      </c>
    </row>
    <row r="2017" spans="1:4" x14ac:dyDescent="0.2">
      <c r="A2017" s="5">
        <v>1956</v>
      </c>
      <c r="B2017" s="1832">
        <f>'Cap Outlay Deprec 26'!D12</f>
        <v>257704</v>
      </c>
      <c r="D2017" s="2" t="str">
        <f t="shared" si="30"/>
        <v>Error?</v>
      </c>
    </row>
    <row r="2018" spans="1:4" x14ac:dyDescent="0.2">
      <c r="A2018" s="5">
        <v>1957</v>
      </c>
      <c r="B2018" s="1832">
        <f>'Cap Outlay Deprec 26'!D13</f>
        <v>103734</v>
      </c>
      <c r="D2018" s="2" t="str">
        <f t="shared" si="30"/>
        <v>Error?</v>
      </c>
    </row>
    <row r="2019" spans="1:4" x14ac:dyDescent="0.2">
      <c r="A2019" s="5">
        <v>1958</v>
      </c>
      <c r="B2019" s="1832">
        <f>'Cap Outlay Deprec 26'!D16</f>
        <v>644517</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255053</v>
      </c>
      <c r="D2024" s="2" t="str">
        <f t="shared" si="30"/>
        <v>Error?</v>
      </c>
    </row>
    <row r="2025" spans="1:4" x14ac:dyDescent="0.2">
      <c r="A2025" s="5">
        <v>1964</v>
      </c>
      <c r="B2025" s="1832">
        <f>'Cap Outlay Deprec 26'!E16</f>
        <v>255053</v>
      </c>
      <c r="C2025" s="2" t="s">
        <v>568</v>
      </c>
      <c r="D2025" s="2" t="str">
        <f t="shared" si="30"/>
        <v>Error?</v>
      </c>
    </row>
    <row r="2026" spans="1:4" x14ac:dyDescent="0.2">
      <c r="A2026" s="5">
        <v>1965</v>
      </c>
      <c r="B2026" s="1832">
        <f>'Cap Outlay Deprec 26'!F5</f>
        <v>142942</v>
      </c>
      <c r="C2026" s="2" t="s">
        <v>568</v>
      </c>
      <c r="D2026" s="2" t="str">
        <f t="shared" si="30"/>
        <v>Error?</v>
      </c>
    </row>
    <row r="2027" spans="1:4" x14ac:dyDescent="0.2">
      <c r="A2027" s="5">
        <v>1966</v>
      </c>
      <c r="B2027" s="1832">
        <f>'Cap Outlay Deprec 26'!F8</f>
        <v>33393949</v>
      </c>
      <c r="C2027" s="2" t="s">
        <v>568</v>
      </c>
      <c r="D2027" s="2" t="str">
        <f t="shared" si="30"/>
        <v>Error?</v>
      </c>
    </row>
    <row r="2028" spans="1:4" x14ac:dyDescent="0.2">
      <c r="A2028" s="5">
        <v>1967</v>
      </c>
      <c r="B2028" s="1832">
        <f>'Cap Outlay Deprec 26'!F10</f>
        <v>279328</v>
      </c>
      <c r="C2028" s="2" t="s">
        <v>568</v>
      </c>
      <c r="D2028" s="2" t="str">
        <f t="shared" si="30"/>
        <v>Error?</v>
      </c>
    </row>
    <row r="2029" spans="1:4" x14ac:dyDescent="0.2">
      <c r="A2029" s="5">
        <v>1968</v>
      </c>
      <c r="B2029" s="1832">
        <f>'Cap Outlay Deprec 26'!F12</f>
        <v>1657904</v>
      </c>
      <c r="C2029" s="2" t="s">
        <v>568</v>
      </c>
      <c r="D2029" s="2" t="str">
        <f t="shared" si="30"/>
        <v>Error?</v>
      </c>
    </row>
    <row r="2030" spans="1:4" x14ac:dyDescent="0.2">
      <c r="A2030" s="5">
        <v>1969</v>
      </c>
      <c r="B2030" s="1832">
        <f>'Cap Outlay Deprec 26'!F13</f>
        <v>675962</v>
      </c>
      <c r="C2030" s="2" t="s">
        <v>568</v>
      </c>
      <c r="D2030" s="2" t="str">
        <f t="shared" si="30"/>
        <v>Error?</v>
      </c>
    </row>
    <row r="2031" spans="1:4" x14ac:dyDescent="0.2">
      <c r="A2031" s="5">
        <v>1970</v>
      </c>
      <c r="B2031" s="1832">
        <f>'Cap Outlay Deprec 26'!F16</f>
        <v>36150085</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12589606</v>
      </c>
      <c r="D2033" s="2" t="str">
        <f t="shared" si="30"/>
        <v>Error?</v>
      </c>
    </row>
    <row r="2034" spans="1:4" x14ac:dyDescent="0.2">
      <c r="A2034" s="5">
        <v>1973</v>
      </c>
      <c r="B2034" s="1832">
        <f>'Cap Outlay Deprec 26'!H10</f>
        <v>81411</v>
      </c>
      <c r="D2034" s="2" t="str">
        <f t="shared" si="30"/>
        <v>Error?</v>
      </c>
    </row>
    <row r="2035" spans="1:4" x14ac:dyDescent="0.2">
      <c r="A2035" s="5">
        <v>1974</v>
      </c>
      <c r="B2035" s="1832">
        <f>'Cap Outlay Deprec 26'!H12</f>
        <v>834452</v>
      </c>
      <c r="D2035" s="2" t="str">
        <f t="shared" si="30"/>
        <v>Error?</v>
      </c>
    </row>
    <row r="2036" spans="1:4" x14ac:dyDescent="0.2">
      <c r="A2036" s="5">
        <v>1975</v>
      </c>
      <c r="B2036" s="1832">
        <f>'Cap Outlay Deprec 26'!H13</f>
        <v>679287</v>
      </c>
      <c r="D2036" s="2" t="str">
        <f t="shared" si="30"/>
        <v>Error?</v>
      </c>
    </row>
    <row r="2037" spans="1:4" x14ac:dyDescent="0.2">
      <c r="A2037" s="5">
        <v>1976</v>
      </c>
      <c r="B2037" s="1832">
        <f>'Cap Outlay Deprec 26'!H16</f>
        <v>14184756</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620162</v>
      </c>
      <c r="D2039" s="2" t="str">
        <f t="shared" si="30"/>
        <v>Error?</v>
      </c>
    </row>
    <row r="2040" spans="1:4" x14ac:dyDescent="0.2">
      <c r="A2040" s="5">
        <v>1979</v>
      </c>
      <c r="B2040" s="1832">
        <f>'Cap Outlay Deprec 26'!I10</f>
        <v>10996</v>
      </c>
      <c r="D2040" s="2" t="str">
        <f t="shared" si="30"/>
        <v>Error?</v>
      </c>
    </row>
    <row r="2041" spans="1:4" x14ac:dyDescent="0.2">
      <c r="A2041" s="5">
        <v>1980</v>
      </c>
      <c r="B2041" s="1832">
        <f>'Cap Outlay Deprec 26'!I12</f>
        <v>150661</v>
      </c>
      <c r="D2041" s="2" t="str">
        <f t="shared" si="30"/>
        <v>Error?</v>
      </c>
    </row>
    <row r="2042" spans="1:4" x14ac:dyDescent="0.2">
      <c r="A2042" s="5">
        <v>1981</v>
      </c>
      <c r="B2042" s="1832">
        <f>'Cap Outlay Deprec 26'!I13</f>
        <v>98091</v>
      </c>
      <c r="D2042" s="2" t="str">
        <f t="shared" si="30"/>
        <v>Error?</v>
      </c>
    </row>
    <row r="2043" spans="1:4" x14ac:dyDescent="0.2">
      <c r="A2043" s="5">
        <v>1982</v>
      </c>
      <c r="B2043" s="1832">
        <f>'Cap Outlay Deprec 26'!I16</f>
        <v>879910</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245560</v>
      </c>
      <c r="D2048" s="2" t="str">
        <f t="shared" si="31"/>
        <v>Error?</v>
      </c>
    </row>
    <row r="2049" spans="1:4" x14ac:dyDescent="0.2">
      <c r="A2049" s="5">
        <v>1988</v>
      </c>
      <c r="B2049" s="1832">
        <f>'Cap Outlay Deprec 26'!J16</f>
        <v>245560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13209768</v>
      </c>
      <c r="C2051" s="2" t="s">
        <v>568</v>
      </c>
      <c r="D2051" s="2" t="str">
        <f t="shared" si="31"/>
        <v>Error?</v>
      </c>
    </row>
    <row r="2052" spans="1:4" x14ac:dyDescent="0.2">
      <c r="A2052" s="5">
        <v>1991</v>
      </c>
      <c r="B2052" s="1832">
        <f>'Cap Outlay Deprec 26'!K10</f>
        <v>92407</v>
      </c>
      <c r="C2052" s="2" t="s">
        <v>568</v>
      </c>
      <c r="D2052" s="2" t="str">
        <f t="shared" si="31"/>
        <v>Error?</v>
      </c>
    </row>
    <row r="2053" spans="1:4" x14ac:dyDescent="0.2">
      <c r="A2053" s="5">
        <v>1992</v>
      </c>
      <c r="B2053" s="1832">
        <f>'Cap Outlay Deprec 26'!K12</f>
        <v>985113</v>
      </c>
      <c r="C2053" s="2" t="s">
        <v>568</v>
      </c>
      <c r="D2053" s="2" t="str">
        <f t="shared" si="31"/>
        <v>Error?</v>
      </c>
    </row>
    <row r="2054" spans="1:4" x14ac:dyDescent="0.2">
      <c r="A2054" s="5">
        <v>1993</v>
      </c>
      <c r="B2054" s="1832">
        <f>'Cap Outlay Deprec 26'!K13</f>
        <v>531818</v>
      </c>
      <c r="C2054" s="2" t="s">
        <v>568</v>
      </c>
      <c r="D2054" s="2" t="str">
        <f t="shared" si="31"/>
        <v>Error?</v>
      </c>
    </row>
    <row r="2055" spans="1:4" x14ac:dyDescent="0.2">
      <c r="A2055" s="5">
        <v>1994</v>
      </c>
      <c r="B2055" s="1832">
        <f>'Cap Outlay Deprec 26'!K16</f>
        <v>14819106</v>
      </c>
      <c r="C2055" s="2" t="s">
        <v>568</v>
      </c>
      <c r="D2055" s="2" t="str">
        <f t="shared" si="31"/>
        <v>Error?</v>
      </c>
    </row>
    <row r="2056" spans="1:4" x14ac:dyDescent="0.2">
      <c r="A2056" s="5">
        <v>1995</v>
      </c>
      <c r="B2056" s="1832">
        <f>'Cap Outlay Deprec 26'!L5</f>
        <v>142942</v>
      </c>
      <c r="C2056" s="2" t="s">
        <v>568</v>
      </c>
      <c r="D2056" s="2" t="str">
        <f t="shared" si="31"/>
        <v>Error?</v>
      </c>
    </row>
    <row r="2057" spans="1:4" x14ac:dyDescent="0.2">
      <c r="A2057" s="5">
        <v>1996</v>
      </c>
      <c r="B2057" s="1832">
        <f>'Cap Outlay Deprec 26'!L8</f>
        <v>20184181</v>
      </c>
      <c r="C2057" s="2" t="s">
        <v>568</v>
      </c>
      <c r="D2057" s="2" t="str">
        <f t="shared" si="31"/>
        <v>Error?</v>
      </c>
    </row>
    <row r="2058" spans="1:4" x14ac:dyDescent="0.2">
      <c r="A2058" s="5">
        <v>1997</v>
      </c>
      <c r="B2058" s="1832">
        <f>'Cap Outlay Deprec 26'!L10</f>
        <v>186921</v>
      </c>
      <c r="C2058" s="2" t="s">
        <v>568</v>
      </c>
      <c r="D2058" s="2" t="str">
        <f t="shared" si="31"/>
        <v>Error?</v>
      </c>
    </row>
    <row r="2059" spans="1:4" x14ac:dyDescent="0.2">
      <c r="A2059" s="5">
        <v>1998</v>
      </c>
      <c r="B2059" s="1832">
        <f>'Cap Outlay Deprec 26'!L12</f>
        <v>672791</v>
      </c>
      <c r="C2059" s="2" t="s">
        <v>568</v>
      </c>
      <c r="D2059" s="2" t="str">
        <f t="shared" si="31"/>
        <v>Error?</v>
      </c>
    </row>
    <row r="2060" spans="1:4" x14ac:dyDescent="0.2">
      <c r="A2060" s="5">
        <v>1999</v>
      </c>
      <c r="B2060" s="1832">
        <f>'Cap Outlay Deprec 26'!L13</f>
        <v>144144</v>
      </c>
      <c r="C2060" s="2" t="s">
        <v>568</v>
      </c>
      <c r="D2060" s="2" t="str">
        <f t="shared" si="31"/>
        <v>Error?</v>
      </c>
    </row>
    <row r="2061" spans="1:4" x14ac:dyDescent="0.2">
      <c r="A2061" s="5">
        <v>2000</v>
      </c>
      <c r="B2061" s="1832">
        <f>'Cap Outlay Deprec 26'!L16</f>
        <v>21330979</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614519</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614519</v>
      </c>
      <c r="C2088" s="2" t="s">
        <v>568</v>
      </c>
      <c r="D2088" s="2" t="str">
        <f t="shared" si="31"/>
        <v>Error?</v>
      </c>
    </row>
    <row r="2089" spans="1:4" x14ac:dyDescent="0.2">
      <c r="A2089" s="5">
        <v>2028</v>
      </c>
      <c r="B2089" s="1832">
        <f>'Expenditures 15-22'!K92</f>
        <v>0</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112404</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1069957</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1462478</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11482618</v>
      </c>
      <c r="C2553" s="2" t="s">
        <v>568</v>
      </c>
      <c r="D2553" s="2" t="str">
        <f t="shared" si="38"/>
        <v>Error?</v>
      </c>
    </row>
    <row r="2554" spans="1:4" x14ac:dyDescent="0.2">
      <c r="A2554" s="5">
        <v>2493</v>
      </c>
      <c r="B2554" s="1832">
        <f>'Acct Summary 7-8'!C7</f>
        <v>1915056</v>
      </c>
      <c r="C2554" s="2" t="s">
        <v>568</v>
      </c>
      <c r="D2554" s="2" t="str">
        <f t="shared" si="38"/>
        <v>Error?</v>
      </c>
    </row>
    <row r="2555" spans="1:4" x14ac:dyDescent="0.2">
      <c r="A2555" s="5">
        <v>2494</v>
      </c>
      <c r="B2555" s="1832">
        <f>'Acct Summary 7-8'!C8</f>
        <v>14867448</v>
      </c>
      <c r="C2555" s="2" t="s">
        <v>568</v>
      </c>
      <c r="D2555" s="2" t="str">
        <f t="shared" si="38"/>
        <v>Error?</v>
      </c>
    </row>
    <row r="2556" spans="1:4" x14ac:dyDescent="0.2">
      <c r="A2556" s="5">
        <v>2495</v>
      </c>
      <c r="B2556" s="1832">
        <f>'Acct Summary 7-8'!C12</f>
        <v>7618338</v>
      </c>
      <c r="C2556" s="2" t="s">
        <v>568</v>
      </c>
      <c r="D2556" s="2" t="str">
        <f t="shared" si="38"/>
        <v>Error?</v>
      </c>
    </row>
    <row r="2557" spans="1:4" x14ac:dyDescent="0.2">
      <c r="A2557" s="5">
        <v>2496</v>
      </c>
      <c r="B2557" s="1832">
        <f>'Acct Summary 7-8'!C13</f>
        <v>3640651</v>
      </c>
      <c r="C2557" s="2" t="s">
        <v>568</v>
      </c>
      <c r="D2557" s="2" t="str">
        <f t="shared" si="38"/>
        <v>Error?</v>
      </c>
    </row>
    <row r="2558" spans="1:4" x14ac:dyDescent="0.2">
      <c r="A2558" s="5">
        <v>2497</v>
      </c>
      <c r="B2558" s="1832">
        <f>'Acct Summary 7-8'!C14</f>
        <v>307657</v>
      </c>
      <c r="C2558" s="2" t="s">
        <v>568</v>
      </c>
      <c r="D2558" s="2" t="str">
        <f t="shared" si="38"/>
        <v>Error?</v>
      </c>
    </row>
    <row r="2559" spans="1:4" x14ac:dyDescent="0.2">
      <c r="A2559" s="5">
        <v>2498</v>
      </c>
      <c r="B2559" s="1832">
        <f>'Acct Summary 7-8'!C15</f>
        <v>630468</v>
      </c>
      <c r="C2559" s="2" t="s">
        <v>568</v>
      </c>
      <c r="D2559" s="2" t="str">
        <f t="shared" ref="D2559:D2622" si="39">IF(ISBLANK(B2559),"OK",IF(A2559-B2559=0,"OK","Error?"))</f>
        <v>Error?</v>
      </c>
    </row>
    <row r="2560" spans="1:4" x14ac:dyDescent="0.2">
      <c r="A2560" s="5">
        <v>2499</v>
      </c>
      <c r="B2560" s="1832">
        <f>'Acct Summary 7-8'!C16</f>
        <v>844</v>
      </c>
      <c r="C2560" s="2" t="s">
        <v>568</v>
      </c>
      <c r="D2560" s="2" t="str">
        <f t="shared" si="39"/>
        <v>Error?</v>
      </c>
    </row>
    <row r="2561" spans="1:4" x14ac:dyDescent="0.2">
      <c r="A2561" s="5">
        <v>2500</v>
      </c>
      <c r="B2561" s="1832">
        <f>'Acct Summary 7-8'!C17</f>
        <v>12197958</v>
      </c>
      <c r="C2561" s="2" t="s">
        <v>568</v>
      </c>
      <c r="D2561" s="2" t="str">
        <f t="shared" si="39"/>
        <v>Error?</v>
      </c>
    </row>
    <row r="2562" spans="1:4" x14ac:dyDescent="0.2">
      <c r="A2562" s="5">
        <v>2501</v>
      </c>
      <c r="B2562" s="1832">
        <f>'Acct Summary 7-8'!C20</f>
        <v>2669490</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441934</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225000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666934</v>
      </c>
      <c r="C2568" s="2" t="s">
        <v>568</v>
      </c>
      <c r="D2568" s="2" t="str">
        <f t="shared" si="39"/>
        <v>Error?</v>
      </c>
    </row>
    <row r="2569" spans="1:4" x14ac:dyDescent="0.2">
      <c r="A2569" s="5">
        <v>2508</v>
      </c>
      <c r="B2569" s="1832">
        <f>'Acct Summary 7-8'!D13</f>
        <v>532643</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532643</v>
      </c>
      <c r="C2573" s="2" t="s">
        <v>568</v>
      </c>
      <c r="D2573" s="2" t="str">
        <f t="shared" si="39"/>
        <v>Error?</v>
      </c>
    </row>
    <row r="2574" spans="1:4" x14ac:dyDescent="0.2">
      <c r="A2574" s="5">
        <v>2513</v>
      </c>
      <c r="B2574" s="1832">
        <f>'Acct Summary 7-8'!D20</f>
        <v>134291</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259879</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340486</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600365</v>
      </c>
      <c r="C2595" s="2" t="s">
        <v>568</v>
      </c>
      <c r="D2595" s="2" t="str">
        <f t="shared" si="39"/>
        <v>Error?</v>
      </c>
    </row>
    <row r="2596" spans="1:4" x14ac:dyDescent="0.2">
      <c r="A2596" s="5">
        <v>2535</v>
      </c>
      <c r="B2596" s="1832">
        <f>'Acct Summary 7-8'!F13</f>
        <v>390024</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68218</v>
      </c>
      <c r="C2599" s="2" t="s">
        <v>568</v>
      </c>
      <c r="D2599" s="2" t="str">
        <f t="shared" si="39"/>
        <v>Error?</v>
      </c>
    </row>
    <row r="2600" spans="1:4" x14ac:dyDescent="0.2">
      <c r="A2600" s="5">
        <v>2539</v>
      </c>
      <c r="B2600" s="1832">
        <f>'Acct Summary 7-8'!F17</f>
        <v>458242</v>
      </c>
      <c r="C2600" s="2" t="s">
        <v>568</v>
      </c>
      <c r="D2600" s="2" t="str">
        <f t="shared" si="39"/>
        <v>Error?</v>
      </c>
    </row>
    <row r="2601" spans="1:4" x14ac:dyDescent="0.2">
      <c r="A2601" s="5">
        <v>2540</v>
      </c>
      <c r="B2601" s="1832">
        <f>'Acct Summary 7-8'!F20</f>
        <v>142123</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543048</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543048</v>
      </c>
      <c r="C2606" s="2" t="s">
        <v>568</v>
      </c>
      <c r="D2606" s="2" t="str">
        <f t="shared" si="39"/>
        <v>Error?</v>
      </c>
    </row>
    <row r="2607" spans="1:4" x14ac:dyDescent="0.2">
      <c r="A2607" s="5">
        <v>2546</v>
      </c>
      <c r="B2607" s="1832">
        <f>'Acct Summary 7-8'!G12</f>
        <v>205647</v>
      </c>
      <c r="C2607" s="2" t="s">
        <v>568</v>
      </c>
      <c r="D2607" s="2" t="str">
        <f t="shared" si="39"/>
        <v>Error?</v>
      </c>
    </row>
    <row r="2608" spans="1:4" x14ac:dyDescent="0.2">
      <c r="A2608" s="5">
        <v>2547</v>
      </c>
      <c r="B2608" s="1832">
        <f>'Acct Summary 7-8'!G13</f>
        <v>212772</v>
      </c>
      <c r="C2608" s="2" t="s">
        <v>568</v>
      </c>
      <c r="D2608" s="2" t="str">
        <f t="shared" si="39"/>
        <v>Error?</v>
      </c>
    </row>
    <row r="2609" spans="1:4" x14ac:dyDescent="0.2">
      <c r="A2609" s="5">
        <v>2548</v>
      </c>
      <c r="B2609" s="1832">
        <f>'Acct Summary 7-8'!G14</f>
        <v>31324</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449743</v>
      </c>
      <c r="C2612" s="2" t="s">
        <v>568</v>
      </c>
      <c r="D2612" s="2" t="str">
        <f t="shared" si="39"/>
        <v>Error?</v>
      </c>
    </row>
    <row r="2613" spans="1:4" x14ac:dyDescent="0.2">
      <c r="A2613" s="5">
        <v>2552</v>
      </c>
      <c r="B2613" s="1832">
        <f>'Acct Summary 7-8'!G20</f>
        <v>93305</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792851</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792851</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896846</v>
      </c>
      <c r="C2634" s="2" t="s">
        <v>568</v>
      </c>
      <c r="D2634" s="2" t="str">
        <f t="shared" si="40"/>
        <v>Error?</v>
      </c>
    </row>
    <row r="2635" spans="1:4" x14ac:dyDescent="0.2">
      <c r="A2635" s="5">
        <v>2574</v>
      </c>
      <c r="B2635" s="1832">
        <f>'Acct Summary 7-8'!E17</f>
        <v>896846</v>
      </c>
      <c r="C2635" s="2" t="s">
        <v>568</v>
      </c>
      <c r="D2635" s="2" t="str">
        <f t="shared" si="40"/>
        <v>Error?</v>
      </c>
    </row>
    <row r="2636" spans="1:4" x14ac:dyDescent="0.2">
      <c r="A2636" s="5">
        <v>2575</v>
      </c>
      <c r="B2636" s="1832">
        <f>'Acct Summary 7-8'!E20</f>
        <v>-103995</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815</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815</v>
      </c>
      <c r="C2658" s="2" t="s">
        <v>568</v>
      </c>
      <c r="D2658" s="2" t="str">
        <f t="shared" si="40"/>
        <v>Error?</v>
      </c>
    </row>
    <row r="2659" spans="1:4" x14ac:dyDescent="0.2">
      <c r="A2659" s="5">
        <v>2598</v>
      </c>
      <c r="B2659" s="1832">
        <f>'Acct Summary 7-8'!H13</f>
        <v>0</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0</v>
      </c>
      <c r="C2661" s="2" t="s">
        <v>568</v>
      </c>
      <c r="D2661" s="2" t="str">
        <f t="shared" si="40"/>
        <v>Error?</v>
      </c>
    </row>
    <row r="2662" spans="1:4" x14ac:dyDescent="0.2">
      <c r="A2662" s="5">
        <v>2601</v>
      </c>
      <c r="B2662" s="1832">
        <f>'Acct Summary 7-8'!H20</f>
        <v>815</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568</v>
      </c>
      <c r="D2789" s="2" t="str">
        <f t="shared" si="42"/>
        <v>Error?</v>
      </c>
    </row>
    <row r="2790" spans="1:4" x14ac:dyDescent="0.2">
      <c r="A2790" s="5">
        <v>2729</v>
      </c>
      <c r="B2790" s="1832">
        <f>'Expenditures 15-22'!E102</f>
        <v>0</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814286</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814286</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390948</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814286</v>
      </c>
      <c r="D2912" s="2" t="str">
        <f t="shared" si="44"/>
        <v>Error?</v>
      </c>
    </row>
    <row r="2913" spans="1:4" x14ac:dyDescent="0.2">
      <c r="A2913" s="5">
        <v>2852</v>
      </c>
      <c r="B2913" s="1832">
        <f>'Assets-Liab 5-6'!I41</f>
        <v>814286</v>
      </c>
      <c r="C2913" s="2" t="s">
        <v>568</v>
      </c>
      <c r="D2913" s="2" t="str">
        <f t="shared" si="44"/>
        <v>Error?</v>
      </c>
    </row>
    <row r="2914" spans="1:4" x14ac:dyDescent="0.2">
      <c r="A2914" s="5">
        <v>2853</v>
      </c>
      <c r="B2914" s="1832">
        <f>'Assets-Liab 5-6'!L33</f>
        <v>223938</v>
      </c>
      <c r="D2914" s="2" t="str">
        <f t="shared" si="44"/>
        <v>Error?</v>
      </c>
    </row>
    <row r="2915" spans="1:4" x14ac:dyDescent="0.2">
      <c r="A2915" s="10">
        <v>2854</v>
      </c>
      <c r="B2915" s="1832"/>
      <c r="D2915" s="2" t="str">
        <f t="shared" si="44"/>
        <v>OK</v>
      </c>
    </row>
    <row r="2916" spans="1:4" x14ac:dyDescent="0.2">
      <c r="A2916" s="5">
        <v>2855</v>
      </c>
      <c r="B2916" s="1832">
        <f>'Assets-Liab 5-6'!L34</f>
        <v>223938</v>
      </c>
      <c r="C2916" s="2" t="s">
        <v>568</v>
      </c>
      <c r="D2916" s="2" t="str">
        <f t="shared" si="44"/>
        <v>Error?</v>
      </c>
    </row>
    <row r="2917" spans="1:4" x14ac:dyDescent="0.2">
      <c r="A2917" s="5">
        <v>2856</v>
      </c>
      <c r="B2917" s="1832">
        <f>'Assets-Liab 5-6'!L41</f>
        <v>390948</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3400</v>
      </c>
      <c r="D2955" s="2" t="str">
        <f t="shared" si="45"/>
        <v>Error?</v>
      </c>
    </row>
    <row r="2956" spans="1:4" x14ac:dyDescent="0.2">
      <c r="A2956" s="5">
        <v>2895</v>
      </c>
      <c r="B2956" s="1832">
        <f>'Expenditures 15-22'!H79</f>
        <v>611119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3400</v>
      </c>
      <c r="C2973" s="2" t="s">
        <v>568</v>
      </c>
      <c r="D2973" s="2" t="str">
        <f t="shared" si="45"/>
        <v>Error?</v>
      </c>
    </row>
    <row r="2974" spans="1:4" x14ac:dyDescent="0.2">
      <c r="A2974" s="5">
        <v>2913</v>
      </c>
      <c r="B2974" s="1832">
        <f>'Expenditures 15-22'!K79</f>
        <v>611119</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227053</v>
      </c>
      <c r="D3055" s="2" t="str">
        <f t="shared" si="46"/>
        <v>Error?</v>
      </c>
    </row>
    <row r="3056" spans="1:4" x14ac:dyDescent="0.2">
      <c r="A3056" s="5">
        <v>2995</v>
      </c>
      <c r="B3056" s="1832">
        <f>'Expenditures 15-22'!D10</f>
        <v>31772</v>
      </c>
      <c r="D3056" s="2" t="str">
        <f t="shared" si="46"/>
        <v>Error?</v>
      </c>
    </row>
    <row r="3057" spans="1:4" x14ac:dyDescent="0.2">
      <c r="A3057" s="5">
        <v>2996</v>
      </c>
      <c r="B3057" s="1832">
        <f>'Expenditures 15-22'!E10</f>
        <v>24173</v>
      </c>
      <c r="D3057" s="2" t="str">
        <f t="shared" si="46"/>
        <v>Error?</v>
      </c>
    </row>
    <row r="3058" spans="1:4" x14ac:dyDescent="0.2">
      <c r="A3058" s="5">
        <v>2997</v>
      </c>
      <c r="B3058" s="1832">
        <f>'Expenditures 15-22'!F10</f>
        <v>43639</v>
      </c>
      <c r="D3058" s="2" t="str">
        <f t="shared" si="46"/>
        <v>Error?</v>
      </c>
    </row>
    <row r="3059" spans="1:4" x14ac:dyDescent="0.2">
      <c r="A3059" s="5">
        <v>2998</v>
      </c>
      <c r="B3059" s="1832">
        <f>'Expenditures 15-22'!G10</f>
        <v>44734</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371371</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3964</v>
      </c>
      <c r="D3064" s="2" t="str">
        <f t="shared" si="46"/>
        <v>Error?</v>
      </c>
    </row>
    <row r="3065" spans="1:4" x14ac:dyDescent="0.2">
      <c r="A3065" s="5">
        <v>3004</v>
      </c>
      <c r="B3065" s="1832">
        <f>'Expenditures 15-22'!K219</f>
        <v>3964</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167010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2326</v>
      </c>
      <c r="C3225" s="2" t="s">
        <v>568</v>
      </c>
      <c r="D3225" s="2" t="str">
        <f t="shared" si="49"/>
        <v>Error?</v>
      </c>
    </row>
    <row r="3226" spans="1:4" x14ac:dyDescent="0.2">
      <c r="A3226" s="5">
        <v>3165</v>
      </c>
      <c r="B3226" s="1832">
        <f>'Acct Summary 7-8'!I8</f>
        <v>2326</v>
      </c>
      <c r="C3226" s="2" t="s">
        <v>568</v>
      </c>
      <c r="D3226" s="2" t="str">
        <f t="shared" si="49"/>
        <v>Error?</v>
      </c>
    </row>
    <row r="3227" spans="1:4" x14ac:dyDescent="0.2">
      <c r="A3227" s="5">
        <v>3166</v>
      </c>
      <c r="B3227" s="1832">
        <f>'Acct Summary 7-8'!I20</f>
        <v>2326</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9394</v>
      </c>
      <c r="D3230" s="2" t="str">
        <f t="shared" si="49"/>
        <v>Error?</v>
      </c>
    </row>
    <row r="3231" spans="1:4" x14ac:dyDescent="0.2">
      <c r="A3231" s="5">
        <v>3170</v>
      </c>
      <c r="B3231" s="1832">
        <f>'Acct Summary 7-8'!C76</f>
        <v>9394</v>
      </c>
      <c r="C3231" s="2" t="s">
        <v>568</v>
      </c>
      <c r="D3231" s="2" t="str">
        <f t="shared" si="49"/>
        <v>Error?</v>
      </c>
    </row>
    <row r="3232" spans="1:4" x14ac:dyDescent="0.2">
      <c r="A3232" s="5">
        <v>3171</v>
      </c>
      <c r="B3232" s="1832">
        <f>'Acct Summary 7-8'!C77</f>
        <v>-9394</v>
      </c>
      <c r="C3232" s="2" t="s">
        <v>568</v>
      </c>
      <c r="D3232" s="2" t="str">
        <f t="shared" si="49"/>
        <v>Error?</v>
      </c>
    </row>
    <row r="3233" spans="1:4" x14ac:dyDescent="0.2">
      <c r="A3233" s="5">
        <v>3172</v>
      </c>
      <c r="B3233" s="1832">
        <f>'Acct Summary 7-8'!C78</f>
        <v>2660096</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134291</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142123</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93305</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1149379</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1149379</v>
      </c>
      <c r="C3277" s="2" t="s">
        <v>568</v>
      </c>
      <c r="D3277" s="2" t="str">
        <f t="shared" si="50"/>
        <v>Error?</v>
      </c>
    </row>
    <row r="3278" spans="1:4" x14ac:dyDescent="0.2">
      <c r="A3278" s="5">
        <v>3217</v>
      </c>
      <c r="B3278" s="1832">
        <f>'Acct Summary 7-8'!E78</f>
        <v>1045384</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1149379</v>
      </c>
      <c r="C3298" s="2" t="s">
        <v>568</v>
      </c>
      <c r="D3298" s="2" t="str">
        <f t="shared" si="50"/>
        <v>Error?</v>
      </c>
    </row>
    <row r="3299" spans="1:4" x14ac:dyDescent="0.2">
      <c r="A3299" s="5">
        <v>3238</v>
      </c>
      <c r="B3299" s="1832">
        <f>'Acct Summary 7-8'!H77</f>
        <v>-1149379</v>
      </c>
      <c r="C3299" s="2" t="s">
        <v>568</v>
      </c>
      <c r="D3299" s="2" t="str">
        <f t="shared" si="50"/>
        <v>Error?</v>
      </c>
    </row>
    <row r="3300" spans="1:4" x14ac:dyDescent="0.2">
      <c r="A3300" s="5">
        <v>3239</v>
      </c>
      <c r="B3300" s="1832">
        <f>'Acct Summary 7-8'!H78</f>
        <v>-1148564</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0</v>
      </c>
      <c r="C3318" s="2" t="s">
        <v>568</v>
      </c>
      <c r="D3318" s="2" t="str">
        <f t="shared" si="50"/>
        <v>Error?</v>
      </c>
    </row>
    <row r="3319" spans="1:4" x14ac:dyDescent="0.2">
      <c r="A3319" s="5">
        <v>3258</v>
      </c>
      <c r="B3319" s="1832">
        <f>'Acct Summary 7-8'!I77</f>
        <v>0</v>
      </c>
      <c r="C3319" s="2" t="s">
        <v>568</v>
      </c>
      <c r="D3319" s="2" t="str">
        <f t="shared" si="50"/>
        <v>Error?</v>
      </c>
    </row>
    <row r="3320" spans="1:4" x14ac:dyDescent="0.2">
      <c r="A3320" s="5">
        <v>3259</v>
      </c>
      <c r="B3320" s="1832">
        <f>'Acct Summary 7-8'!I78</f>
        <v>2326</v>
      </c>
      <c r="C3320" s="2" t="s">
        <v>568</v>
      </c>
      <c r="D3320" s="2" t="str">
        <f t="shared" si="50"/>
        <v>Error?</v>
      </c>
    </row>
    <row r="3321" spans="1:4" x14ac:dyDescent="0.2">
      <c r="A3321" s="5">
        <v>3260</v>
      </c>
      <c r="B3321" s="1832">
        <f>'Acct Summary 7-8'!I79</f>
        <v>811960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814286</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1147662</v>
      </c>
      <c r="D3366" s="2" t="str">
        <f t="shared" si="51"/>
        <v>Error?</v>
      </c>
    </row>
    <row r="3367" spans="1:4" x14ac:dyDescent="0.2">
      <c r="A3367" s="5">
        <v>3306</v>
      </c>
      <c r="B3367" s="1832">
        <f>'Expenditures 15-22'!C19</f>
        <v>209891</v>
      </c>
      <c r="D3367" s="2" t="str">
        <f t="shared" si="51"/>
        <v>Error?</v>
      </c>
    </row>
    <row r="3368" spans="1:4" x14ac:dyDescent="0.2">
      <c r="A3368" s="5">
        <v>3307</v>
      </c>
      <c r="B3368" s="1832">
        <f>'Expenditures 15-22'!D8</f>
        <v>118307</v>
      </c>
      <c r="D3368" s="2" t="str">
        <f t="shared" si="51"/>
        <v>Error?</v>
      </c>
    </row>
    <row r="3369" spans="1:4" x14ac:dyDescent="0.2">
      <c r="A3369" s="5">
        <v>3308</v>
      </c>
      <c r="B3369" s="1832">
        <f>'Expenditures 15-22'!D19</f>
        <v>37341</v>
      </c>
      <c r="D3369" s="2" t="str">
        <f t="shared" si="51"/>
        <v>Error?</v>
      </c>
    </row>
    <row r="3370" spans="1:4" x14ac:dyDescent="0.2">
      <c r="A3370" s="5">
        <v>3309</v>
      </c>
      <c r="B3370" s="1832">
        <f>'Expenditures 15-22'!E8</f>
        <v>100</v>
      </c>
      <c r="D3370" s="2" t="str">
        <f t="shared" si="51"/>
        <v>Error?</v>
      </c>
    </row>
    <row r="3371" spans="1:4" x14ac:dyDescent="0.2">
      <c r="A3371" s="5">
        <v>3310</v>
      </c>
      <c r="B3371" s="1832">
        <f>'Expenditures 15-22'!E19</f>
        <v>986</v>
      </c>
      <c r="D3371" s="2" t="str">
        <f t="shared" si="51"/>
        <v>Error?</v>
      </c>
    </row>
    <row r="3372" spans="1:4" x14ac:dyDescent="0.2">
      <c r="A3372" s="5">
        <v>3311</v>
      </c>
      <c r="B3372" s="1832">
        <f>'Expenditures 15-22'!F8</f>
        <v>125825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10486</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1402380</v>
      </c>
      <c r="C3380" s="2" t="s">
        <v>568</v>
      </c>
      <c r="D3380" s="2" t="str">
        <f t="shared" si="51"/>
        <v>Error?</v>
      </c>
    </row>
    <row r="3381" spans="1:4" x14ac:dyDescent="0.2">
      <c r="A3381" s="5">
        <v>3320</v>
      </c>
      <c r="B3381" s="1832">
        <f>'Expenditures 15-22'!K19</f>
        <v>248218</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104677</v>
      </c>
      <c r="D3387" s="2" t="str">
        <f t="shared" si="51"/>
        <v>Error?</v>
      </c>
    </row>
    <row r="3388" spans="1:4" x14ac:dyDescent="0.2">
      <c r="A3388" s="5">
        <v>3327</v>
      </c>
      <c r="B3388" s="1832">
        <f>'Expenditures 15-22'!D217</f>
        <v>90961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104677</v>
      </c>
      <c r="C3390" s="2" t="s">
        <v>568</v>
      </c>
      <c r="D3390" s="2" t="str">
        <f t="shared" si="51"/>
        <v>Error?</v>
      </c>
    </row>
    <row r="3391" spans="1:4" x14ac:dyDescent="0.2">
      <c r="A3391" s="5">
        <v>3330</v>
      </c>
      <c r="B3391" s="1832">
        <f>'Expenditures 15-22'!K217</f>
        <v>90961</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7296</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8132503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1370287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1069957</v>
      </c>
      <c r="D3417" s="2" t="str">
        <f t="shared" si="52"/>
        <v>Error?</v>
      </c>
    </row>
    <row r="3418" spans="1:4" x14ac:dyDescent="0.2">
      <c r="A3418" s="10">
        <v>3357</v>
      </c>
      <c r="B3418" s="1832"/>
      <c r="D3418" s="2" t="str">
        <f t="shared" si="52"/>
        <v>OK</v>
      </c>
    </row>
    <row r="3419" spans="1:4" x14ac:dyDescent="0.2">
      <c r="A3419" s="5">
        <v>3358</v>
      </c>
      <c r="B3419" s="1832">
        <f>'Assets-Liab 5-6'!F4</f>
        <v>1365978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968897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5795</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390948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248676</v>
      </c>
      <c r="C3446" s="2" t="s">
        <v>568</v>
      </c>
      <c r="D3446" s="2" t="str">
        <f t="shared" si="52"/>
        <v>Error?</v>
      </c>
    </row>
    <row r="3447" spans="1:4" x14ac:dyDescent="0.2">
      <c r="A3447" s="5">
        <v>3386</v>
      </c>
      <c r="B3447" s="1832">
        <f>'Tax Sched 23'!D16</f>
        <v>248676</v>
      </c>
      <c r="C3447" s="2" t="s">
        <v>568</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253530</v>
      </c>
      <c r="C3449" s="2" t="s">
        <v>568</v>
      </c>
      <c r="D3449" s="2" t="str">
        <f t="shared" si="52"/>
        <v>Error?</v>
      </c>
    </row>
    <row r="3450" spans="1:4" x14ac:dyDescent="0.2">
      <c r="A3450" s="5">
        <v>3389</v>
      </c>
      <c r="B3450" s="1832">
        <f>'Tax Sched 23'!E16</f>
        <v>253530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811912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811912</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787806</v>
      </c>
      <c r="D3566" s="2" t="str">
        <f t="shared" si="54"/>
        <v>Error?</v>
      </c>
    </row>
    <row r="3567" spans="1:4" x14ac:dyDescent="0.2">
      <c r="A3567" s="5">
        <v>3506</v>
      </c>
      <c r="B3567" s="1832">
        <f>'Assets-Liab 5-6'!K39</f>
        <v>24106</v>
      </c>
      <c r="D3567" s="2" t="str">
        <f t="shared" si="54"/>
        <v>Error?</v>
      </c>
    </row>
    <row r="3568" spans="1:4" x14ac:dyDescent="0.2">
      <c r="A3568" s="5">
        <v>3507</v>
      </c>
      <c r="B3568" s="1832">
        <f>'Assets-Liab 5-6'!K41</f>
        <v>811912</v>
      </c>
      <c r="C3568" s="2" t="s">
        <v>568</v>
      </c>
      <c r="D3568" s="2" t="str">
        <f t="shared" si="54"/>
        <v>Error?</v>
      </c>
    </row>
    <row r="3569" spans="1:4" x14ac:dyDescent="0.2">
      <c r="A3569" s="5">
        <v>3508</v>
      </c>
      <c r="B3569" s="1832">
        <f>'Acct Summary 7-8'!K4</f>
        <v>52818</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52818</v>
      </c>
      <c r="C3571" s="2" t="s">
        <v>568</v>
      </c>
      <c r="D3571" s="2" t="str">
        <f t="shared" si="54"/>
        <v>Error?</v>
      </c>
    </row>
    <row r="3572" spans="1:4" x14ac:dyDescent="0.2">
      <c r="A3572" s="5">
        <v>3511</v>
      </c>
      <c r="B3572" s="1832">
        <f>'Acct Summary 7-8'!K13</f>
        <v>202194</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202194</v>
      </c>
      <c r="C3575" s="2" t="s">
        <v>568</v>
      </c>
      <c r="D3575" s="2" t="str">
        <f t="shared" si="54"/>
        <v>Error?</v>
      </c>
    </row>
    <row r="3576" spans="1:4" x14ac:dyDescent="0.2">
      <c r="A3576" s="5">
        <v>3515</v>
      </c>
      <c r="B3576" s="1832">
        <f>'Acct Summary 7-8'!K20</f>
        <v>-149376</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-149376</v>
      </c>
      <c r="C3588" s="2" t="s">
        <v>568</v>
      </c>
      <c r="D3588" s="2" t="str">
        <f t="shared" si="55"/>
        <v>Error?</v>
      </c>
    </row>
    <row r="3589" spans="1:4" x14ac:dyDescent="0.2">
      <c r="A3589" s="5">
        <v>3528</v>
      </c>
      <c r="B3589" s="1832">
        <f>'Acct Summary 7-8'!K79</f>
        <v>961288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811912</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18226</v>
      </c>
      <c r="D3632" s="2" t="str">
        <f t="shared" si="55"/>
        <v>Error?</v>
      </c>
    </row>
    <row r="3633" spans="1:4" x14ac:dyDescent="0.2">
      <c r="A3633" s="5">
        <v>3572</v>
      </c>
      <c r="B3633" s="1832">
        <f>'Expenditures 15-22'!E350</f>
        <v>18226</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18226</v>
      </c>
      <c r="C3635" s="2" t="s">
        <v>568</v>
      </c>
      <c r="D3635" s="2" t="str">
        <f t="shared" si="55"/>
        <v>Error?</v>
      </c>
    </row>
    <row r="3636" spans="1:4" x14ac:dyDescent="0.2">
      <c r="A3636" s="5">
        <v>3575</v>
      </c>
      <c r="B3636" s="1832">
        <f>'Expenditures 15-22'!E367</f>
        <v>18226</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183968</v>
      </c>
      <c r="D3646" s="2" t="str">
        <f t="shared" si="55"/>
        <v>Error?</v>
      </c>
    </row>
    <row r="3647" spans="1:4" x14ac:dyDescent="0.2">
      <c r="A3647" s="5">
        <v>3586</v>
      </c>
      <c r="B3647" s="1832">
        <f>'Expenditures 15-22'!G350</f>
        <v>183968</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183968</v>
      </c>
      <c r="C3649" s="2" t="s">
        <v>568</v>
      </c>
      <c r="D3649" s="2" t="str">
        <f t="shared" si="56"/>
        <v>Error?</v>
      </c>
    </row>
    <row r="3650" spans="1:4" x14ac:dyDescent="0.2">
      <c r="A3650" s="5">
        <v>3589</v>
      </c>
      <c r="B3650" s="1832">
        <f>'Expenditures 15-22'!G367</f>
        <v>183968</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202194</v>
      </c>
      <c r="C3669" s="2" t="s">
        <v>568</v>
      </c>
      <c r="D3669" s="2" t="str">
        <f t="shared" si="56"/>
        <v>Error?</v>
      </c>
    </row>
    <row r="3670" spans="1:4" x14ac:dyDescent="0.2">
      <c r="A3670" s="5">
        <v>3609</v>
      </c>
      <c r="B3670" s="1832">
        <f>'Expenditures 15-22'!K350</f>
        <v>202194</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202194</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202194</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-149376</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30443</v>
      </c>
      <c r="C3725" s="2" t="s">
        <v>568</v>
      </c>
      <c r="D3725" s="2" t="str">
        <f t="shared" si="57"/>
        <v>Error?</v>
      </c>
    </row>
    <row r="3726" spans="1:4" x14ac:dyDescent="0.2">
      <c r="A3726" s="5">
        <v>3665</v>
      </c>
      <c r="B3726" s="1832">
        <f>'Tax Sched 23'!D13</f>
        <v>30443</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31038</v>
      </c>
      <c r="C3728" s="2" t="s">
        <v>568</v>
      </c>
      <c r="D3728" s="2" t="str">
        <f t="shared" si="57"/>
        <v>Error?</v>
      </c>
    </row>
    <row r="3729" spans="1:4" x14ac:dyDescent="0.2">
      <c r="A3729" s="5">
        <v>3668</v>
      </c>
      <c r="B3729" s="1832">
        <f>'Tax Sched 23'!E13</f>
        <v>31038</v>
      </c>
      <c r="D3729" s="2" t="str">
        <f t="shared" si="57"/>
        <v>Error?</v>
      </c>
    </row>
    <row r="3730" spans="1:4" x14ac:dyDescent="0.2">
      <c r="A3730" s="5">
        <v>3669</v>
      </c>
      <c r="B3730" s="1832">
        <f>'ICR Computation 30'!E10</f>
        <v>570822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4604608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19472056</v>
      </c>
      <c r="C4122" s="2" t="s">
        <v>568</v>
      </c>
      <c r="D4122" s="2" t="str">
        <f t="shared" si="63"/>
        <v>Error?</v>
      </c>
    </row>
    <row r="4123" spans="1:4" x14ac:dyDescent="0.2">
      <c r="A4123" s="5">
        <v>4062</v>
      </c>
      <c r="B4123" s="1832">
        <f>'Acct Summary 7-8'!D10</f>
        <v>666934</v>
      </c>
      <c r="C4123" s="2" t="s">
        <v>568</v>
      </c>
      <c r="D4123" s="2" t="str">
        <f t="shared" si="63"/>
        <v>Error?</v>
      </c>
    </row>
    <row r="4124" spans="1:4" x14ac:dyDescent="0.2">
      <c r="A4124" s="5">
        <v>4063</v>
      </c>
      <c r="B4124" s="1832">
        <f>'Acct Summary 7-8'!E10</f>
        <v>792851</v>
      </c>
      <c r="C4124" s="2" t="s">
        <v>568</v>
      </c>
      <c r="D4124" s="2" t="str">
        <f t="shared" si="63"/>
        <v>Error?</v>
      </c>
    </row>
    <row r="4125" spans="1:4" x14ac:dyDescent="0.2">
      <c r="A4125" s="5">
        <v>4064</v>
      </c>
      <c r="B4125" s="1832">
        <f>'Acct Summary 7-8'!F10</f>
        <v>600365</v>
      </c>
      <c r="C4125" s="2" t="s">
        <v>568</v>
      </c>
      <c r="D4125" s="2" t="str">
        <f t="shared" si="63"/>
        <v>Error?</v>
      </c>
    </row>
    <row r="4126" spans="1:4" x14ac:dyDescent="0.2">
      <c r="A4126" s="5">
        <v>4065</v>
      </c>
      <c r="B4126" s="1832">
        <f>'Acct Summary 7-8'!G10</f>
        <v>543048</v>
      </c>
      <c r="C4126" s="2" t="s">
        <v>568</v>
      </c>
      <c r="D4126" s="2" t="str">
        <f t="shared" si="63"/>
        <v>Error?</v>
      </c>
    </row>
    <row r="4127" spans="1:4" x14ac:dyDescent="0.2">
      <c r="A4127" s="5">
        <v>4066</v>
      </c>
      <c r="B4127" s="1832">
        <f>'Acct Summary 7-8'!H10</f>
        <v>815</v>
      </c>
      <c r="C4127" s="2" t="s">
        <v>568</v>
      </c>
      <c r="D4127" s="2" t="str">
        <f t="shared" si="63"/>
        <v>Error?</v>
      </c>
    </row>
    <row r="4128" spans="1:4" x14ac:dyDescent="0.2">
      <c r="A4128" s="5">
        <v>4067</v>
      </c>
      <c r="B4128" s="1832">
        <f>'Acct Summary 7-8'!I10</f>
        <v>2326</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52818</v>
      </c>
      <c r="C4130" s="2" t="s">
        <v>568</v>
      </c>
      <c r="D4130" s="2" t="str">
        <f t="shared" si="63"/>
        <v>Error?</v>
      </c>
    </row>
    <row r="4131" spans="1:4" x14ac:dyDescent="0.2">
      <c r="A4131" s="5">
        <v>4070</v>
      </c>
      <c r="B4131" s="1832">
        <f>'Acct Summary 7-8'!C18</f>
        <v>4604608</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16802566</v>
      </c>
      <c r="C4136" s="2" t="s">
        <v>568</v>
      </c>
      <c r="D4136" s="2" t="str">
        <f t="shared" si="63"/>
        <v>Error?</v>
      </c>
    </row>
    <row r="4137" spans="1:4" x14ac:dyDescent="0.2">
      <c r="A4137" s="5">
        <v>4076</v>
      </c>
      <c r="B4137" s="1832">
        <f>'Acct Summary 7-8'!D19</f>
        <v>532643</v>
      </c>
      <c r="C4137" s="2" t="s">
        <v>568</v>
      </c>
      <c r="D4137" s="2" t="str">
        <f t="shared" si="63"/>
        <v>Error?</v>
      </c>
    </row>
    <row r="4138" spans="1:4" x14ac:dyDescent="0.2">
      <c r="A4138" s="5">
        <v>4077</v>
      </c>
      <c r="B4138" s="1832">
        <f>'Acct Summary 7-8'!E19</f>
        <v>896846</v>
      </c>
      <c r="C4138" s="2" t="s">
        <v>568</v>
      </c>
      <c r="D4138" s="2" t="str">
        <f t="shared" si="63"/>
        <v>Error?</v>
      </c>
    </row>
    <row r="4139" spans="1:4" x14ac:dyDescent="0.2">
      <c r="A4139" s="5">
        <v>4078</v>
      </c>
      <c r="B4139" s="1832">
        <f>'Acct Summary 7-8'!F19</f>
        <v>458242</v>
      </c>
      <c r="C4139" s="2" t="s">
        <v>568</v>
      </c>
      <c r="D4139" s="2" t="str">
        <f t="shared" si="63"/>
        <v>Error?</v>
      </c>
    </row>
    <row r="4140" spans="1:4" x14ac:dyDescent="0.2">
      <c r="A4140" s="5">
        <v>4079</v>
      </c>
      <c r="B4140" s="1832">
        <f>'Acct Summary 7-8'!G19</f>
        <v>449743</v>
      </c>
      <c r="C4140" s="2" t="s">
        <v>568</v>
      </c>
      <c r="D4140" s="2" t="str">
        <f t="shared" si="63"/>
        <v>Error?</v>
      </c>
    </row>
    <row r="4141" spans="1:4" x14ac:dyDescent="0.2">
      <c r="A4141" s="5">
        <v>4080</v>
      </c>
      <c r="B4141" s="1832">
        <f>'Acct Summary 7-8'!H19</f>
        <v>0</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202194</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1544717</v>
      </c>
      <c r="C4171" s="2" t="s">
        <v>568</v>
      </c>
      <c r="D4171" s="2" t="str">
        <f t="shared" si="64"/>
        <v>Error?</v>
      </c>
    </row>
    <row r="4172" spans="1:4" x14ac:dyDescent="0.2">
      <c r="A4172" s="5">
        <v>4111</v>
      </c>
      <c r="B4172" s="1832">
        <f>'Short-Term Long-Term Debt 24'!J49</f>
        <v>474760</v>
      </c>
      <c r="C4172" s="2" t="s">
        <v>568</v>
      </c>
      <c r="D4172" s="2" t="str">
        <f t="shared" si="64"/>
        <v>Error?</v>
      </c>
    </row>
    <row r="4173" spans="1:4" x14ac:dyDescent="0.2">
      <c r="A4173" s="5">
        <v>4112</v>
      </c>
      <c r="B4173" s="1832">
        <f>'Short-Term Long-Term Debt 24'!H49</f>
        <v>949835</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63284</v>
      </c>
      <c r="D4210" s="2" t="str">
        <f t="shared" si="64"/>
        <v>Error?</v>
      </c>
    </row>
    <row r="4211" spans="1:4" x14ac:dyDescent="0.2">
      <c r="A4211" s="5">
        <v>4150</v>
      </c>
      <c r="B4211" s="1832">
        <f>'Expenditures 15-22'!K206</f>
        <v>63284</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1820.85</v>
      </c>
      <c r="C4265" s="2" t="s">
        <v>568</v>
      </c>
      <c r="D4265" s="2" t="str">
        <f t="shared" si="65"/>
        <v>Error?</v>
      </c>
      <c r="E4265" s="125"/>
    </row>
    <row r="4266" spans="1:5" x14ac:dyDescent="0.2">
      <c r="A4266" s="12">
        <v>4205</v>
      </c>
      <c r="B4266" s="1832">
        <f>('FP Info 3'!F10)*100000</f>
        <v>782.74</v>
      </c>
      <c r="C4266" s="2" t="s">
        <v>568</v>
      </c>
      <c r="D4266" s="2" t="str">
        <f t="shared" si="65"/>
        <v>Error?</v>
      </c>
      <c r="E4266" s="125"/>
    </row>
    <row r="4267" spans="1:5" x14ac:dyDescent="0.2">
      <c r="A4267" s="12">
        <v>4206</v>
      </c>
      <c r="B4267" s="1832">
        <f>('FP Info 3'!H10)*100000</f>
        <v>197.92999999999998</v>
      </c>
      <c r="C4267" s="2" t="s">
        <v>568</v>
      </c>
      <c r="D4267" s="2" t="str">
        <f t="shared" si="65"/>
        <v>Error?</v>
      </c>
      <c r="E4267" s="125"/>
    </row>
    <row r="4268" spans="1:5" x14ac:dyDescent="0.2">
      <c r="A4268" s="12">
        <v>4207</v>
      </c>
      <c r="B4268" s="1832">
        <f>('FP Info 3'!J10)*100000</f>
        <v>2802</v>
      </c>
      <c r="C4268" s="2" t="s">
        <v>568</v>
      </c>
      <c r="D4268" s="2" t="str">
        <f t="shared" si="65"/>
        <v>Error?</v>
      </c>
    </row>
    <row r="4269" spans="1:5" x14ac:dyDescent="0.2">
      <c r="A4269" s="12">
        <v>4208</v>
      </c>
      <c r="B4269" s="1832">
        <f>'FP Info 3'!J16</f>
        <v>13704427</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135989</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11447</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129271</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29525</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29525</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11447</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76849</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28794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55366</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68407717</v>
      </c>
      <c r="D4995" s="2" t="str">
        <f t="shared" si="77"/>
        <v>Error?</v>
      </c>
    </row>
    <row r="4996" spans="1:4" x14ac:dyDescent="0.2">
      <c r="A4996" s="12">
        <v>4935</v>
      </c>
      <c r="B4996" s="1832">
        <f>'FP Info 3'!H31</f>
        <v>9440264.9460000005</v>
      </c>
      <c r="D4996" s="2" t="str">
        <f t="shared" si="77"/>
        <v>Error?</v>
      </c>
    </row>
    <row r="4997" spans="1:4" x14ac:dyDescent="0.2">
      <c r="A4997" s="12">
        <v>4936</v>
      </c>
      <c r="B4997" s="1832">
        <f>'FP Info 3'!H37</f>
        <v>1544717</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30443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1135962</v>
      </c>
      <c r="D5061" s="2" t="str">
        <f t="shared" si="78"/>
        <v>Error?</v>
      </c>
    </row>
    <row r="5062" spans="1:4" x14ac:dyDescent="0.2">
      <c r="A5062" s="10">
        <v>5001</v>
      </c>
      <c r="B5062" s="1832"/>
      <c r="D5062" s="2" t="str">
        <f t="shared" si="78"/>
        <v>OK</v>
      </c>
    </row>
    <row r="5063" spans="1:4" x14ac:dyDescent="0.2">
      <c r="A5063" s="5">
        <v>5002</v>
      </c>
      <c r="B5063" s="1832">
        <f>'Revenues 9-14'!C7</f>
        <v>24175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1190580</v>
      </c>
      <c r="C5066" s="2" t="s">
        <v>568</v>
      </c>
      <c r="D5066" s="2" t="str">
        <f t="shared" si="78"/>
        <v>Error?</v>
      </c>
    </row>
    <row r="5067" spans="1:4" x14ac:dyDescent="0.2">
      <c r="A5067" s="5">
        <v>5006</v>
      </c>
      <c r="B5067" s="1832">
        <f>'Revenues 9-14'!C14</f>
        <v>2599</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28858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31457</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44920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44920</v>
      </c>
      <c r="C5087" s="2" t="s">
        <v>568</v>
      </c>
      <c r="D5087" s="2" t="str">
        <f t="shared" si="78"/>
        <v>Error?</v>
      </c>
    </row>
    <row r="5088" spans="1:4" x14ac:dyDescent="0.2">
      <c r="A5088" s="5">
        <v>5027</v>
      </c>
      <c r="B5088" s="1832">
        <f>'Revenues 9-14'!C65</f>
        <v>26459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26459</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4501</v>
      </c>
      <c r="D5095" s="2" t="str">
        <f t="shared" si="78"/>
        <v>Error?</v>
      </c>
    </row>
    <row r="5096" spans="1:4" x14ac:dyDescent="0.2">
      <c r="A5096" s="5">
        <v>5035</v>
      </c>
      <c r="B5096" s="1832">
        <f>'Revenues 9-14'!C75</f>
        <v>57439</v>
      </c>
      <c r="C5096" s="2" t="s">
        <v>568</v>
      </c>
      <c r="D5096" s="2" t="str">
        <f t="shared" si="78"/>
        <v>Error?</v>
      </c>
    </row>
    <row r="5097" spans="1:4" x14ac:dyDescent="0.2">
      <c r="A5097" s="5">
        <v>5036</v>
      </c>
      <c r="B5097" s="1832">
        <f>'Revenues 9-14'!C77</f>
        <v>25850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25850</v>
      </c>
      <c r="C5102" s="2" t="s">
        <v>568</v>
      </c>
      <c r="D5102" s="2" t="str">
        <f t="shared" si="78"/>
        <v>Error?</v>
      </c>
    </row>
    <row r="5103" spans="1:4" x14ac:dyDescent="0.2">
      <c r="A5103" s="5">
        <v>5042</v>
      </c>
      <c r="B5103" s="1832">
        <f>'Revenues 9-14'!C84</f>
        <v>24948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99</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25047</v>
      </c>
      <c r="C5112" s="2" t="s">
        <v>568</v>
      </c>
      <c r="D5112" s="2" t="str">
        <f t="shared" si="78"/>
        <v>Error?</v>
      </c>
    </row>
    <row r="5113" spans="1:4" x14ac:dyDescent="0.2">
      <c r="A5113" s="5">
        <v>5052</v>
      </c>
      <c r="B5113" s="1832">
        <f>'Revenues 9-14'!C95</f>
        <v>3000</v>
      </c>
      <c r="D5113" s="2" t="str">
        <f t="shared" si="78"/>
        <v>Error?</v>
      </c>
    </row>
    <row r="5114" spans="1:4" x14ac:dyDescent="0.2">
      <c r="A5114" s="5">
        <v>5053</v>
      </c>
      <c r="B5114" s="1832">
        <f>'Revenues 9-14'!C96</f>
        <v>25000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17735</v>
      </c>
      <c r="D5118" s="2" t="str">
        <f t="shared" si="78"/>
        <v>Error?</v>
      </c>
    </row>
    <row r="5119" spans="1:4" x14ac:dyDescent="0.2">
      <c r="A5119" s="5">
        <v>5058</v>
      </c>
      <c r="B5119" s="1832">
        <f>'Revenues 9-14'!C107</f>
        <v>9951</v>
      </c>
      <c r="D5119" s="2" t="str">
        <f t="shared" ref="D5119:D5182" si="79">IF(ISBLANK(B5119),"OK",IF(A5119-B5119=0,"OK","Error?"))</f>
        <v>Error?</v>
      </c>
    </row>
    <row r="5120" spans="1:4" x14ac:dyDescent="0.2">
      <c r="A5120" s="5">
        <v>5059</v>
      </c>
      <c r="B5120" s="1832">
        <f>'Revenues 9-14'!C108</f>
        <v>60726</v>
      </c>
      <c r="C5120" s="2" t="s">
        <v>568</v>
      </c>
      <c r="D5120" s="2" t="str">
        <f t="shared" si="79"/>
        <v>Error?</v>
      </c>
    </row>
    <row r="5121" spans="1:4" x14ac:dyDescent="0.2">
      <c r="A5121" s="5">
        <v>5060</v>
      </c>
      <c r="B5121" s="1832">
        <f>'Revenues 9-14'!C109</f>
        <v>1462478</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7296</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7296</v>
      </c>
      <c r="C5125" s="2" t="s">
        <v>568</v>
      </c>
      <c r="D5125" s="2" t="str">
        <f t="shared" si="79"/>
        <v>Error?</v>
      </c>
    </row>
    <row r="5126" spans="1:4" x14ac:dyDescent="0.2">
      <c r="A5126" s="5">
        <v>5065</v>
      </c>
      <c r="B5126" s="1832">
        <f>'Revenues 9-14'!C117</f>
        <v>10517880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10517880</v>
      </c>
      <c r="C5132" s="2" t="s">
        <v>568</v>
      </c>
      <c r="D5132" s="2" t="str">
        <f t="shared" si="79"/>
        <v>Error?</v>
      </c>
    </row>
    <row r="5133" spans="1:4" x14ac:dyDescent="0.2">
      <c r="A5133" s="5">
        <v>5072</v>
      </c>
      <c r="B5133" s="1832">
        <f>'Revenues 9-14'!C125</f>
        <v>203747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15162</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218909</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2470</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10436</v>
      </c>
      <c r="D5167" s="2" t="str">
        <f t="shared" si="79"/>
        <v>Error?</v>
      </c>
    </row>
    <row r="5168" spans="1:4" x14ac:dyDescent="0.2">
      <c r="A5168" s="5">
        <v>5107</v>
      </c>
      <c r="B5168" s="1832">
        <f>'Revenues 9-14'!C148</f>
        <v>14672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662885</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964738</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11482618</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474759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157688</v>
      </c>
      <c r="D5241" s="2" t="str">
        <f t="shared" si="80"/>
        <v>Error?</v>
      </c>
    </row>
    <row r="5242" spans="1:4" x14ac:dyDescent="0.2">
      <c r="A5242" s="5">
        <v>5181</v>
      </c>
      <c r="B5242" s="1832">
        <f>'Revenues 9-14'!C194</f>
        <v>213123</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845570</v>
      </c>
      <c r="C5246" s="2" t="s">
        <v>568</v>
      </c>
      <c r="D5246" s="2" t="str">
        <f t="shared" si="80"/>
        <v>Error?</v>
      </c>
    </row>
    <row r="5247" spans="1:4" x14ac:dyDescent="0.2">
      <c r="A5247" s="5">
        <v>5186</v>
      </c>
      <c r="B5247" s="1832">
        <f>'Revenues 9-14'!C200</f>
        <v>431054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217641</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784684</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8916</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1915056</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1915056</v>
      </c>
      <c r="C5326" s="2" t="s">
        <v>568</v>
      </c>
      <c r="D5326" s="2" t="str">
        <f t="shared" si="82"/>
        <v>Error?</v>
      </c>
    </row>
    <row r="5327" spans="1:5" x14ac:dyDescent="0.2">
      <c r="A5327" s="5">
        <v>5266</v>
      </c>
      <c r="B5327" s="1832">
        <f>'Revenues 9-14'!C268</f>
        <v>14867448</v>
      </c>
      <c r="C5327" s="2" t="s">
        <v>568</v>
      </c>
      <c r="D5327" s="2" t="str">
        <f t="shared" si="82"/>
        <v>Error?</v>
      </c>
    </row>
    <row r="5328" spans="1:5" x14ac:dyDescent="0.2">
      <c r="A5328" s="5">
        <v>5267</v>
      </c>
      <c r="B5328" s="1832">
        <f>'Revenues 9-14'!D5</f>
        <v>308684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308684</v>
      </c>
      <c r="C5334" s="2" t="s">
        <v>568</v>
      </c>
      <c r="D5334" s="2" t="str">
        <f t="shared" si="82"/>
        <v>Error?</v>
      </c>
    </row>
    <row r="5335" spans="1:4" x14ac:dyDescent="0.2">
      <c r="A5335" s="5">
        <v>5274</v>
      </c>
      <c r="B5335" s="1832">
        <f>'Revenues 9-14'!D14</f>
        <v>674</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122500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123174</v>
      </c>
      <c r="C5339" s="2" t="s">
        <v>568</v>
      </c>
      <c r="D5339" s="2" t="str">
        <f t="shared" si="82"/>
        <v>Error?</v>
      </c>
    </row>
    <row r="5340" spans="1:4" x14ac:dyDescent="0.2">
      <c r="A5340" s="5">
        <v>5279</v>
      </c>
      <c r="B5340" s="1832">
        <f>'Revenues 9-14'!D65</f>
        <v>5671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5671</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4405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4405</v>
      </c>
      <c r="C5355" s="2" t="s">
        <v>568</v>
      </c>
      <c r="D5355" s="2" t="str">
        <f t="shared" si="82"/>
        <v>Error?</v>
      </c>
    </row>
    <row r="5356" spans="1:4" x14ac:dyDescent="0.2">
      <c r="A5356" s="5">
        <v>5295</v>
      </c>
      <c r="B5356" s="1832">
        <f>'Revenues 9-14'!D109</f>
        <v>441934</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225000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225000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225000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666934</v>
      </c>
      <c r="C5508" s="2" t="s">
        <v>568</v>
      </c>
      <c r="D5508" s="2" t="str">
        <f t="shared" si="85"/>
        <v>Error?</v>
      </c>
    </row>
    <row r="5509" spans="1:4" x14ac:dyDescent="0.2">
      <c r="A5509" s="5">
        <v>5448</v>
      </c>
      <c r="B5509" s="1832">
        <f>'Revenues 9-14'!E5</f>
        <v>287038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287038</v>
      </c>
      <c r="C5513" s="2" t="s">
        <v>568</v>
      </c>
      <c r="D5513" s="2" t="str">
        <f t="shared" si="85"/>
        <v>Error?</v>
      </c>
    </row>
    <row r="5514" spans="1:4" x14ac:dyDescent="0.2">
      <c r="A5514" s="5">
        <v>5453</v>
      </c>
      <c r="B5514" s="1832">
        <f>'Revenues 9-14'!E14</f>
        <v>627</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627</v>
      </c>
      <c r="C5518" s="2" t="s">
        <v>568</v>
      </c>
      <c r="D5518" s="2" t="str">
        <f t="shared" si="85"/>
        <v>Error?</v>
      </c>
    </row>
    <row r="5519" spans="1:4" x14ac:dyDescent="0.2">
      <c r="A5519" s="5">
        <v>5458</v>
      </c>
      <c r="B5519" s="1832">
        <f>'Revenues 9-14'!E65</f>
        <v>2776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2776</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11425</v>
      </c>
      <c r="D5525" s="2" t="str">
        <f t="shared" si="85"/>
        <v>Error?</v>
      </c>
    </row>
    <row r="5526" spans="1:4" x14ac:dyDescent="0.2">
      <c r="A5526" s="5">
        <v>5465</v>
      </c>
      <c r="B5526" s="1832">
        <f>'Revenues 9-14'!E108</f>
        <v>502410</v>
      </c>
      <c r="C5526" s="2" t="s">
        <v>568</v>
      </c>
      <c r="D5526" s="2" t="str">
        <f t="shared" si="85"/>
        <v>Error?</v>
      </c>
    </row>
    <row r="5527" spans="1:4" x14ac:dyDescent="0.2">
      <c r="A5527" s="5">
        <v>5466</v>
      </c>
      <c r="B5527" s="1832">
        <f>'Revenues 9-14'!E109</f>
        <v>792851</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792851</v>
      </c>
      <c r="C5552" s="2" t="s">
        <v>568</v>
      </c>
      <c r="D5552" s="2" t="str">
        <f t="shared" si="85"/>
        <v>Error?</v>
      </c>
    </row>
    <row r="5553" spans="1:4" x14ac:dyDescent="0.2">
      <c r="A5553" s="5">
        <v>5492</v>
      </c>
      <c r="B5553" s="1832">
        <f>'Revenues 9-14'!F5</f>
        <v>123475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123475</v>
      </c>
      <c r="C5557" s="2" t="s">
        <v>568</v>
      </c>
      <c r="D5557" s="2" t="str">
        <f t="shared" si="85"/>
        <v>Error?</v>
      </c>
    </row>
    <row r="5558" spans="1:4" x14ac:dyDescent="0.2">
      <c r="A5558" s="5">
        <v>5497</v>
      </c>
      <c r="B5558" s="1832">
        <f>'Revenues 9-14'!F14</f>
        <v>270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106117</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106387</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1070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1070</v>
      </c>
      <c r="C5579" s="2" t="s">
        <v>568</v>
      </c>
      <c r="D5579" s="2" t="str">
        <f t="shared" si="86"/>
        <v>Error?</v>
      </c>
    </row>
    <row r="5580" spans="1:4" x14ac:dyDescent="0.2">
      <c r="A5580" s="5">
        <v>5519</v>
      </c>
      <c r="B5580" s="1832">
        <f>'Revenues 9-14'!F65</f>
        <v>4787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4787</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24160</v>
      </c>
      <c r="D5586" s="2" t="str">
        <f t="shared" si="86"/>
        <v>Error?</v>
      </c>
    </row>
    <row r="5587" spans="1:4" x14ac:dyDescent="0.2">
      <c r="A5587" s="5">
        <v>5526</v>
      </c>
      <c r="B5587" s="1832">
        <f>'Revenues 9-14'!F108</f>
        <v>24160</v>
      </c>
      <c r="C5587" s="2" t="s">
        <v>568</v>
      </c>
      <c r="D5587" s="2" t="str">
        <f t="shared" si="86"/>
        <v>Error?</v>
      </c>
    </row>
    <row r="5588" spans="1:4" x14ac:dyDescent="0.2">
      <c r="A5588" s="5">
        <v>5527</v>
      </c>
      <c r="B5588" s="1832">
        <f>'Revenues 9-14'!F109</f>
        <v>259879</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150000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150000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66522</v>
      </c>
      <c r="D5615" s="2" t="str">
        <f t="shared" si="86"/>
        <v>Error?</v>
      </c>
    </row>
    <row r="5616" spans="1:4" x14ac:dyDescent="0.2">
      <c r="A5616" s="10">
        <v>5555</v>
      </c>
      <c r="B5616" s="1832"/>
      <c r="D5616" s="2" t="str">
        <f t="shared" si="86"/>
        <v>OK</v>
      </c>
    </row>
    <row r="5617" spans="1:5" x14ac:dyDescent="0.2">
      <c r="A5617" s="5">
        <v>5556</v>
      </c>
      <c r="B5617" s="1832">
        <f>'Revenues 9-14'!F153</f>
        <v>123964</v>
      </c>
      <c r="D5617" s="2" t="str">
        <f t="shared" si="86"/>
        <v>Error?</v>
      </c>
    </row>
    <row r="5618" spans="1:5" x14ac:dyDescent="0.2">
      <c r="A5618" s="5">
        <v>5557</v>
      </c>
      <c r="B5618" s="1832">
        <f>'Revenues 9-14'!F155</f>
        <v>190486</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190486</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340486</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600365</v>
      </c>
      <c r="C5720" s="2" t="s">
        <v>568</v>
      </c>
      <c r="D5720" s="2" t="str">
        <f t="shared" si="88"/>
        <v>Error?</v>
      </c>
    </row>
    <row r="5721" spans="1:4" x14ac:dyDescent="0.2">
      <c r="A5721" s="5">
        <v>5660</v>
      </c>
      <c r="B5721" s="1832">
        <f>'Revenues 9-14'!G5</f>
        <v>248676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248676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497352</v>
      </c>
      <c r="C5725" s="2" t="s">
        <v>568</v>
      </c>
      <c r="D5725" s="2" t="str">
        <f t="shared" si="88"/>
        <v>Error?</v>
      </c>
    </row>
    <row r="5726" spans="1:4" x14ac:dyDescent="0.2">
      <c r="A5726" s="5">
        <v>5665</v>
      </c>
      <c r="B5726" s="1832">
        <f>'Revenues 9-14'!G14</f>
        <v>1086</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40383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41469</v>
      </c>
      <c r="C5730" s="2" t="s">
        <v>568</v>
      </c>
      <c r="D5730" s="2" t="str">
        <f t="shared" si="88"/>
        <v>Error?</v>
      </c>
    </row>
    <row r="5731" spans="1:4" x14ac:dyDescent="0.2">
      <c r="A5731" s="5">
        <v>5670</v>
      </c>
      <c r="B5731" s="1832">
        <f>'Revenues 9-14'!G65</f>
        <v>4227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4227</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543048</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815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815</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815</v>
      </c>
      <c r="C5915" s="2" t="s">
        <v>568</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568</v>
      </c>
      <c r="D5923" s="2" t="str">
        <f t="shared" si="91"/>
        <v>Error?</v>
      </c>
    </row>
    <row r="5924" spans="1:4" x14ac:dyDescent="0.2">
      <c r="A5924" s="5">
        <v>5863</v>
      </c>
      <c r="B5924" s="1832">
        <f>'Revenues 9-14'!I65</f>
        <v>2326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2326</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2326</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10201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10201</v>
      </c>
      <c r="C5987" s="2" t="s">
        <v>568</v>
      </c>
      <c r="D5987" s="2" t="str">
        <f t="shared" si="92"/>
        <v>Error?</v>
      </c>
    </row>
    <row r="5988" spans="1:4" x14ac:dyDescent="0.2">
      <c r="A5988" s="5">
        <v>5927</v>
      </c>
      <c r="B5988" s="1832">
        <f>'Revenues 9-14'!K14</f>
        <v>22</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22</v>
      </c>
      <c r="C5992" s="2" t="s">
        <v>568</v>
      </c>
      <c r="D5992" s="2" t="str">
        <f t="shared" si="92"/>
        <v>Error?</v>
      </c>
    </row>
    <row r="5993" spans="1:4" x14ac:dyDescent="0.2">
      <c r="A5993" s="5">
        <v>5932</v>
      </c>
      <c r="B5993" s="1832">
        <f>'Revenues 9-14'!K65</f>
        <v>2595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2595</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40000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52818</v>
      </c>
      <c r="C6023" s="2" t="s">
        <v>568</v>
      </c>
      <c r="D6023" s="2" t="str">
        <f t="shared" si="93"/>
        <v>Error?</v>
      </c>
    </row>
    <row r="6024" spans="1:5" x14ac:dyDescent="0.2">
      <c r="A6024" s="5">
        <v>5963</v>
      </c>
      <c r="B6024" s="1832">
        <f>'Revenues 9-14'!G109</f>
        <v>543048</v>
      </c>
      <c r="C6024" s="2" t="s">
        <v>568</v>
      </c>
      <c r="D6024" s="2" t="str">
        <f t="shared" si="93"/>
        <v>Error?</v>
      </c>
    </row>
    <row r="6025" spans="1:5" x14ac:dyDescent="0.2">
      <c r="A6025" s="5">
        <v>5964</v>
      </c>
      <c r="B6025" s="1832">
        <f>'Revenues 9-14'!H109</f>
        <v>815</v>
      </c>
      <c r="C6025" s="2" t="s">
        <v>568</v>
      </c>
      <c r="D6025" s="2" t="str">
        <f t="shared" si="93"/>
        <v>Error?</v>
      </c>
    </row>
    <row r="6026" spans="1:5" x14ac:dyDescent="0.2">
      <c r="A6026" s="5">
        <v>5965</v>
      </c>
      <c r="B6026" s="1832">
        <f>'Revenues 9-14'!I109</f>
        <v>2326</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52818</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52938</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75985</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1528</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46833</v>
      </c>
      <c r="D6084" s="2" t="str">
        <f t="shared" si="94"/>
        <v>Error?</v>
      </c>
      <c r="E6084" s="2" t="s">
        <v>189</v>
      </c>
    </row>
    <row r="6085" spans="1:5" x14ac:dyDescent="0.2">
      <c r="A6085">
        <v>6024</v>
      </c>
      <c r="B6085" s="1832">
        <f>'Assets-Liab 5-6'!G7</f>
        <v>10248</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18254</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9678</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960465</v>
      </c>
      <c r="D6124" s="2" t="str">
        <f t="shared" si="94"/>
        <v>Error?</v>
      </c>
      <c r="E6124" s="2" t="s">
        <v>189</v>
      </c>
    </row>
    <row r="6125" spans="1:5" x14ac:dyDescent="0.2">
      <c r="A6125">
        <v>6064</v>
      </c>
      <c r="B6125" s="1832">
        <f>'Assets-Liab 5-6'!C25</f>
        <v>75335</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960465</v>
      </c>
      <c r="D6215" s="2" t="str">
        <f t="shared" si="96"/>
        <v>Error?</v>
      </c>
      <c r="E6215" s="2" t="s">
        <v>189</v>
      </c>
    </row>
    <row r="6216" spans="1:5" x14ac:dyDescent="0.2">
      <c r="A6216">
        <v>6155</v>
      </c>
      <c r="B6216" s="1832">
        <f>'Assets-Liab 5-6'!J41</f>
        <v>960465</v>
      </c>
      <c r="D6216" s="2" t="str">
        <f t="shared" si="96"/>
        <v>Error?</v>
      </c>
      <c r="E6216" s="2" t="s">
        <v>189</v>
      </c>
    </row>
    <row r="6217" spans="1:5" x14ac:dyDescent="0.2">
      <c r="A6217">
        <v>6156</v>
      </c>
      <c r="B6217" s="1832">
        <f>'Assets-Liab 5-6'!J4</f>
        <v>942211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494512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494512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494512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294028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294028</v>
      </c>
      <c r="D6229" s="2" t="str">
        <f t="shared" si="96"/>
        <v>Error?</v>
      </c>
      <c r="E6229" s="2" t="s">
        <v>189</v>
      </c>
    </row>
    <row r="6230" spans="1:5" x14ac:dyDescent="0.2">
      <c r="A6230">
        <v>6169</v>
      </c>
      <c r="B6230" s="1832">
        <f>'Acct Summary 7-8'!J20</f>
        <v>200484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200484</v>
      </c>
      <c r="D6263" s="2" t="str">
        <f t="shared" si="96"/>
        <v>Error?</v>
      </c>
      <c r="E6263" s="2" t="s">
        <v>189</v>
      </c>
    </row>
    <row r="6264" spans="1:5" x14ac:dyDescent="0.2">
      <c r="A6264">
        <v>6203</v>
      </c>
      <c r="B6264" s="1832">
        <f>'Acct Summary 7-8'!J79</f>
        <v>759981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960465</v>
      </c>
      <c r="D6266" s="2" t="str">
        <f t="shared" si="96"/>
        <v>Error?</v>
      </c>
      <c r="E6266" s="2" t="s">
        <v>189</v>
      </c>
    </row>
    <row r="6267" spans="1:5" x14ac:dyDescent="0.2">
      <c r="A6267">
        <v>6206</v>
      </c>
      <c r="B6267" s="1832">
        <f>'Acct Summary 7-8'!C82</f>
        <v>2660096</v>
      </c>
      <c r="D6267" s="2" t="str">
        <f t="shared" si="96"/>
        <v>Error?</v>
      </c>
      <c r="E6267" s="2" t="s">
        <v>189</v>
      </c>
    </row>
    <row r="6268" spans="1:5" x14ac:dyDescent="0.2">
      <c r="A6268">
        <v>6207</v>
      </c>
      <c r="B6268" s="1832">
        <f>'Acct Summary 7-8'!D82</f>
        <v>134291</v>
      </c>
      <c r="D6268" s="2" t="str">
        <f t="shared" si="96"/>
        <v>Error?</v>
      </c>
      <c r="E6268" s="2" t="s">
        <v>189</v>
      </c>
    </row>
    <row r="6269" spans="1:5" x14ac:dyDescent="0.2">
      <c r="A6269">
        <v>6208</v>
      </c>
      <c r="B6269" s="1832">
        <f>'Acct Summary 7-8'!E82</f>
        <v>1045384</v>
      </c>
      <c r="D6269" s="2" t="str">
        <f t="shared" si="96"/>
        <v>Error?</v>
      </c>
      <c r="E6269" s="2" t="s">
        <v>189</v>
      </c>
    </row>
    <row r="6270" spans="1:5" x14ac:dyDescent="0.2">
      <c r="A6270">
        <v>6209</v>
      </c>
      <c r="B6270" s="1832">
        <f>'Acct Summary 7-8'!F82</f>
        <v>142123</v>
      </c>
      <c r="D6270" s="2" t="str">
        <f t="shared" si="96"/>
        <v>Error?</v>
      </c>
      <c r="E6270" s="2" t="s">
        <v>189</v>
      </c>
    </row>
    <row r="6271" spans="1:5" x14ac:dyDescent="0.2">
      <c r="A6271">
        <v>6210</v>
      </c>
      <c r="B6271" s="1832">
        <f>'Acct Summary 7-8'!G82</f>
        <v>93305</v>
      </c>
      <c r="D6271" s="2" t="str">
        <f t="shared" ref="D6271:D6334" si="97">IF(ISBLANK(B6271),"OK",IF(A6271-B6271=0,"OK","Error?"))</f>
        <v>Error?</v>
      </c>
      <c r="E6271" s="2" t="s">
        <v>189</v>
      </c>
    </row>
    <row r="6272" spans="1:5" x14ac:dyDescent="0.2">
      <c r="A6272">
        <v>6211</v>
      </c>
      <c r="B6272" s="1832">
        <f>'Acct Summary 7-8'!H82</f>
        <v>-1148564</v>
      </c>
      <c r="D6272" s="2" t="str">
        <f t="shared" si="97"/>
        <v>Error?</v>
      </c>
      <c r="E6272" s="2" t="s">
        <v>189</v>
      </c>
    </row>
    <row r="6273" spans="1:5" x14ac:dyDescent="0.2">
      <c r="A6273">
        <v>6212</v>
      </c>
      <c r="B6273" s="1832">
        <f>'Acct Summary 7-8'!I82</f>
        <v>2326</v>
      </c>
      <c r="D6273" s="2" t="str">
        <f t="shared" si="97"/>
        <v>Error?</v>
      </c>
      <c r="E6273" s="2" t="s">
        <v>189</v>
      </c>
    </row>
    <row r="6274" spans="1:5" x14ac:dyDescent="0.2">
      <c r="A6274">
        <v>6213</v>
      </c>
      <c r="B6274" s="1832">
        <f>'Acct Summary 7-8'!J82</f>
        <v>200484</v>
      </c>
      <c r="D6274" s="2" t="str">
        <f t="shared" si="97"/>
        <v>Error?</v>
      </c>
      <c r="E6274" s="2" t="s">
        <v>189</v>
      </c>
    </row>
    <row r="6275" spans="1:5" x14ac:dyDescent="0.2">
      <c r="A6275">
        <v>6214</v>
      </c>
      <c r="B6275" s="1832">
        <f>'Acct Summary 7-8'!K82</f>
        <v>-149376</v>
      </c>
      <c r="D6275" s="2" t="str">
        <f t="shared" si="97"/>
        <v>Error?</v>
      </c>
      <c r="E6275" s="2" t="s">
        <v>189</v>
      </c>
    </row>
    <row r="6276" spans="1:5" x14ac:dyDescent="0.2">
      <c r="A6276">
        <v>6215</v>
      </c>
      <c r="B6276" s="1832">
        <f>'Acct Summary 7-8'!C83</f>
        <v>0.2685055470133722</v>
      </c>
      <c r="D6276" s="2" t="str">
        <f t="shared" si="97"/>
        <v>Error?</v>
      </c>
      <c r="E6276" s="2" t="s">
        <v>189</v>
      </c>
    </row>
    <row r="6277" spans="1:5" x14ac:dyDescent="0.2">
      <c r="A6277">
        <v>6216</v>
      </c>
      <c r="B6277" s="1832">
        <f>'Acct Summary 7-8'!D83</f>
        <v>8.5520035509432352E-2</v>
      </c>
      <c r="D6277" s="2" t="str">
        <f t="shared" si="97"/>
        <v>Error?</v>
      </c>
      <c r="E6277" s="2" t="s">
        <v>189</v>
      </c>
    </row>
    <row r="6278" spans="1:5" x14ac:dyDescent="0.2">
      <c r="A6278">
        <v>6217</v>
      </c>
      <c r="B6278" s="1832">
        <f>'Acct Summary 7-8'!E83</f>
        <v>0.97703365649273755</v>
      </c>
      <c r="D6278" s="2" t="str">
        <f t="shared" si="97"/>
        <v>Error?</v>
      </c>
      <c r="E6278" s="2" t="s">
        <v>189</v>
      </c>
    </row>
    <row r="6279" spans="1:5" x14ac:dyDescent="0.2">
      <c r="A6279">
        <v>6218</v>
      </c>
      <c r="B6279" s="1832">
        <f>'Acct Summary 7-8'!F83</f>
        <v>0.10059590419383768</v>
      </c>
      <c r="D6279" s="2" t="str">
        <f t="shared" si="97"/>
        <v>Error?</v>
      </c>
      <c r="E6279" s="2" t="s">
        <v>189</v>
      </c>
    </row>
    <row r="6280" spans="1:5" x14ac:dyDescent="0.2">
      <c r="A6280">
        <v>6219</v>
      </c>
      <c r="B6280" s="1832">
        <f>'Acct Summary 7-8'!G83</f>
        <v>9.5292321362004606E-2</v>
      </c>
      <c r="D6280" s="2" t="str">
        <f t="shared" si="97"/>
        <v>Error?</v>
      </c>
      <c r="E6280" s="2" t="s">
        <v>189</v>
      </c>
    </row>
    <row r="6281" spans="1:5" x14ac:dyDescent="0.2">
      <c r="A6281">
        <v>6220</v>
      </c>
      <c r="B6281" s="1832">
        <f>'Acct Summary 7-8'!H83</f>
        <v>-198.19913718723038</v>
      </c>
      <c r="D6281" s="2" t="str">
        <f t="shared" si="97"/>
        <v>Error?</v>
      </c>
      <c r="E6281" s="2" t="s">
        <v>189</v>
      </c>
    </row>
    <row r="6282" spans="1:5" x14ac:dyDescent="0.2">
      <c r="A6282">
        <v>6221</v>
      </c>
      <c r="B6282" s="1832">
        <f>'Acct Summary 7-8'!I83</f>
        <v>2.8564902257929032E-3</v>
      </c>
      <c r="D6282" s="2" t="str">
        <f t="shared" si="97"/>
        <v>Error?</v>
      </c>
      <c r="E6282" s="2" t="s">
        <v>189</v>
      </c>
    </row>
    <row r="6283" spans="1:5" x14ac:dyDescent="0.2">
      <c r="A6283">
        <v>6222</v>
      </c>
      <c r="B6283" s="1832">
        <f>'Acct Summary 7-8'!J83</f>
        <v>0.2087363933094907</v>
      </c>
      <c r="D6283" s="2" t="str">
        <f t="shared" si="97"/>
        <v>Error?</v>
      </c>
      <c r="E6283" s="2" t="s">
        <v>189</v>
      </c>
    </row>
    <row r="6284" spans="1:5" x14ac:dyDescent="0.2">
      <c r="A6284">
        <v>6223</v>
      </c>
      <c r="B6284" s="1832">
        <f>'Acct Summary 7-8'!K83</f>
        <v>-0.18398052990964539</v>
      </c>
      <c r="D6284" s="2" t="str">
        <f t="shared" si="97"/>
        <v>Error?</v>
      </c>
      <c r="E6284" s="2" t="s">
        <v>189</v>
      </c>
    </row>
    <row r="6285" spans="1:5" x14ac:dyDescent="0.2">
      <c r="A6285">
        <v>6224</v>
      </c>
      <c r="B6285" s="1832">
        <f>'Acct Summary 7-8'!E37</f>
        <v>1149379</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489736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489736</v>
      </c>
      <c r="D6301" s="2" t="str">
        <f t="shared" si="97"/>
        <v>Error?</v>
      </c>
      <c r="E6301" s="2" t="s">
        <v>189</v>
      </c>
    </row>
    <row r="6302" spans="1:5" x14ac:dyDescent="0.2">
      <c r="A6302">
        <v>6241</v>
      </c>
      <c r="B6302" s="1832">
        <f>'Revenues 9-14'!J14</f>
        <v>1069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1069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3707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3707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40000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5040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494512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2470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15949</v>
      </c>
      <c r="D7009" s="2" t="str">
        <f t="shared" si="108"/>
        <v>Error?</v>
      </c>
    </row>
    <row r="7010" spans="1:4" x14ac:dyDescent="0.2">
      <c r="A7010">
        <v>6949</v>
      </c>
      <c r="B7010" s="1832">
        <f>'Expenditures 15-22'!K99</f>
        <v>15949</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15949</v>
      </c>
      <c r="D7012" s="2" t="str">
        <f t="shared" si="108"/>
        <v>Error?</v>
      </c>
    </row>
    <row r="7013" spans="1:4" x14ac:dyDescent="0.2">
      <c r="A7013">
        <v>6952</v>
      </c>
      <c r="B7013" s="1832">
        <f>'Expenditures 15-22'!K100</f>
        <v>15949</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844</v>
      </c>
      <c r="D7016" s="2" t="str">
        <f t="shared" si="108"/>
        <v>Error?</v>
      </c>
    </row>
    <row r="7017" spans="1:4" x14ac:dyDescent="0.2">
      <c r="A7017">
        <v>6956</v>
      </c>
      <c r="B7017" s="1832">
        <f>'Expenditures 15-22'!K111</f>
        <v>844</v>
      </c>
      <c r="D7017" s="2" t="str">
        <f t="shared" si="108"/>
        <v>Error?</v>
      </c>
    </row>
    <row r="7018" spans="1:4" x14ac:dyDescent="0.2">
      <c r="A7018">
        <v>6957</v>
      </c>
      <c r="B7018" s="1832">
        <f>'Expenditures 15-22'!H112</f>
        <v>844</v>
      </c>
      <c r="D7018" s="2" t="str">
        <f t="shared" si="108"/>
        <v>Error?</v>
      </c>
    </row>
    <row r="7019" spans="1:4" x14ac:dyDescent="0.2">
      <c r="A7019">
        <v>6958</v>
      </c>
      <c r="B7019" s="1832">
        <f>'Expenditures 15-22'!K112</f>
        <v>844</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294028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494512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4934</v>
      </c>
      <c r="D7067" s="2" t="str">
        <f t="shared" si="109"/>
        <v>Error?</v>
      </c>
    </row>
    <row r="7068" spans="1:4" x14ac:dyDescent="0.2">
      <c r="A7068">
        <v>7007</v>
      </c>
      <c r="B7068" s="1832">
        <f>'Expenditures 15-22'!K205</f>
        <v>4934</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87200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87200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157518</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20503</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5100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183121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23707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23707</v>
      </c>
      <c r="D7198" s="2" t="str">
        <f t="shared" si="111"/>
        <v>Error?</v>
      </c>
    </row>
    <row r="7199" spans="1:4" x14ac:dyDescent="0.2">
      <c r="A7199">
        <v>7138</v>
      </c>
      <c r="B7199" s="1832">
        <f>'Expenditures 15-22'!C330</f>
        <v>157518</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131410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5100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294028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157518</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131410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5100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294028</v>
      </c>
      <c r="D7224" s="2" t="str">
        <f t="shared" si="111"/>
        <v>Error?</v>
      </c>
    </row>
    <row r="7225" spans="1:4" x14ac:dyDescent="0.2">
      <c r="A7225">
        <v>7164</v>
      </c>
      <c r="B7225" s="1832">
        <f>'Expenditures 15-22'!K343</f>
        <v>200484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879910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1149379</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1173952</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5040</v>
      </c>
      <c r="D7712" s="2" t="str">
        <f t="shared" si="126"/>
        <v>Error?</v>
      </c>
      <c r="E7712" s="2" t="s">
        <v>821</v>
      </c>
    </row>
    <row r="7713" spans="1:6" x14ac:dyDescent="0.2">
      <c r="A7713">
        <v>7652</v>
      </c>
      <c r="B7713" s="1832">
        <f>'Rest Tax Levies-Tort Im 25'!J8</f>
        <v>490985</v>
      </c>
      <c r="D7713" s="2" t="str">
        <f t="shared" si="126"/>
        <v>Error?</v>
      </c>
      <c r="E7713" s="2" t="s">
        <v>821</v>
      </c>
    </row>
    <row r="7714" spans="1:6" x14ac:dyDescent="0.2">
      <c r="A7714">
        <v>7653</v>
      </c>
      <c r="B7714" s="1832">
        <f>'Rest Tax Levies-Tort Im 25'!K9</f>
        <v>14672</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490985</v>
      </c>
      <c r="D7718" s="2" t="str">
        <f t="shared" si="126"/>
        <v>Error?</v>
      </c>
      <c r="E7718" s="2" t="s">
        <v>821</v>
      </c>
    </row>
    <row r="7719" spans="1:6" x14ac:dyDescent="0.2">
      <c r="A7719">
        <v>7658</v>
      </c>
      <c r="B7719" s="1832">
        <f>'Rest Tax Levies-Tort Im 25'!K12</f>
        <v>19712</v>
      </c>
      <c r="D7719" s="2" t="str">
        <f t="shared" si="126"/>
        <v>Error?</v>
      </c>
      <c r="E7719" s="2" t="s">
        <v>821</v>
      </c>
    </row>
    <row r="7720" spans="1:6" x14ac:dyDescent="0.2">
      <c r="A7720">
        <v>7659</v>
      </c>
      <c r="B7720" s="1832">
        <f>'Rest Tax Levies-Tort Im 25'!H14</f>
        <v>24175</v>
      </c>
      <c r="D7720" s="2" t="str">
        <f t="shared" si="126"/>
        <v>Error?</v>
      </c>
      <c r="E7720" s="2" t="s">
        <v>821</v>
      </c>
    </row>
    <row r="7721" spans="1:6" x14ac:dyDescent="0.2">
      <c r="A7721">
        <v>7660</v>
      </c>
      <c r="B7721" s="1832">
        <f>'Rest Tax Levies-Tort Im 25'!K14</f>
        <v>19712</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594980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594980</v>
      </c>
      <c r="D7727" s="2" t="str">
        <f t="shared" si="126"/>
        <v>Error?</v>
      </c>
      <c r="E7727" s="2" t="s">
        <v>821</v>
      </c>
    </row>
    <row r="7728" spans="1:6" x14ac:dyDescent="0.2">
      <c r="A7728">
        <v>7667</v>
      </c>
      <c r="B7728" s="1832">
        <f>'Revenues 9-14'!E103</f>
        <v>490985</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594980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1069957</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1069957</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1993</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19712</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6528586</v>
      </c>
      <c r="D7817" s="2" t="str">
        <f t="shared" si="128"/>
        <v>Error?</v>
      </c>
      <c r="E7817" s="4" t="s">
        <v>1962</v>
      </c>
    </row>
    <row r="7818" spans="1:5" x14ac:dyDescent="0.2">
      <c r="A7818">
        <v>7757</v>
      </c>
      <c r="B7818" s="1832">
        <f>'PCTC-OEPP 27-28'!F172</f>
        <v>587741</v>
      </c>
      <c r="D7818" s="2" t="str">
        <f t="shared" si="128"/>
        <v>Error?</v>
      </c>
      <c r="E7818" s="4" t="s">
        <v>1976</v>
      </c>
    </row>
    <row r="7819" spans="1:5" x14ac:dyDescent="0.2">
      <c r="A7819">
        <v>7758</v>
      </c>
      <c r="B7819" s="1832">
        <f>'PCTC-OEPP 27-28'!F173</f>
        <v>556198</v>
      </c>
      <c r="D7819" s="2" t="str">
        <f t="shared" si="128"/>
        <v>Error?</v>
      </c>
      <c r="E7819" s="4" t="s">
        <v>1976</v>
      </c>
    </row>
    <row r="7820" spans="1:5" x14ac:dyDescent="0.2">
      <c r="A7820">
        <v>7759</v>
      </c>
      <c r="B7820" s="1832">
        <f>'ICR Computation 30'!E40</f>
        <v>-191117</v>
      </c>
      <c r="D7820" s="2" t="str">
        <f t="shared" si="128"/>
        <v>Error?</v>
      </c>
    </row>
    <row r="7821" spans="1:5" x14ac:dyDescent="0.2">
      <c r="A7821">
        <v>7760</v>
      </c>
      <c r="B7821" s="1832">
        <f>'ICR Computation 30'!G40</f>
        <v>-191117</v>
      </c>
      <c r="D7821" s="2" t="str">
        <f t="shared" si="128"/>
        <v>Error?</v>
      </c>
    </row>
    <row r="7822" spans="1:5" x14ac:dyDescent="0.2">
      <c r="A7822" s="1">
        <v>7761</v>
      </c>
      <c r="B7822" s="1832">
        <f>'PCTC-OEPP 27-28'!F14</f>
        <v>14829460</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0</v>
      </c>
      <c r="D7826" s="2" t="str">
        <f t="shared" si="129"/>
        <v>Error?</v>
      </c>
      <c r="E7826" s="4" t="s">
        <v>1994</v>
      </c>
    </row>
    <row r="7827" spans="1:5" x14ac:dyDescent="0.2">
      <c r="A7827">
        <v>7766</v>
      </c>
      <c r="B7827" s="1832">
        <f>'PCTC-OEPP 27-28'!F35</f>
        <v>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0</v>
      </c>
      <c r="D7830" s="2" t="str">
        <f t="shared" si="129"/>
        <v>Error?</v>
      </c>
      <c r="E7830" s="4" t="s">
        <v>1994</v>
      </c>
    </row>
    <row r="7831" spans="1:5" x14ac:dyDescent="0.2">
      <c r="A7831">
        <v>7770</v>
      </c>
      <c r="B7831" s="1832">
        <f>'PCTC-OEPP 27-28'!F52</f>
        <v>307657</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2308092</v>
      </c>
      <c r="D7834" s="2" t="str">
        <f t="shared" si="129"/>
        <v>Error?</v>
      </c>
      <c r="E7834" s="4" t="s">
        <v>1994</v>
      </c>
    </row>
    <row r="7835" spans="1:5" x14ac:dyDescent="0.2">
      <c r="A7835">
        <v>7774</v>
      </c>
      <c r="B7835" s="1832">
        <f>'PCTC-OEPP 27-28'!F78</f>
        <v>12521368</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8194.6125654450261</v>
      </c>
      <c r="D7837" s="2" t="str">
        <f t="shared" si="129"/>
        <v>Error?</v>
      </c>
      <c r="E7837" s="4" t="s">
        <v>1994</v>
      </c>
    </row>
    <row r="7838" spans="1:5" x14ac:dyDescent="0.2">
      <c r="A7838">
        <v>7777</v>
      </c>
      <c r="B7838" s="1832">
        <f>'PCTC-OEPP 27-28'!F96</f>
        <v>25850</v>
      </c>
      <c r="D7838" s="2" t="str">
        <f t="shared" si="129"/>
        <v>Error?</v>
      </c>
      <c r="E7838" s="4" t="s">
        <v>1994</v>
      </c>
    </row>
    <row r="7839" spans="1:5" x14ac:dyDescent="0.2">
      <c r="A7839">
        <v>7778</v>
      </c>
      <c r="B7839" s="1832">
        <f>'PCTC-OEPP 27-28'!F102</f>
        <v>7405</v>
      </c>
      <c r="D7839" s="2" t="str">
        <f t="shared" si="129"/>
        <v>Error?</v>
      </c>
      <c r="E7839" s="4" t="s">
        <v>1994</v>
      </c>
    </row>
    <row r="7840" spans="1:5" x14ac:dyDescent="0.2">
      <c r="A7840">
        <v>7779</v>
      </c>
      <c r="B7840" s="1832">
        <f>'PCTC-OEPP 27-28'!F103</f>
        <v>0</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218909</v>
      </c>
      <c r="D7842" s="2" t="str">
        <f t="shared" si="129"/>
        <v>Error?</v>
      </c>
      <c r="E7842" s="4" t="s">
        <v>1994</v>
      </c>
    </row>
    <row r="7843" spans="1:5" x14ac:dyDescent="0.2">
      <c r="A7843">
        <v>7782</v>
      </c>
      <c r="B7843" s="1832">
        <f>'PCTC-OEPP 27-28'!F107</f>
        <v>2470</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14672</v>
      </c>
      <c r="D7846" s="2" t="str">
        <f t="shared" si="129"/>
        <v>Error?</v>
      </c>
      <c r="E7846" s="4" t="s">
        <v>1994</v>
      </c>
    </row>
    <row r="7847" spans="1:5" x14ac:dyDescent="0.2">
      <c r="A7847">
        <v>7786</v>
      </c>
      <c r="B7847" s="1832">
        <f>'PCTC-OEPP 27-28'!F112</f>
        <v>190486</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55366</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29525</v>
      </c>
      <c r="D7857" s="2" t="str">
        <f t="shared" si="129"/>
        <v>Error?</v>
      </c>
      <c r="E7857" s="4" t="s">
        <v>1994</v>
      </c>
    </row>
    <row r="7858" spans="1:5" x14ac:dyDescent="0.2">
      <c r="A7858">
        <v>7797</v>
      </c>
      <c r="B7858" s="1832">
        <f>'PCTC-OEPP 27-28'!F126</f>
        <v>845570</v>
      </c>
      <c r="D7858" s="2" t="str">
        <f t="shared" si="129"/>
        <v>Error?</v>
      </c>
      <c r="E7858" s="4" t="s">
        <v>1994</v>
      </c>
    </row>
    <row r="7859" spans="1:5" x14ac:dyDescent="0.2">
      <c r="A7859">
        <v>7798</v>
      </c>
      <c r="B7859" s="1832">
        <f>'PCTC-OEPP 27-28'!F127</f>
        <v>784684</v>
      </c>
      <c r="D7859" s="2" t="str">
        <f t="shared" si="129"/>
        <v>Error?</v>
      </c>
      <c r="E7859" s="4" t="s">
        <v>1994</v>
      </c>
    </row>
    <row r="7860" spans="1:5" x14ac:dyDescent="0.2">
      <c r="A7860">
        <v>7799</v>
      </c>
      <c r="B7860" s="1832">
        <f>'PCTC-OEPP 27-28'!F128</f>
        <v>11447</v>
      </c>
      <c r="D7860" s="2" t="str">
        <f t="shared" si="129"/>
        <v>Error?</v>
      </c>
      <c r="E7860" s="4" t="s">
        <v>1994</v>
      </c>
    </row>
    <row r="7861" spans="1:5" x14ac:dyDescent="0.2">
      <c r="A7861">
        <v>7800</v>
      </c>
      <c r="B7861" s="1832">
        <f>'PCTC-OEPP 27-28'!F129</f>
        <v>0</v>
      </c>
      <c r="D7861" s="2" t="str">
        <f t="shared" si="129"/>
        <v>Error?</v>
      </c>
      <c r="E7861" s="4" t="s">
        <v>1994</v>
      </c>
    </row>
    <row r="7862" spans="1:5" x14ac:dyDescent="0.2">
      <c r="A7862">
        <v>7801</v>
      </c>
      <c r="B7862" s="1832">
        <f>'PCTC-OEPP 27-28'!F130</f>
        <v>0</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0</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8916</v>
      </c>
      <c r="D7868" s="2" t="str">
        <f t="shared" si="129"/>
        <v>Error?</v>
      </c>
      <c r="E7868" s="4" t="s">
        <v>1994</v>
      </c>
    </row>
    <row r="7869" spans="1:5" x14ac:dyDescent="0.2">
      <c r="A7869">
        <v>7808</v>
      </c>
      <c r="B7869" s="1832">
        <f>'PCTC-OEPP 27-28'!F162</f>
        <v>76849</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28794</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0</v>
      </c>
      <c r="D7874" s="2" t="str">
        <f t="shared" si="129"/>
        <v>Error?</v>
      </c>
      <c r="E7874" s="4" t="s">
        <v>1994</v>
      </c>
    </row>
    <row r="7875" spans="1:5" x14ac:dyDescent="0.2">
      <c r="A7875">
        <v>7814</v>
      </c>
      <c r="B7875" s="1832">
        <f>'PCTC-OEPP 27-28'!F170</f>
        <v>129271</v>
      </c>
      <c r="D7875" s="2" t="str">
        <f t="shared" si="129"/>
        <v>Error?</v>
      </c>
      <c r="E7875" s="4" t="s">
        <v>1994</v>
      </c>
    </row>
    <row r="7876" spans="1:5" x14ac:dyDescent="0.2">
      <c r="A7876">
        <v>7815</v>
      </c>
      <c r="B7876" s="1832">
        <f>'PCTC-OEPP 27-28'!F171</f>
        <v>0</v>
      </c>
      <c r="D7876" s="2" t="str">
        <f t="shared" si="129"/>
        <v>Error?</v>
      </c>
      <c r="E7876" s="4" t="s">
        <v>1994</v>
      </c>
    </row>
    <row r="7877" spans="1:5" x14ac:dyDescent="0.2">
      <c r="A7877">
        <v>7816</v>
      </c>
      <c r="B7877" s="1832">
        <f>'PCTC-OEPP 27-28'!F175</f>
        <v>3685880</v>
      </c>
      <c r="D7877" s="2" t="str">
        <f t="shared" si="129"/>
        <v>Error?</v>
      </c>
      <c r="E7877" s="4" t="s">
        <v>1994</v>
      </c>
    </row>
    <row r="7878" spans="1:5" x14ac:dyDescent="0.2">
      <c r="A7878">
        <v>7817</v>
      </c>
      <c r="B7878" s="1832">
        <f>'PCTC-OEPP 27-28'!F176</f>
        <v>8835488</v>
      </c>
      <c r="D7878" s="2" t="str">
        <f t="shared" si="129"/>
        <v>Error?</v>
      </c>
      <c r="E7878" s="4" t="s">
        <v>1994</v>
      </c>
    </row>
    <row r="7879" spans="1:5" x14ac:dyDescent="0.2">
      <c r="A7879">
        <v>7818</v>
      </c>
      <c r="B7879" s="1832">
        <f>'PCTC-OEPP 27-28'!F178</f>
        <v>9715398</v>
      </c>
      <c r="D7879" s="2" t="str">
        <f t="shared" si="129"/>
        <v>Error?</v>
      </c>
      <c r="E7879" s="4" t="s">
        <v>1994</v>
      </c>
    </row>
    <row r="7880" spans="1:5" x14ac:dyDescent="0.2">
      <c r="A7880">
        <v>7819</v>
      </c>
      <c r="B7880" s="1832">
        <f>'PCTC-OEPP 27-28'!F180</f>
        <v>6358.2447643979058</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5100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2" sqref="A2:L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1180</v>
      </c>
      <c r="B2" s="2537"/>
      <c r="C2" s="2537"/>
      <c r="D2" s="2537"/>
      <c r="E2" s="2537"/>
      <c r="F2" s="2537"/>
      <c r="G2" s="2537"/>
      <c r="H2" s="2537"/>
      <c r="I2" s="2537"/>
      <c r="J2" s="2537"/>
      <c r="K2" s="2537"/>
      <c r="L2" s="2537"/>
    </row>
    <row r="3" spans="1:29" ht="13.5" customHeight="1" x14ac:dyDescent="0.2">
      <c r="A3" s="2523" t="s">
        <v>1179</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17" t="str">
        <f>COVER!A17</f>
        <v>Beardstown CUSD 15</v>
      </c>
      <c r="B7" s="2518"/>
      <c r="C7" s="2518"/>
      <c r="D7" s="2556"/>
      <c r="E7" s="2557">
        <f>COVER!A13</f>
        <v>1009015026</v>
      </c>
      <c r="F7" s="2558"/>
      <c r="G7" s="2524" t="str">
        <f>COVER!T23</f>
        <v>066-005315</v>
      </c>
      <c r="H7" s="2525"/>
      <c r="I7" s="2525"/>
      <c r="J7" s="2525"/>
      <c r="K7" s="2525"/>
      <c r="L7" s="2526"/>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27"/>
      <c r="B9" s="2528"/>
      <c r="C9" s="2528"/>
      <c r="D9" s="2528"/>
      <c r="E9" s="2528"/>
      <c r="F9" s="2529"/>
      <c r="G9" s="2530" t="str">
        <f>COVER!T13</f>
        <v>Pehlman and Dold, P.C.</v>
      </c>
      <c r="H9" s="2531"/>
      <c r="I9" s="2531"/>
      <c r="J9" s="2531"/>
      <c r="K9" s="2531"/>
      <c r="L9" s="2532"/>
    </row>
    <row r="10" spans="1:29" ht="13.5" customHeight="1" x14ac:dyDescent="0.2">
      <c r="A10" s="2514" t="str">
        <f>COVER!A38</f>
        <v>Ron Gilbert, Superintendent</v>
      </c>
      <c r="B10" s="2515"/>
      <c r="C10" s="2515"/>
      <c r="D10" s="2515"/>
      <c r="E10" s="2515"/>
      <c r="F10" s="2516"/>
      <c r="G10" s="2530" t="str">
        <f>COVER!T17</f>
        <v>100 North Amos Avenue</v>
      </c>
      <c r="H10" s="2543"/>
      <c r="I10" s="2543"/>
      <c r="J10" s="2543"/>
      <c r="K10" s="2543"/>
      <c r="L10" s="2544"/>
    </row>
    <row r="11" spans="1:29" ht="13.5" customHeight="1" x14ac:dyDescent="0.2">
      <c r="A11" s="963" t="s">
        <v>1501</v>
      </c>
      <c r="B11" s="964"/>
      <c r="C11" s="965"/>
      <c r="D11" s="970"/>
      <c r="E11" s="965"/>
      <c r="F11" s="969"/>
      <c r="G11" s="2530" t="str">
        <f>COVER!T19</f>
        <v>Springfield</v>
      </c>
      <c r="H11" s="2543"/>
      <c r="I11" s="2543"/>
      <c r="J11" s="2543"/>
      <c r="K11" s="2543"/>
      <c r="L11" s="2544"/>
    </row>
    <row r="12" spans="1:29" ht="13.5" customHeight="1" x14ac:dyDescent="0.2">
      <c r="A12" s="2548" t="s">
        <v>1500</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1502</v>
      </c>
      <c r="H13" s="2539"/>
      <c r="I13" s="2551" t="str">
        <f>COVER!T25</f>
        <v>dfitzgerald@p-dcpas.com</v>
      </c>
      <c r="J13" s="2552"/>
      <c r="K13" s="2552"/>
      <c r="L13" s="2553"/>
    </row>
    <row r="14" spans="1:29" ht="13.5" customHeight="1" x14ac:dyDescent="0.2">
      <c r="A14" s="2530" t="str">
        <f>COVER!A19</f>
        <v>500 East 15th Street</v>
      </c>
      <c r="B14" s="2543"/>
      <c r="C14" s="2543"/>
      <c r="D14" s="2543"/>
      <c r="E14" s="2543"/>
      <c r="F14" s="2544"/>
      <c r="G14" s="974" t="s">
        <v>1174</v>
      </c>
      <c r="H14" s="972"/>
      <c r="I14" s="972"/>
      <c r="J14" s="972"/>
      <c r="K14" s="972"/>
      <c r="L14" s="973"/>
    </row>
    <row r="15" spans="1:29" ht="13.5" customHeight="1" x14ac:dyDescent="0.2">
      <c r="A15" s="2530" t="str">
        <f>COVER!A21</f>
        <v>Beardstown, IL</v>
      </c>
      <c r="B15" s="2543"/>
      <c r="C15" s="2543"/>
      <c r="D15" s="2543"/>
      <c r="E15" s="2543"/>
      <c r="F15" s="2544"/>
      <c r="G15" s="2540" t="str">
        <f>COVER!T15</f>
        <v>Dorinda L Fitzgerald</v>
      </c>
      <c r="H15" s="2541"/>
      <c r="I15" s="2541"/>
      <c r="J15" s="2541"/>
      <c r="K15" s="2541"/>
      <c r="L15" s="2542"/>
    </row>
    <row r="16" spans="1:29" ht="12.2" customHeight="1" x14ac:dyDescent="0.2">
      <c r="A16" s="2520">
        <f>COVER!A25</f>
        <v>62618</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1173</v>
      </c>
      <c r="H17" s="972"/>
      <c r="I17" s="972"/>
      <c r="J17" s="972"/>
      <c r="K17" s="976" t="s">
        <v>1172</v>
      </c>
      <c r="L17" s="969"/>
      <c r="M17" s="962"/>
    </row>
    <row r="18" spans="1:13" ht="12.2" customHeight="1" x14ac:dyDescent="0.2">
      <c r="A18" s="2514"/>
      <c r="B18" s="2515"/>
      <c r="C18" s="2515"/>
      <c r="D18" s="2515"/>
      <c r="E18" s="2515"/>
      <c r="F18" s="2516"/>
      <c r="G18" s="2517" t="str">
        <f>COVER!T21</f>
        <v>(217) 787-0563</v>
      </c>
      <c r="H18" s="2518"/>
      <c r="I18" s="2518"/>
      <c r="J18" s="2518"/>
      <c r="K18" s="2517" t="str">
        <f>COVER!X21</f>
        <v>(217) 787-9266</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Beardstown CUSD 15</v>
      </c>
      <c r="B1" s="2560"/>
      <c r="C1" s="2560"/>
      <c r="D1" s="2560"/>
    </row>
    <row r="2" spans="1:11" s="991" customFormat="1" ht="12.75" x14ac:dyDescent="0.2">
      <c r="A2" s="2561">
        <f>'Single Audit Cover'!E7</f>
        <v>1009015026</v>
      </c>
      <c r="B2" s="2562"/>
      <c r="C2" s="2562"/>
      <c r="D2" s="2562"/>
    </row>
    <row r="3" spans="1:11" s="991" customFormat="1" ht="12.75" x14ac:dyDescent="0.2">
      <c r="A3" s="2559" t="s">
        <v>1495</v>
      </c>
      <c r="B3" s="2560"/>
      <c r="C3" s="2560"/>
      <c r="D3" s="2560"/>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Beardstown CUSD 15</v>
      </c>
      <c r="B1" s="2564"/>
      <c r="C1" s="2564"/>
      <c r="D1" s="2564"/>
      <c r="E1" s="2564"/>
    </row>
    <row r="2" spans="1:5" x14ac:dyDescent="0.2">
      <c r="A2" s="2565">
        <f>'Single Audit Cover'!E7</f>
        <v>1009015026</v>
      </c>
      <c r="B2" s="2565"/>
      <c r="C2" s="2565"/>
      <c r="D2" s="2565"/>
      <c r="E2" s="2565"/>
    </row>
    <row r="3" spans="1:5" ht="4.5" customHeight="1" x14ac:dyDescent="0.2"/>
    <row r="4" spans="1:5" x14ac:dyDescent="0.2">
      <c r="A4" s="2564" t="s">
        <v>1233</v>
      </c>
      <c r="B4" s="2564"/>
      <c r="C4" s="2564"/>
      <c r="D4" s="2564"/>
      <c r="E4" s="2564"/>
    </row>
    <row r="5" spans="1:5" x14ac:dyDescent="0.2">
      <c r="A5" s="2567" t="str">
        <f>'Single Audit Cover'!A4</f>
        <v>Year Ending June 30, 2020</v>
      </c>
      <c r="B5" s="2567"/>
      <c r="C5" s="2567"/>
      <c r="D5" s="2567"/>
      <c r="E5" s="2567"/>
    </row>
    <row r="6" spans="1:5" x14ac:dyDescent="0.2">
      <c r="A6" s="2564" t="s">
        <v>1232</v>
      </c>
      <c r="B6" s="2564"/>
      <c r="C6" s="2564"/>
      <c r="D6" s="2564"/>
      <c r="E6" s="2564"/>
    </row>
    <row r="8" spans="1:5" x14ac:dyDescent="0.2">
      <c r="A8" s="1036" t="s">
        <v>1231</v>
      </c>
    </row>
    <row r="10" spans="1:5" x14ac:dyDescent="0.2">
      <c r="A10" s="1037" t="s">
        <v>1230</v>
      </c>
      <c r="B10" s="1038" t="s">
        <v>1229</v>
      </c>
      <c r="C10" s="1038"/>
      <c r="D10" s="1039">
        <f>SUM('Acct Summary 7-8'!C7:K7)</f>
        <v>1915056</v>
      </c>
    </row>
    <row r="11" spans="1:5" ht="18" customHeight="1" x14ac:dyDescent="0.2">
      <c r="A11" s="1037" t="s">
        <v>1228</v>
      </c>
      <c r="B11" s="1038"/>
      <c r="C11" s="1038"/>
    </row>
    <row r="12" spans="1:5" x14ac:dyDescent="0.2">
      <c r="A12" s="1037" t="s">
        <v>1227</v>
      </c>
      <c r="B12" s="1038" t="s">
        <v>1226</v>
      </c>
      <c r="C12" s="1038"/>
      <c r="D12" s="1040">
        <f>SUM('Revenues 9-14'!C112:D112,'Revenues 9-14'!F112:G112)</f>
        <v>7296</v>
      </c>
    </row>
    <row r="13" spans="1:5" x14ac:dyDescent="0.2">
      <c r="A13" s="1037" t="s">
        <v>1225</v>
      </c>
      <c r="B13" s="1038"/>
      <c r="C13" s="1038"/>
    </row>
    <row r="14" spans="1:5" x14ac:dyDescent="0.2">
      <c r="A14" s="1037" t="s">
        <v>2000</v>
      </c>
      <c r="B14" s="1038"/>
      <c r="C14" s="1038"/>
      <c r="D14" s="1040">
        <f>'ICR Computation 30'!E11</f>
        <v>75985</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-129271</v>
      </c>
    </row>
    <row r="19" spans="1:4" ht="13.5" thickBot="1" x14ac:dyDescent="0.25">
      <c r="A19" s="1041" t="s">
        <v>1223</v>
      </c>
      <c r="D19" s="1042">
        <f>SUM(D10:D17)</f>
        <v>1869066</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1221</v>
      </c>
      <c r="D32" s="1039">
        <f>SUM(D19:D30)</f>
        <v>1869066</v>
      </c>
    </row>
    <row r="33" spans="1:4" x14ac:dyDescent="0.2">
      <c r="D33" s="1045"/>
    </row>
    <row r="34" spans="1:4" x14ac:dyDescent="0.2">
      <c r="A34" s="295" t="s">
        <v>1220</v>
      </c>
    </row>
    <row r="35" spans="1:4" x14ac:dyDescent="0.2">
      <c r="A35" s="295" t="s">
        <v>1219</v>
      </c>
      <c r="B35" s="1034" t="s">
        <v>1218</v>
      </c>
      <c r="D35" s="1046">
        <v>1869066</v>
      </c>
    </row>
    <row r="37" spans="1:4" x14ac:dyDescent="0.2">
      <c r="A37" s="1036" t="s">
        <v>1217</v>
      </c>
    </row>
    <row r="39" spans="1:4" ht="13.35" customHeight="1" x14ac:dyDescent="0.2">
      <c r="A39" s="1043" t="s">
        <v>1216</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1215</v>
      </c>
      <c r="C47" s="1048"/>
      <c r="D47" s="1049">
        <f>SUM(D35:D45)</f>
        <v>1869066</v>
      </c>
    </row>
    <row r="49" spans="2:4" x14ac:dyDescent="0.2">
      <c r="B49" s="1048" t="s">
        <v>1214</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2" sqref="B2:M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Beardstown CUSD 15</v>
      </c>
      <c r="C1" s="2568"/>
      <c r="D1" s="2568"/>
      <c r="E1" s="2568"/>
      <c r="F1" s="2568"/>
      <c r="G1" s="2568"/>
      <c r="H1" s="2568"/>
      <c r="I1" s="2568"/>
      <c r="J1" s="2568"/>
      <c r="K1" s="2568"/>
      <c r="L1" s="2568"/>
      <c r="M1" s="2568"/>
    </row>
    <row r="2" spans="2:14" ht="15" x14ac:dyDescent="0.2">
      <c r="B2" s="2569">
        <f>'Single Audit Cover'!E7</f>
        <v>1009015026</v>
      </c>
      <c r="C2" s="2569"/>
      <c r="D2" s="2569"/>
      <c r="E2" s="2569"/>
      <c r="F2" s="2569"/>
      <c r="G2" s="2569"/>
      <c r="H2" s="2569"/>
      <c r="I2" s="2569"/>
      <c r="J2" s="2569"/>
      <c r="K2" s="2569"/>
      <c r="L2" s="2569"/>
      <c r="M2" s="2569"/>
      <c r="N2" s="1078"/>
    </row>
    <row r="3" spans="2:14" ht="15" x14ac:dyDescent="0.2">
      <c r="B3" s="2570" t="s">
        <v>1207</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5"/>
      <c r="J5" s="1915"/>
    </row>
    <row r="6" spans="2:14" x14ac:dyDescent="0.2">
      <c r="B6" s="1079"/>
      <c r="C6" s="1080"/>
      <c r="D6" s="1081" t="s">
        <v>1253</v>
      </c>
      <c r="E6" s="1082" t="s">
        <v>523</v>
      </c>
      <c r="F6" s="1083"/>
      <c r="G6" s="1084" t="s">
        <v>1707</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2101</v>
      </c>
      <c r="C11" s="1821"/>
      <c r="D11" s="1822"/>
      <c r="E11" s="1823"/>
      <c r="F11" s="1823"/>
      <c r="G11" s="1823"/>
      <c r="H11" s="1823"/>
      <c r="I11" s="1823"/>
      <c r="J11" s="1823"/>
      <c r="K11" s="1823"/>
      <c r="L11" s="1823"/>
      <c r="M11" s="1823"/>
    </row>
    <row r="12" spans="2:14" ht="20.100000000000001" customHeight="1" x14ac:dyDescent="0.2">
      <c r="B12" s="1113" t="s">
        <v>2102</v>
      </c>
      <c r="C12" s="1824"/>
      <c r="D12" s="1825"/>
      <c r="E12" s="1826"/>
      <c r="F12" s="1826"/>
      <c r="G12" s="1826"/>
      <c r="H12" s="1826"/>
      <c r="I12" s="1826"/>
      <c r="J12" s="1826"/>
      <c r="K12" s="1826"/>
      <c r="L12" s="1823"/>
      <c r="M12" s="1826"/>
    </row>
    <row r="13" spans="2:14" ht="20.100000000000001" customHeight="1" x14ac:dyDescent="0.2">
      <c r="B13" s="1113" t="s">
        <v>2104</v>
      </c>
      <c r="C13" s="1824">
        <v>10.555</v>
      </c>
      <c r="D13" s="1825" t="s">
        <v>2106</v>
      </c>
      <c r="E13" s="1826">
        <v>472977</v>
      </c>
      <c r="F13" s="1826">
        <v>110563</v>
      </c>
      <c r="G13" s="1826">
        <v>532100</v>
      </c>
      <c r="H13" s="1826"/>
      <c r="I13" s="1826">
        <v>51440</v>
      </c>
      <c r="J13" s="1826"/>
      <c r="K13" s="1826"/>
      <c r="L13" s="1823">
        <f t="shared" ref="L13:L26" si="0">+G13+I13+K13</f>
        <v>583540</v>
      </c>
      <c r="M13" s="1826" t="s">
        <v>2115</v>
      </c>
    </row>
    <row r="14" spans="2:14" ht="20.100000000000001" customHeight="1" x14ac:dyDescent="0.2">
      <c r="B14" s="1113" t="s">
        <v>2104</v>
      </c>
      <c r="C14" s="1824">
        <v>10.555</v>
      </c>
      <c r="D14" s="1825" t="s">
        <v>2107</v>
      </c>
      <c r="E14" s="1826"/>
      <c r="F14" s="1826">
        <v>364196</v>
      </c>
      <c r="G14" s="1826"/>
      <c r="H14" s="1826"/>
      <c r="I14" s="1826">
        <v>364196</v>
      </c>
      <c r="J14" s="1826"/>
      <c r="K14" s="1826"/>
      <c r="L14" s="1823">
        <f t="shared" si="0"/>
        <v>364196</v>
      </c>
      <c r="M14" s="1826" t="s">
        <v>2115</v>
      </c>
    </row>
    <row r="15" spans="2:14" ht="20.100000000000001" customHeight="1" x14ac:dyDescent="0.2">
      <c r="B15" s="1113" t="s">
        <v>2105</v>
      </c>
      <c r="C15" s="1824">
        <v>10.555</v>
      </c>
      <c r="D15" s="1825">
        <v>2020</v>
      </c>
      <c r="E15" s="1826"/>
      <c r="F15" s="1826">
        <v>60987</v>
      </c>
      <c r="G15" s="1826"/>
      <c r="H15" s="1826"/>
      <c r="I15" s="1826">
        <v>60987</v>
      </c>
      <c r="J15" s="1826"/>
      <c r="K15" s="1826"/>
      <c r="L15" s="1823">
        <f t="shared" si="0"/>
        <v>60987</v>
      </c>
      <c r="M15" s="1826" t="s">
        <v>2115</v>
      </c>
    </row>
    <row r="16" spans="2:14" ht="20.100000000000001" customHeight="1" x14ac:dyDescent="0.2">
      <c r="B16" s="1113" t="s">
        <v>2108</v>
      </c>
      <c r="C16" s="1824">
        <v>10.555</v>
      </c>
      <c r="D16" s="1825">
        <v>2020</v>
      </c>
      <c r="E16" s="1826"/>
      <c r="F16" s="1826">
        <v>14998</v>
      </c>
      <c r="G16" s="1826"/>
      <c r="H16" s="1826"/>
      <c r="I16" s="1826">
        <v>14998</v>
      </c>
      <c r="J16" s="1826"/>
      <c r="K16" s="1826"/>
      <c r="L16" s="1823">
        <f t="shared" si="0"/>
        <v>14998</v>
      </c>
      <c r="M16" s="1826" t="s">
        <v>2115</v>
      </c>
    </row>
    <row r="17" spans="2:14" ht="20.100000000000001" customHeight="1" x14ac:dyDescent="0.2">
      <c r="B17" s="1113" t="s">
        <v>2103</v>
      </c>
      <c r="C17" s="1824"/>
      <c r="D17" s="1825"/>
      <c r="E17" s="1826">
        <v>472977</v>
      </c>
      <c r="F17" s="1826">
        <v>550744</v>
      </c>
      <c r="G17" s="1826">
        <v>532100</v>
      </c>
      <c r="H17" s="1826">
        <v>0</v>
      </c>
      <c r="I17" s="1826">
        <v>491621</v>
      </c>
      <c r="J17" s="1826">
        <v>0</v>
      </c>
      <c r="K17" s="1826">
        <v>0</v>
      </c>
      <c r="L17" s="1823">
        <f t="shared" si="0"/>
        <v>1023721</v>
      </c>
      <c r="M17" s="1826"/>
    </row>
    <row r="18" spans="2:14" ht="20.100000000000001" customHeight="1" x14ac:dyDescent="0.2">
      <c r="B18" s="1113" t="s">
        <v>2109</v>
      </c>
      <c r="C18" s="1824">
        <v>10.553000000000001</v>
      </c>
      <c r="D18" s="1825" t="s">
        <v>2111</v>
      </c>
      <c r="E18" s="1826">
        <v>158020</v>
      </c>
      <c r="F18" s="1826">
        <v>39970</v>
      </c>
      <c r="G18" s="1826">
        <v>177773</v>
      </c>
      <c r="H18" s="1826"/>
      <c r="I18" s="1826">
        <v>20217</v>
      </c>
      <c r="J18" s="1826"/>
      <c r="K18" s="1826"/>
      <c r="L18" s="1823">
        <f t="shared" si="0"/>
        <v>197990</v>
      </c>
      <c r="M18" s="1826" t="s">
        <v>2115</v>
      </c>
    </row>
    <row r="19" spans="2:14" ht="20.100000000000001" customHeight="1" x14ac:dyDescent="0.2">
      <c r="B19" s="1113" t="s">
        <v>2109</v>
      </c>
      <c r="C19" s="1824">
        <v>10.553000000000001</v>
      </c>
      <c r="D19" s="1825" t="s">
        <v>2112</v>
      </c>
      <c r="E19" s="1826"/>
      <c r="F19" s="1826">
        <v>117718</v>
      </c>
      <c r="G19" s="1826"/>
      <c r="H19" s="1826"/>
      <c r="I19" s="1826">
        <v>117718</v>
      </c>
      <c r="J19" s="1826"/>
      <c r="K19" s="1826"/>
      <c r="L19" s="1823">
        <f t="shared" si="0"/>
        <v>117718</v>
      </c>
      <c r="M19" s="1826" t="s">
        <v>2115</v>
      </c>
    </row>
    <row r="20" spans="2:14" ht="20.100000000000001" customHeight="1" x14ac:dyDescent="0.2">
      <c r="B20" s="1113" t="s">
        <v>2110</v>
      </c>
      <c r="C20" s="1824"/>
      <c r="D20" s="1825"/>
      <c r="E20" s="1826">
        <v>158020</v>
      </c>
      <c r="F20" s="1826">
        <v>157688</v>
      </c>
      <c r="G20" s="1826">
        <v>177773</v>
      </c>
      <c r="H20" s="1826">
        <v>0</v>
      </c>
      <c r="I20" s="1826">
        <v>137935</v>
      </c>
      <c r="J20" s="1826">
        <v>0</v>
      </c>
      <c r="K20" s="1826">
        <v>0</v>
      </c>
      <c r="L20" s="1823">
        <f t="shared" si="0"/>
        <v>315708</v>
      </c>
      <c r="M20" s="1826"/>
    </row>
    <row r="21" spans="2:14" ht="20.100000000000001" customHeight="1" x14ac:dyDescent="0.2">
      <c r="B21" s="1113" t="s">
        <v>2113</v>
      </c>
      <c r="C21" s="1824">
        <v>10.558999999999999</v>
      </c>
      <c r="D21" s="1825" t="s">
        <v>2114</v>
      </c>
      <c r="E21" s="1826"/>
      <c r="F21" s="1826">
        <v>213123</v>
      </c>
      <c r="G21" s="1826"/>
      <c r="H21" s="1826"/>
      <c r="I21" s="1826">
        <v>213123</v>
      </c>
      <c r="J21" s="1826"/>
      <c r="K21" s="1826"/>
      <c r="L21" s="1823">
        <f t="shared" si="0"/>
        <v>213123</v>
      </c>
      <c r="M21" s="1826" t="s">
        <v>2115</v>
      </c>
    </row>
    <row r="22" spans="2:14" ht="20.100000000000001" customHeight="1" x14ac:dyDescent="0.2">
      <c r="B22" s="1113" t="s">
        <v>2116</v>
      </c>
      <c r="C22" s="1824"/>
      <c r="D22" s="1825"/>
      <c r="E22" s="1826">
        <v>630997</v>
      </c>
      <c r="F22" s="1826">
        <v>921555</v>
      </c>
      <c r="G22" s="1826">
        <v>709873</v>
      </c>
      <c r="H22" s="1826">
        <v>0</v>
      </c>
      <c r="I22" s="1826">
        <v>842679</v>
      </c>
      <c r="J22" s="1826">
        <v>0</v>
      </c>
      <c r="K22" s="1826">
        <v>0</v>
      </c>
      <c r="L22" s="1823">
        <f t="shared" si="0"/>
        <v>1552552</v>
      </c>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t="s">
        <v>2117</v>
      </c>
      <c r="C24" s="1824"/>
      <c r="D24" s="1825"/>
      <c r="E24" s="1826"/>
      <c r="F24" s="1826"/>
      <c r="G24" s="1826"/>
      <c r="H24" s="1826"/>
      <c r="I24" s="1826"/>
      <c r="J24" s="1826"/>
      <c r="K24" s="1826"/>
      <c r="L24" s="1823"/>
      <c r="M24" s="1826"/>
    </row>
    <row r="25" spans="2:14" ht="20.100000000000001" customHeight="1" x14ac:dyDescent="0.2">
      <c r="B25" s="1113" t="s">
        <v>2118</v>
      </c>
      <c r="C25" s="1824" t="s">
        <v>2119</v>
      </c>
      <c r="D25" s="1825" t="s">
        <v>2120</v>
      </c>
      <c r="E25" s="1826">
        <v>140455</v>
      </c>
      <c r="F25" s="1826">
        <v>176677</v>
      </c>
      <c r="G25" s="1826">
        <v>269457</v>
      </c>
      <c r="H25" s="1826"/>
      <c r="I25" s="1826">
        <v>47675</v>
      </c>
      <c r="J25" s="1826"/>
      <c r="K25" s="1826"/>
      <c r="L25" s="1823">
        <f t="shared" si="0"/>
        <v>317132</v>
      </c>
      <c r="M25" s="1826">
        <v>443922</v>
      </c>
    </row>
    <row r="26" spans="2:14" ht="20.100000000000001" customHeight="1" x14ac:dyDescent="0.2">
      <c r="B26" s="1113" t="s">
        <v>2118</v>
      </c>
      <c r="C26" s="1824" t="s">
        <v>2119</v>
      </c>
      <c r="D26" s="1825" t="s">
        <v>2121</v>
      </c>
      <c r="E26" s="1826"/>
      <c r="F26" s="1826">
        <v>254377</v>
      </c>
      <c r="G26" s="1826"/>
      <c r="H26" s="1826"/>
      <c r="I26" s="1826">
        <v>334507</v>
      </c>
      <c r="J26" s="1826"/>
      <c r="K26" s="1826">
        <v>62786</v>
      </c>
      <c r="L26" s="1823">
        <f t="shared" si="0"/>
        <v>397293</v>
      </c>
      <c r="M26" s="1826">
        <v>513780</v>
      </c>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D657A-ADAD-4375-AC49-0BB9B59EA058}">
  <sheetPr>
    <pageSetUpPr fitToPage="1"/>
  </sheetPr>
  <dimension ref="B1:N152"/>
  <sheetViews>
    <sheetView showGridLines="0" zoomScaleNormal="100" workbookViewId="0">
      <selection activeCell="B2" sqref="B2:M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Beardstown CUSD 15</v>
      </c>
      <c r="C1" s="2568"/>
      <c r="D1" s="2568"/>
      <c r="E1" s="2568"/>
      <c r="F1" s="2568"/>
      <c r="G1" s="2568"/>
      <c r="H1" s="2568"/>
      <c r="I1" s="2568"/>
      <c r="J1" s="2568"/>
      <c r="K1" s="2568"/>
      <c r="L1" s="2568"/>
      <c r="M1" s="2568"/>
    </row>
    <row r="2" spans="2:14" ht="15" x14ac:dyDescent="0.2">
      <c r="B2" s="2569">
        <f>'Single Audit Cover'!E7</f>
        <v>1009015026</v>
      </c>
      <c r="C2" s="2569"/>
      <c r="D2" s="2569"/>
      <c r="E2" s="2569"/>
      <c r="F2" s="2569"/>
      <c r="G2" s="2569"/>
      <c r="H2" s="2569"/>
      <c r="I2" s="2569"/>
      <c r="J2" s="2569"/>
      <c r="K2" s="2569"/>
      <c r="L2" s="2569"/>
      <c r="M2" s="2569"/>
      <c r="N2" s="1078"/>
    </row>
    <row r="3" spans="2:14" ht="15" x14ac:dyDescent="0.2">
      <c r="B3" s="2570" t="s">
        <v>1207</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5"/>
      <c r="J5" s="1915"/>
    </row>
    <row r="6" spans="2:14" x14ac:dyDescent="0.2">
      <c r="B6" s="1079"/>
      <c r="C6" s="1080"/>
      <c r="D6" s="1081" t="s">
        <v>1253</v>
      </c>
      <c r="E6" s="1082" t="s">
        <v>523</v>
      </c>
      <c r="F6" s="1083"/>
      <c r="G6" s="1084" t="s">
        <v>1707</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2122</v>
      </c>
      <c r="C11" s="1821" t="s">
        <v>2119</v>
      </c>
      <c r="D11" s="1822" t="s">
        <v>2124</v>
      </c>
      <c r="E11" s="1823">
        <v>22206</v>
      </c>
      <c r="F11" s="1823">
        <v>104960</v>
      </c>
      <c r="G11" s="1823">
        <v>127166</v>
      </c>
      <c r="H11" s="1823"/>
      <c r="I11" s="1823"/>
      <c r="J11" s="1823"/>
      <c r="K11" s="1823"/>
      <c r="L11" s="1823">
        <f>+G11+I11+K11</f>
        <v>127166</v>
      </c>
      <c r="M11" s="1823">
        <v>133599</v>
      </c>
    </row>
    <row r="12" spans="2:14" ht="20.100000000000001" customHeight="1" x14ac:dyDescent="0.2">
      <c r="B12" s="1113" t="s">
        <v>2122</v>
      </c>
      <c r="C12" s="1824" t="s">
        <v>2119</v>
      </c>
      <c r="D12" s="1825" t="s">
        <v>2125</v>
      </c>
      <c r="E12" s="1826"/>
      <c r="F12" s="1826">
        <v>28382</v>
      </c>
      <c r="G12" s="1826"/>
      <c r="H12" s="1826"/>
      <c r="I12" s="1826">
        <v>50882</v>
      </c>
      <c r="J12" s="1826"/>
      <c r="K12" s="1826"/>
      <c r="L12" s="1823">
        <f t="shared" ref="L12:L27" si="0">+G12+I12+K12</f>
        <v>50882</v>
      </c>
      <c r="M12" s="1826">
        <v>50882</v>
      </c>
    </row>
    <row r="13" spans="2:14" ht="20.100000000000001" customHeight="1" x14ac:dyDescent="0.2">
      <c r="B13" s="1113" t="s">
        <v>2123</v>
      </c>
      <c r="C13" s="1824"/>
      <c r="D13" s="1825"/>
      <c r="E13" s="1826">
        <v>162661</v>
      </c>
      <c r="F13" s="1826">
        <v>564396</v>
      </c>
      <c r="G13" s="1826">
        <v>396623</v>
      </c>
      <c r="H13" s="1826">
        <v>0</v>
      </c>
      <c r="I13" s="1826">
        <v>433064</v>
      </c>
      <c r="J13" s="1826">
        <v>0</v>
      </c>
      <c r="K13" s="1826">
        <v>62786</v>
      </c>
      <c r="L13" s="1823">
        <f t="shared" si="0"/>
        <v>892473</v>
      </c>
      <c r="M13" s="1826"/>
    </row>
    <row r="14" spans="2:14" ht="20.100000000000001" customHeight="1" x14ac:dyDescent="0.2">
      <c r="B14" s="1113" t="s">
        <v>2126</v>
      </c>
      <c r="C14" s="1824" t="s">
        <v>2128</v>
      </c>
      <c r="D14" s="1825" t="s">
        <v>2129</v>
      </c>
      <c r="E14" s="1826">
        <v>36476</v>
      </c>
      <c r="F14" s="1826">
        <v>31995</v>
      </c>
      <c r="G14" s="1826">
        <v>61780</v>
      </c>
      <c r="H14" s="1826"/>
      <c r="I14" s="1826">
        <v>6691</v>
      </c>
      <c r="J14" s="1826"/>
      <c r="K14" s="1826"/>
      <c r="L14" s="1823">
        <f t="shared" si="0"/>
        <v>68471</v>
      </c>
      <c r="M14" s="1826">
        <v>68501</v>
      </c>
    </row>
    <row r="15" spans="2:14" ht="20.100000000000001" customHeight="1" x14ac:dyDescent="0.2">
      <c r="B15" s="1113" t="s">
        <v>2126</v>
      </c>
      <c r="C15" s="1824" t="s">
        <v>2128</v>
      </c>
      <c r="D15" s="1825" t="s">
        <v>2130</v>
      </c>
      <c r="E15" s="1826"/>
      <c r="F15" s="1826">
        <v>46383</v>
      </c>
      <c r="G15" s="1826"/>
      <c r="H15" s="1826"/>
      <c r="I15" s="1826">
        <v>62339</v>
      </c>
      <c r="J15" s="1826"/>
      <c r="K15" s="1826">
        <v>344</v>
      </c>
      <c r="L15" s="1823">
        <f t="shared" si="0"/>
        <v>62683</v>
      </c>
      <c r="M15" s="1826">
        <v>68501</v>
      </c>
    </row>
    <row r="16" spans="2:14" ht="20.100000000000001" customHeight="1" x14ac:dyDescent="0.2">
      <c r="B16" s="1113" t="s">
        <v>2127</v>
      </c>
      <c r="C16" s="1824" t="s">
        <v>2128</v>
      </c>
      <c r="D16" s="1825" t="s">
        <v>2131</v>
      </c>
      <c r="E16" s="1826"/>
      <c r="F16" s="1826">
        <v>139263</v>
      </c>
      <c r="G16" s="1826">
        <v>92009</v>
      </c>
      <c r="H16" s="1826"/>
      <c r="I16" s="1826">
        <v>47254</v>
      </c>
      <c r="J16" s="1826"/>
      <c r="K16" s="1826"/>
      <c r="L16" s="1823">
        <f t="shared" si="0"/>
        <v>139263</v>
      </c>
      <c r="M16" s="1826">
        <v>154143</v>
      </c>
    </row>
    <row r="17" spans="2:14" ht="20.100000000000001" customHeight="1" x14ac:dyDescent="0.2">
      <c r="B17" s="1113" t="s">
        <v>2127</v>
      </c>
      <c r="C17" s="1824" t="s">
        <v>2128</v>
      </c>
      <c r="D17" s="1825" t="s">
        <v>2132</v>
      </c>
      <c r="E17" s="1826"/>
      <c r="F17" s="1826"/>
      <c r="G17" s="1826"/>
      <c r="H17" s="1826"/>
      <c r="I17" s="1826">
        <v>96024</v>
      </c>
      <c r="J17" s="1826"/>
      <c r="K17" s="1826"/>
      <c r="L17" s="1823">
        <f t="shared" si="0"/>
        <v>96024</v>
      </c>
      <c r="M17" s="1826">
        <v>143443</v>
      </c>
    </row>
    <row r="18" spans="2:14" ht="20.100000000000001" customHeight="1" x14ac:dyDescent="0.2">
      <c r="B18" s="1113" t="s">
        <v>2133</v>
      </c>
      <c r="C18" s="1824"/>
      <c r="D18" s="1825"/>
      <c r="E18" s="1826">
        <v>36476</v>
      </c>
      <c r="F18" s="1826">
        <v>217641</v>
      </c>
      <c r="G18" s="1826">
        <v>153789</v>
      </c>
      <c r="H18" s="1826">
        <v>0</v>
      </c>
      <c r="I18" s="1826">
        <v>212308</v>
      </c>
      <c r="J18" s="1826">
        <v>0</v>
      </c>
      <c r="K18" s="1826">
        <v>344</v>
      </c>
      <c r="L18" s="1823">
        <f t="shared" si="0"/>
        <v>366441</v>
      </c>
      <c r="M18" s="1826"/>
    </row>
    <row r="19" spans="2:14" ht="20.100000000000001" customHeight="1" x14ac:dyDescent="0.2">
      <c r="B19" s="1113" t="s">
        <v>2134</v>
      </c>
      <c r="C19" s="1824" t="s">
        <v>2135</v>
      </c>
      <c r="D19" s="1825" t="s">
        <v>2136</v>
      </c>
      <c r="E19" s="1826"/>
      <c r="F19" s="1826">
        <v>2647</v>
      </c>
      <c r="G19" s="1826">
        <v>1872</v>
      </c>
      <c r="H19" s="1826"/>
      <c r="I19" s="1826">
        <v>775</v>
      </c>
      <c r="J19" s="1826"/>
      <c r="K19" s="1826"/>
      <c r="L19" s="1823">
        <f t="shared" si="0"/>
        <v>2647</v>
      </c>
      <c r="M19" s="1826">
        <v>5266</v>
      </c>
    </row>
    <row r="20" spans="2:14" ht="20.100000000000001" customHeight="1" x14ac:dyDescent="0.2">
      <c r="B20" s="1113" t="s">
        <v>2137</v>
      </c>
      <c r="C20" s="1824" t="s">
        <v>2139</v>
      </c>
      <c r="D20" s="1825" t="s">
        <v>2140</v>
      </c>
      <c r="E20" s="1826"/>
      <c r="F20" s="1826">
        <v>8916</v>
      </c>
      <c r="G20" s="1826">
        <v>6341</v>
      </c>
      <c r="H20" s="1826"/>
      <c r="I20" s="1826">
        <v>2575</v>
      </c>
      <c r="J20" s="1826"/>
      <c r="K20" s="1826"/>
      <c r="L20" s="1823">
        <f t="shared" si="0"/>
        <v>8916</v>
      </c>
      <c r="M20" s="1826">
        <v>16200</v>
      </c>
    </row>
    <row r="21" spans="2:14" ht="20.100000000000001" customHeight="1" x14ac:dyDescent="0.2">
      <c r="B21" s="1113" t="s">
        <v>2137</v>
      </c>
      <c r="C21" s="1824" t="s">
        <v>2139</v>
      </c>
      <c r="D21" s="1825" t="s">
        <v>2141</v>
      </c>
      <c r="E21" s="1826"/>
      <c r="F21" s="1826"/>
      <c r="G21" s="1826"/>
      <c r="H21" s="1826"/>
      <c r="I21" s="1826">
        <v>4709</v>
      </c>
      <c r="J21" s="1826"/>
      <c r="K21" s="1826">
        <v>207</v>
      </c>
      <c r="L21" s="1823">
        <f t="shared" si="0"/>
        <v>4916</v>
      </c>
      <c r="M21" s="1826">
        <v>7284</v>
      </c>
    </row>
    <row r="22" spans="2:14" ht="20.100000000000001" customHeight="1" x14ac:dyDescent="0.2">
      <c r="B22" s="1113" t="s">
        <v>2138</v>
      </c>
      <c r="C22" s="1824" t="s">
        <v>2139</v>
      </c>
      <c r="D22" s="1825" t="s">
        <v>2142</v>
      </c>
      <c r="E22" s="1826">
        <v>27584</v>
      </c>
      <c r="F22" s="1826">
        <v>37102</v>
      </c>
      <c r="G22" s="1826">
        <v>55393</v>
      </c>
      <c r="H22" s="1826"/>
      <c r="I22" s="1826">
        <v>9293</v>
      </c>
      <c r="J22" s="1826"/>
      <c r="K22" s="1826"/>
      <c r="L22" s="1823">
        <f t="shared" si="0"/>
        <v>64686</v>
      </c>
      <c r="M22" s="1826">
        <v>98605</v>
      </c>
    </row>
    <row r="23" spans="2:14" ht="20.100000000000001" customHeight="1" x14ac:dyDescent="0.2">
      <c r="B23" s="1113" t="s">
        <v>2138</v>
      </c>
      <c r="C23" s="1824" t="s">
        <v>2139</v>
      </c>
      <c r="D23" s="1825" t="s">
        <v>2143</v>
      </c>
      <c r="E23" s="1826"/>
      <c r="F23" s="1826">
        <v>39747</v>
      </c>
      <c r="G23" s="1826"/>
      <c r="H23" s="1826"/>
      <c r="I23" s="1826">
        <v>57849</v>
      </c>
      <c r="J23" s="1826"/>
      <c r="K23" s="1826">
        <v>11880</v>
      </c>
      <c r="L23" s="1823">
        <f t="shared" si="0"/>
        <v>69729</v>
      </c>
      <c r="M23" s="1826">
        <v>109419</v>
      </c>
    </row>
    <row r="24" spans="2:14" ht="20.100000000000001" customHeight="1" x14ac:dyDescent="0.2">
      <c r="B24" s="1113" t="s">
        <v>2144</v>
      </c>
      <c r="C24" s="1824"/>
      <c r="D24" s="1825"/>
      <c r="E24" s="1826">
        <v>27584</v>
      </c>
      <c r="F24" s="1826">
        <v>85765</v>
      </c>
      <c r="G24" s="1826">
        <v>61734</v>
      </c>
      <c r="H24" s="1826">
        <v>0</v>
      </c>
      <c r="I24" s="1826">
        <v>74426</v>
      </c>
      <c r="J24" s="1826">
        <v>0</v>
      </c>
      <c r="K24" s="1826">
        <v>12087</v>
      </c>
      <c r="L24" s="1823">
        <f t="shared" si="0"/>
        <v>148247</v>
      </c>
      <c r="M24" s="1826"/>
    </row>
    <row r="25" spans="2:14" ht="20.100000000000001" customHeight="1" x14ac:dyDescent="0.2">
      <c r="B25" s="1113" t="s">
        <v>2145</v>
      </c>
      <c r="C25" s="1824" t="s">
        <v>2147</v>
      </c>
      <c r="D25" s="1825" t="s">
        <v>2148</v>
      </c>
      <c r="E25" s="1826">
        <v>11297</v>
      </c>
      <c r="F25" s="1826">
        <v>15293</v>
      </c>
      <c r="G25" s="1826">
        <v>26590</v>
      </c>
      <c r="H25" s="1826"/>
      <c r="I25" s="1826"/>
      <c r="J25" s="1826"/>
      <c r="K25" s="1826"/>
      <c r="L25" s="1823">
        <f t="shared" si="0"/>
        <v>26590</v>
      </c>
      <c r="M25" s="1826">
        <v>59692</v>
      </c>
    </row>
    <row r="26" spans="2:14" ht="20.100000000000001" customHeight="1" x14ac:dyDescent="0.2">
      <c r="B26" s="1113" t="s">
        <v>2145</v>
      </c>
      <c r="C26" s="1824" t="s">
        <v>2147</v>
      </c>
      <c r="D26" s="1825" t="s">
        <v>2149</v>
      </c>
      <c r="E26" s="1826"/>
      <c r="F26" s="1826">
        <v>13501</v>
      </c>
      <c r="G26" s="1826"/>
      <c r="H26" s="1826"/>
      <c r="I26" s="1826">
        <v>29221</v>
      </c>
      <c r="J26" s="1826"/>
      <c r="K26" s="1826"/>
      <c r="L26" s="1823">
        <f t="shared" si="0"/>
        <v>29221</v>
      </c>
      <c r="M26" s="1826">
        <v>89762</v>
      </c>
    </row>
    <row r="27" spans="2:14" ht="20.100000000000001" customHeight="1" x14ac:dyDescent="0.2">
      <c r="B27" s="1113" t="s">
        <v>2146</v>
      </c>
      <c r="C27" s="1824"/>
      <c r="D27" s="1825"/>
      <c r="E27" s="1826">
        <v>11297</v>
      </c>
      <c r="F27" s="1826">
        <v>28794</v>
      </c>
      <c r="G27" s="1826">
        <v>26590</v>
      </c>
      <c r="H27" s="1826">
        <v>0</v>
      </c>
      <c r="I27" s="1826">
        <v>29221</v>
      </c>
      <c r="J27" s="1826">
        <v>0</v>
      </c>
      <c r="K27" s="1826">
        <v>0</v>
      </c>
      <c r="L27" s="1823">
        <f t="shared" si="0"/>
        <v>55811</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 sqref="C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1157</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0" t="s">
        <v>1615</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309</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t="s">
        <v>2054</v>
      </c>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2074</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1311</v>
      </c>
      <c r="B70" s="2173"/>
      <c r="C70" s="2173"/>
      <c r="D70" s="2173"/>
      <c r="E70" s="2174"/>
      <c r="F70" s="2174"/>
      <c r="G70" s="2174"/>
      <c r="H70" s="2174"/>
      <c r="I70" s="217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1308</v>
      </c>
      <c r="B83" s="2175"/>
      <c r="C83" s="2175"/>
      <c r="D83" s="217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6" t="s">
        <v>1985</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8" t="s">
        <v>1985</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2047</v>
      </c>
      <c r="D114" s="216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1318</v>
      </c>
      <c r="D117" s="2168"/>
      <c r="E117" s="2169"/>
      <c r="F117" s="2169"/>
      <c r="G117" s="2169"/>
      <c r="H117" s="2169"/>
      <c r="I117" s="282"/>
    </row>
    <row r="118" spans="1:9" s="176" customFormat="1" ht="24" customHeight="1" x14ac:dyDescent="0.2">
      <c r="A118" s="294"/>
      <c r="B118" s="294"/>
      <c r="C118" s="294"/>
      <c r="D118" s="301" t="s">
        <v>2100</v>
      </c>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348BD-BD86-464A-BFD7-98050C788A30}">
  <sheetPr>
    <pageSetUpPr fitToPage="1"/>
  </sheetPr>
  <dimension ref="B1:N152"/>
  <sheetViews>
    <sheetView showGridLines="0" zoomScaleNormal="100" workbookViewId="0">
      <selection activeCell="B2" sqref="B2:M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Beardstown CUSD 15</v>
      </c>
      <c r="C1" s="2568"/>
      <c r="D1" s="2568"/>
      <c r="E1" s="2568"/>
      <c r="F1" s="2568"/>
      <c r="G1" s="2568"/>
      <c r="H1" s="2568"/>
      <c r="I1" s="2568"/>
      <c r="J1" s="2568"/>
      <c r="K1" s="2568"/>
      <c r="L1" s="2568"/>
      <c r="M1" s="2568"/>
    </row>
    <row r="2" spans="2:14" ht="15" x14ac:dyDescent="0.2">
      <c r="B2" s="2569">
        <f>'Single Audit Cover'!E7</f>
        <v>1009015026</v>
      </c>
      <c r="C2" s="2569"/>
      <c r="D2" s="2569"/>
      <c r="E2" s="2569"/>
      <c r="F2" s="2569"/>
      <c r="G2" s="2569"/>
      <c r="H2" s="2569"/>
      <c r="I2" s="2569"/>
      <c r="J2" s="2569"/>
      <c r="K2" s="2569"/>
      <c r="L2" s="2569"/>
      <c r="M2" s="2569"/>
      <c r="N2" s="1078"/>
    </row>
    <row r="3" spans="2:14" ht="15" x14ac:dyDescent="0.2">
      <c r="B3" s="2570" t="s">
        <v>1207</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5"/>
      <c r="J5" s="1915"/>
    </row>
    <row r="6" spans="2:14" x14ac:dyDescent="0.2">
      <c r="B6" s="1079"/>
      <c r="C6" s="1080"/>
      <c r="D6" s="1081" t="s">
        <v>1253</v>
      </c>
      <c r="E6" s="1082" t="s">
        <v>523</v>
      </c>
      <c r="F6" s="1083"/>
      <c r="G6" s="1084" t="s">
        <v>1707</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2150</v>
      </c>
      <c r="C11" s="1821" t="s">
        <v>2151</v>
      </c>
      <c r="D11" s="1822" t="s">
        <v>2153</v>
      </c>
      <c r="E11" s="1823">
        <v>21619</v>
      </c>
      <c r="F11" s="1823">
        <v>5885</v>
      </c>
      <c r="G11" s="1823">
        <v>22823</v>
      </c>
      <c r="H11" s="1823"/>
      <c r="I11" s="1823">
        <v>4681</v>
      </c>
      <c r="J11" s="1823"/>
      <c r="K11" s="1823"/>
      <c r="L11" s="1823">
        <f>+G11+I11+K11</f>
        <v>27504</v>
      </c>
      <c r="M11" s="1823">
        <v>83843</v>
      </c>
    </row>
    <row r="12" spans="2:14" ht="20.100000000000001" customHeight="1" x14ac:dyDescent="0.2">
      <c r="B12" s="1113" t="s">
        <v>2150</v>
      </c>
      <c r="C12" s="1824" t="s">
        <v>2151</v>
      </c>
      <c r="D12" s="1825" t="s">
        <v>2154</v>
      </c>
      <c r="E12" s="1826"/>
      <c r="F12" s="1826">
        <v>5562</v>
      </c>
      <c r="G12" s="1826"/>
      <c r="H12" s="1826"/>
      <c r="I12" s="1826">
        <v>7002</v>
      </c>
      <c r="J12" s="1826"/>
      <c r="K12" s="1826"/>
      <c r="L12" s="1823">
        <f t="shared" ref="L12:L24" si="0">+G12+I12+K12</f>
        <v>7002</v>
      </c>
      <c r="M12" s="1826">
        <v>45619</v>
      </c>
    </row>
    <row r="13" spans="2:14" ht="20.100000000000001" customHeight="1" x14ac:dyDescent="0.2">
      <c r="B13" s="1113" t="s">
        <v>2152</v>
      </c>
      <c r="C13" s="1824"/>
      <c r="D13" s="1825"/>
      <c r="E13" s="1826">
        <v>21619</v>
      </c>
      <c r="F13" s="1826">
        <v>11447</v>
      </c>
      <c r="G13" s="1826">
        <v>22823</v>
      </c>
      <c r="H13" s="1826">
        <v>0</v>
      </c>
      <c r="I13" s="1826">
        <v>11683</v>
      </c>
      <c r="J13" s="1826">
        <v>0</v>
      </c>
      <c r="K13" s="1826">
        <v>0</v>
      </c>
      <c r="L13" s="1823">
        <f t="shared" si="0"/>
        <v>34506</v>
      </c>
      <c r="M13" s="1826"/>
    </row>
    <row r="14" spans="2:14" ht="20.100000000000001" customHeight="1" x14ac:dyDescent="0.2">
      <c r="B14" s="1113" t="s">
        <v>2155</v>
      </c>
      <c r="C14" s="1824" t="s">
        <v>2156</v>
      </c>
      <c r="D14" s="1825" t="s">
        <v>2157</v>
      </c>
      <c r="E14" s="1826"/>
      <c r="F14" s="1826">
        <v>29525</v>
      </c>
      <c r="G14" s="1826"/>
      <c r="H14" s="1826"/>
      <c r="I14" s="1826">
        <v>29525</v>
      </c>
      <c r="J14" s="1826"/>
      <c r="K14" s="1826"/>
      <c r="L14" s="1823">
        <f t="shared" si="0"/>
        <v>29525</v>
      </c>
      <c r="M14" s="1826">
        <v>29525</v>
      </c>
    </row>
    <row r="15" spans="2:14" ht="20.100000000000001" customHeight="1" x14ac:dyDescent="0.2">
      <c r="B15" s="1113" t="s">
        <v>2158</v>
      </c>
      <c r="C15" s="1824" t="s">
        <v>2159</v>
      </c>
      <c r="D15" s="1825" t="s">
        <v>2160</v>
      </c>
      <c r="E15" s="1826"/>
      <c r="F15" s="1826"/>
      <c r="G15" s="1826"/>
      <c r="H15" s="1826"/>
      <c r="I15" s="1826">
        <v>38755</v>
      </c>
      <c r="J15" s="1826"/>
      <c r="K15" s="1826"/>
      <c r="L15" s="1823">
        <f t="shared" si="0"/>
        <v>38755</v>
      </c>
      <c r="M15" s="1826">
        <v>322531</v>
      </c>
    </row>
    <row r="16" spans="2:14" ht="20.100000000000001" customHeight="1" x14ac:dyDescent="0.2">
      <c r="B16" s="1113" t="s">
        <v>2161</v>
      </c>
      <c r="C16" s="1824"/>
      <c r="D16" s="1825"/>
      <c r="E16" s="1826">
        <v>259637</v>
      </c>
      <c r="F16" s="1826">
        <v>940215</v>
      </c>
      <c r="G16" s="1826">
        <v>663431</v>
      </c>
      <c r="H16" s="1826">
        <v>0</v>
      </c>
      <c r="I16" s="1826">
        <v>829757</v>
      </c>
      <c r="J16" s="1826">
        <v>0</v>
      </c>
      <c r="K16" s="1826">
        <v>75217</v>
      </c>
      <c r="L16" s="1823">
        <f t="shared" si="0"/>
        <v>1568405</v>
      </c>
      <c r="M16" s="1826"/>
    </row>
    <row r="17" spans="2:14" ht="20.100000000000001" customHeight="1" x14ac:dyDescent="0.2">
      <c r="B17" s="1113"/>
      <c r="C17" s="1824"/>
      <c r="D17" s="1825"/>
      <c r="E17" s="1826"/>
      <c r="F17" s="1826"/>
      <c r="G17" s="1826"/>
      <c r="H17" s="1826"/>
      <c r="I17" s="1826"/>
      <c r="J17" s="1826"/>
      <c r="K17" s="1826"/>
      <c r="L17" s="1823"/>
      <c r="M17" s="1826"/>
    </row>
    <row r="18" spans="2:14" ht="20.100000000000001" customHeight="1" x14ac:dyDescent="0.2">
      <c r="B18" s="1113" t="s">
        <v>2162</v>
      </c>
      <c r="C18" s="1824"/>
      <c r="D18" s="1825"/>
      <c r="E18" s="1826"/>
      <c r="F18" s="1826"/>
      <c r="G18" s="1826"/>
      <c r="H18" s="1826"/>
      <c r="I18" s="1826"/>
      <c r="J18" s="1826"/>
      <c r="K18" s="1826"/>
      <c r="L18" s="1823"/>
      <c r="M18" s="1826"/>
    </row>
    <row r="19" spans="2:14" ht="20.100000000000001" customHeight="1" x14ac:dyDescent="0.2">
      <c r="B19" s="1113" t="s">
        <v>2163</v>
      </c>
      <c r="C19" s="1824"/>
      <c r="D19" s="1825"/>
      <c r="E19" s="1826"/>
      <c r="F19" s="1826"/>
      <c r="G19" s="1826"/>
      <c r="H19" s="1826"/>
      <c r="I19" s="1826"/>
      <c r="J19" s="1826"/>
      <c r="K19" s="1826"/>
      <c r="L19" s="1823"/>
      <c r="M19" s="1826"/>
    </row>
    <row r="20" spans="2:14" ht="20.100000000000001" customHeight="1" x14ac:dyDescent="0.2">
      <c r="B20" s="1113" t="s">
        <v>2164</v>
      </c>
      <c r="C20" s="1824" t="s">
        <v>2165</v>
      </c>
      <c r="D20" s="1825">
        <v>2020</v>
      </c>
      <c r="E20" s="1826"/>
      <c r="F20" s="1826">
        <v>7296</v>
      </c>
      <c r="G20" s="1826"/>
      <c r="H20" s="1826"/>
      <c r="I20" s="1826">
        <v>10302</v>
      </c>
      <c r="J20" s="1826"/>
      <c r="K20" s="1826"/>
      <c r="L20" s="1823">
        <f t="shared" si="0"/>
        <v>10302</v>
      </c>
      <c r="M20" s="1826">
        <v>12144</v>
      </c>
    </row>
    <row r="21" spans="2:14" ht="20.100000000000001" customHeight="1" x14ac:dyDescent="0.2">
      <c r="B21" s="1113" t="s">
        <v>2166</v>
      </c>
      <c r="C21" s="1824"/>
      <c r="D21" s="1825"/>
      <c r="E21" s="1826">
        <v>0</v>
      </c>
      <c r="F21" s="1826">
        <v>7296</v>
      </c>
      <c r="G21" s="1826">
        <v>0</v>
      </c>
      <c r="H21" s="1826">
        <v>0</v>
      </c>
      <c r="I21" s="1826">
        <v>10302</v>
      </c>
      <c r="J21" s="1826">
        <v>0</v>
      </c>
      <c r="K21" s="1826">
        <v>0</v>
      </c>
      <c r="L21" s="1823">
        <f t="shared" si="0"/>
        <v>10302</v>
      </c>
      <c r="M21" s="1826"/>
    </row>
    <row r="22" spans="2:14" ht="20.100000000000001" customHeight="1" x14ac:dyDescent="0.2">
      <c r="B22" s="1113"/>
      <c r="C22" s="1824"/>
      <c r="D22" s="1825"/>
      <c r="E22" s="1826"/>
      <c r="F22" s="1826"/>
      <c r="G22" s="1826"/>
      <c r="H22" s="1826"/>
      <c r="I22" s="1826"/>
      <c r="J22" s="1826"/>
      <c r="K22" s="1826"/>
      <c r="L22" s="1823"/>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t="s">
        <v>2167</v>
      </c>
      <c r="C24" s="1824"/>
      <c r="D24" s="1825"/>
      <c r="E24" s="1826">
        <v>890634</v>
      </c>
      <c r="F24" s="1826">
        <v>1869066</v>
      </c>
      <c r="G24" s="1826">
        <v>1373304</v>
      </c>
      <c r="H24" s="1826">
        <v>0</v>
      </c>
      <c r="I24" s="1826">
        <v>1682738</v>
      </c>
      <c r="J24" s="1826">
        <v>0</v>
      </c>
      <c r="K24" s="1826">
        <v>75217</v>
      </c>
      <c r="L24" s="1823">
        <f t="shared" si="0"/>
        <v>3131259</v>
      </c>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Beardstown CUSD 15</v>
      </c>
      <c r="B1" s="2573"/>
      <c r="C1" s="2573"/>
      <c r="D1" s="2573"/>
      <c r="E1" s="2573"/>
      <c r="F1" s="2573"/>
    </row>
    <row r="2" spans="1:7" ht="13.5" customHeight="1" x14ac:dyDescent="0.2">
      <c r="A2" s="2569">
        <f>'Single Audit Cover'!E7</f>
        <v>1009015026</v>
      </c>
      <c r="B2" s="2569"/>
      <c r="C2" s="2569"/>
      <c r="D2" s="2569"/>
      <c r="E2" s="2569"/>
      <c r="F2" s="2569"/>
      <c r="G2" s="1051"/>
    </row>
    <row r="3" spans="1:7" ht="15.75" customHeight="1" x14ac:dyDescent="0.2">
      <c r="A3" s="2574" t="s">
        <v>1259</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1704</v>
      </c>
      <c r="C6" s="295"/>
      <c r="D6" s="295"/>
    </row>
    <row r="7" spans="1:7" ht="60.95" customHeight="1" x14ac:dyDescent="0.2">
      <c r="A7" s="2572" t="s">
        <v>2168</v>
      </c>
      <c r="B7" s="2572"/>
      <c r="C7" s="2572"/>
      <c r="D7" s="2572"/>
      <c r="E7" s="2572"/>
      <c r="F7" s="2572"/>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t="s">
        <v>2054</v>
      </c>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72" t="s">
        <v>2169</v>
      </c>
      <c r="B13" s="2572"/>
      <c r="C13" s="2572"/>
      <c r="D13" s="2572"/>
      <c r="E13" s="2572"/>
      <c r="F13" s="2572"/>
    </row>
    <row r="14" spans="1:7" ht="9.75" customHeight="1" x14ac:dyDescent="0.2">
      <c r="C14" s="1036"/>
      <c r="D14" s="1036"/>
    </row>
    <row r="15" spans="1:7" ht="13.5" customHeight="1" x14ac:dyDescent="0.2">
      <c r="C15" s="1476" t="s">
        <v>1258</v>
      </c>
      <c r="D15" s="2577" t="s">
        <v>1257</v>
      </c>
      <c r="E15" s="2577"/>
      <c r="F15" s="2577"/>
    </row>
    <row r="16" spans="1:7" ht="13.5" customHeight="1" x14ac:dyDescent="0.2">
      <c r="A16" s="1058"/>
      <c r="B16" s="1052" t="s">
        <v>1256</v>
      </c>
      <c r="C16" s="1476" t="s">
        <v>1255</v>
      </c>
      <c r="D16" s="2578" t="s">
        <v>1570</v>
      </c>
      <c r="E16" s="2578"/>
      <c r="F16" s="2578"/>
    </row>
    <row r="17" spans="1:6" ht="20.45" customHeight="1" x14ac:dyDescent="0.2">
      <c r="A17" s="1059"/>
      <c r="B17" s="1060" t="s">
        <v>2170</v>
      </c>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80" t="s">
        <v>2171</v>
      </c>
      <c r="B32" s="2580"/>
      <c r="C32" s="2580"/>
      <c r="D32" s="2580"/>
      <c r="E32" s="2580"/>
      <c r="F32" s="2580"/>
    </row>
    <row r="33" spans="1:6" ht="13.5" customHeight="1" x14ac:dyDescent="0.2">
      <c r="A33" s="306" t="s">
        <v>1416</v>
      </c>
      <c r="B33" s="306"/>
      <c r="C33" s="1064">
        <v>75985</v>
      </c>
      <c r="D33" s="1526"/>
      <c r="E33" s="1062"/>
    </row>
    <row r="34" spans="1:6" ht="13.5" customHeight="1" x14ac:dyDescent="0.2">
      <c r="A34" s="306" t="s">
        <v>1807</v>
      </c>
      <c r="B34" s="306"/>
      <c r="C34" s="1065">
        <v>0</v>
      </c>
      <c r="D34" s="1526" t="s">
        <v>1571</v>
      </c>
      <c r="E34" s="2581">
        <f>+C33+C34</f>
        <v>75985</v>
      </c>
      <c r="F34" s="2582"/>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t="s">
        <v>379</v>
      </c>
      <c r="D38" s="1526"/>
      <c r="E38" s="1062"/>
    </row>
    <row r="39" spans="1:6" ht="14.25" customHeight="1" x14ac:dyDescent="0.2">
      <c r="A39" s="306"/>
      <c r="B39" s="306" t="s">
        <v>1418</v>
      </c>
      <c r="C39" s="1068" t="s">
        <v>379</v>
      </c>
      <c r="D39" s="1526"/>
      <c r="E39" s="1062"/>
    </row>
    <row r="40" spans="1:6" ht="14.25" customHeight="1" x14ac:dyDescent="0.2">
      <c r="A40" s="306"/>
      <c r="B40" s="306" t="s">
        <v>1419</v>
      </c>
      <c r="C40" s="1068" t="s">
        <v>379</v>
      </c>
      <c r="D40" s="1526"/>
      <c r="E40" s="1062"/>
    </row>
    <row r="41" spans="1:6" ht="14.25" customHeight="1" x14ac:dyDescent="0.2">
      <c r="A41" s="306"/>
      <c r="B41" s="306" t="s">
        <v>1420</v>
      </c>
      <c r="C41" s="1068" t="s">
        <v>379</v>
      </c>
      <c r="D41" s="1526"/>
      <c r="E41" s="1062"/>
    </row>
    <row r="42" spans="1:6" ht="14.25" customHeight="1" x14ac:dyDescent="0.2">
      <c r="A42" s="306" t="s">
        <v>1421</v>
      </c>
      <c r="B42" s="306"/>
      <c r="C42" s="1524" t="s">
        <v>379</v>
      </c>
      <c r="D42" s="1526"/>
      <c r="E42" s="1062"/>
    </row>
    <row r="43" spans="1:6" ht="14.25" customHeight="1" x14ac:dyDescent="0.2">
      <c r="A43" s="306" t="s">
        <v>1422</v>
      </c>
      <c r="B43" s="306"/>
      <c r="C43" s="1069" t="s">
        <v>379</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1572</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1533</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B1" sqref="B1:I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Beardstown CUSD 15</v>
      </c>
      <c r="C1" s="2589"/>
      <c r="D1" s="2589"/>
      <c r="E1" s="2589"/>
      <c r="F1" s="2589"/>
      <c r="G1" s="2589"/>
      <c r="H1" s="2589"/>
      <c r="I1" s="2589"/>
      <c r="J1" s="1178"/>
    </row>
    <row r="2" spans="2:10" s="295" customFormat="1" ht="12.75" customHeight="1" x14ac:dyDescent="0.2">
      <c r="B2" s="2590">
        <f>'Single Audit Cover'!E7</f>
        <v>1009015026</v>
      </c>
      <c r="C2" s="2591"/>
      <c r="D2" s="2591"/>
      <c r="E2" s="2591"/>
      <c r="F2" s="2591"/>
      <c r="G2" s="2591"/>
      <c r="H2" s="2591"/>
      <c r="I2" s="2591"/>
      <c r="J2" s="1178"/>
    </row>
    <row r="3" spans="2:10" s="295" customFormat="1" ht="12.75" customHeight="1" x14ac:dyDescent="0.2">
      <c r="B3" s="2592" t="s">
        <v>1273</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1272</v>
      </c>
      <c r="C7" s="2593"/>
      <c r="D7" s="2593"/>
      <c r="E7" s="2593"/>
      <c r="F7" s="2593"/>
      <c r="G7" s="2593"/>
      <c r="H7" s="2593"/>
      <c r="I7" s="2593"/>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4" t="s">
        <v>2172</v>
      </c>
      <c r="D11" s="2594"/>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2054</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2054</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2054</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2054</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t="s">
        <v>2054</v>
      </c>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95" t="s">
        <v>814</v>
      </c>
      <c r="E29" s="2595"/>
      <c r="F29" s="2595"/>
      <c r="G29" s="2595"/>
      <c r="H29" s="2595"/>
      <c r="I29" s="2595"/>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t="s">
        <v>2054</v>
      </c>
      <c r="F33" s="1076" t="s">
        <v>878</v>
      </c>
      <c r="G33" s="1194"/>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596" t="s">
        <v>1724</v>
      </c>
      <c r="D37" s="2597"/>
      <c r="E37" s="2597"/>
      <c r="F37" s="2598"/>
      <c r="G37" s="2596" t="s">
        <v>1574</v>
      </c>
      <c r="H37" s="2597"/>
      <c r="I37" s="2598"/>
    </row>
    <row r="38" spans="2:9" ht="16.5" customHeight="1" x14ac:dyDescent="0.2">
      <c r="B38" s="1200" t="s">
        <v>2119</v>
      </c>
      <c r="C38" s="2584" t="s">
        <v>2173</v>
      </c>
      <c r="D38" s="2585"/>
      <c r="E38" s="2585"/>
      <c r="F38" s="2586"/>
      <c r="G38" s="2599">
        <v>433004</v>
      </c>
      <c r="H38" s="2600"/>
      <c r="I38" s="2601"/>
    </row>
    <row r="39" spans="2:9" ht="16.5" customHeight="1" x14ac:dyDescent="0.2">
      <c r="B39" s="1200"/>
      <c r="C39" s="2584" t="s">
        <v>2174</v>
      </c>
      <c r="D39" s="2585"/>
      <c r="E39" s="2585"/>
      <c r="F39" s="2586"/>
      <c r="G39" s="2587"/>
      <c r="H39" s="2587"/>
      <c r="I39" s="2587"/>
    </row>
    <row r="40" spans="2:9" ht="16.5" customHeight="1" x14ac:dyDescent="0.2">
      <c r="B40" s="1200">
        <v>10.555</v>
      </c>
      <c r="C40" s="2584" t="s">
        <v>1048</v>
      </c>
      <c r="D40" s="2585"/>
      <c r="E40" s="2585"/>
      <c r="F40" s="2586"/>
      <c r="G40" s="2587">
        <v>491621</v>
      </c>
      <c r="H40" s="2587"/>
      <c r="I40" s="2587"/>
    </row>
    <row r="41" spans="2:9" ht="16.5" customHeight="1" x14ac:dyDescent="0.2">
      <c r="B41" s="1200">
        <v>10.553000000000001</v>
      </c>
      <c r="C41" s="2584" t="s">
        <v>1049</v>
      </c>
      <c r="D41" s="2585"/>
      <c r="E41" s="2585"/>
      <c r="F41" s="2586"/>
      <c r="G41" s="2587">
        <v>137935</v>
      </c>
      <c r="H41" s="2587"/>
      <c r="I41" s="2587"/>
    </row>
    <row r="42" spans="2:9" ht="16.5" customHeight="1" x14ac:dyDescent="0.2">
      <c r="B42" s="1200">
        <v>10.558999999999999</v>
      </c>
      <c r="C42" s="2584" t="s">
        <v>1433</v>
      </c>
      <c r="D42" s="2585"/>
      <c r="E42" s="2585"/>
      <c r="F42" s="2586"/>
      <c r="G42" s="2587">
        <v>213123</v>
      </c>
      <c r="H42" s="2587"/>
      <c r="I42" s="2587"/>
    </row>
    <row r="43" spans="2:9" ht="16.5" customHeight="1" x14ac:dyDescent="0.2">
      <c r="B43" s="1200"/>
      <c r="C43" s="2602" t="s">
        <v>1575</v>
      </c>
      <c r="D43" s="2603"/>
      <c r="E43" s="2603"/>
      <c r="F43" s="2604"/>
      <c r="G43" s="2605">
        <f>SUM(G38:I42)</f>
        <v>1275683</v>
      </c>
      <c r="H43" s="2605"/>
      <c r="I43" s="2605"/>
    </row>
    <row r="44" spans="2:9" ht="12.75" customHeight="1" x14ac:dyDescent="0.2"/>
    <row r="45" spans="2:9" ht="12.75" customHeight="1" x14ac:dyDescent="0.2">
      <c r="B45" s="1917" t="str">
        <f>"Total Federal Expenditures for 7/1/"&amp;MID('AFR20'!E2,3,2)-1&amp;"-6/30/"&amp;MID('AFR20'!E2,3,2)</f>
        <v>Total Federal Expenditures for 7/1/19-6/30/20</v>
      </c>
      <c r="C45" s="1918"/>
      <c r="D45" s="2606">
        <v>1682678</v>
      </c>
      <c r="E45" s="2607"/>
    </row>
    <row r="46" spans="2:9" ht="5.25" customHeight="1" x14ac:dyDescent="0.2">
      <c r="B46" s="1201"/>
      <c r="D46" s="1202"/>
      <c r="E46" s="1203"/>
    </row>
    <row r="47" spans="2:9" ht="12.75" customHeight="1" x14ac:dyDescent="0.2">
      <c r="B47" s="1076" t="s">
        <v>1576</v>
      </c>
      <c r="C47" s="1076"/>
      <c r="D47" s="1204">
        <f>+G43/D45</f>
        <v>0.7581266290995663</v>
      </c>
      <c r="E47" s="1205"/>
      <c r="F47" s="1206"/>
      <c r="I47" s="1207"/>
    </row>
    <row r="48" spans="2:9" ht="9.9499999999999993" customHeight="1" x14ac:dyDescent="0.2"/>
    <row r="49" spans="1:9" x14ac:dyDescent="0.2">
      <c r="B49" s="1138" t="s">
        <v>1261</v>
      </c>
      <c r="C49" s="1058"/>
      <c r="D49" s="1058"/>
      <c r="E49" s="2608">
        <v>750000</v>
      </c>
      <c r="F49" s="2608"/>
      <c r="G49" s="2608"/>
      <c r="H49" s="300"/>
    </row>
    <row r="51" spans="1:9" ht="13.5" customHeight="1" x14ac:dyDescent="0.2">
      <c r="B51" s="1138" t="s">
        <v>1260</v>
      </c>
      <c r="C51" s="1058"/>
      <c r="E51" s="1194"/>
      <c r="F51" s="1076" t="s">
        <v>878</v>
      </c>
      <c r="G51" s="1194" t="s">
        <v>2054</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2" sqref="B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Beardstown CUSD 15</v>
      </c>
      <c r="C1" s="2588"/>
      <c r="D1" s="2588"/>
      <c r="E1" s="2588"/>
      <c r="F1" s="2588"/>
      <c r="G1" s="2588"/>
      <c r="H1" s="2588"/>
      <c r="I1" s="2588"/>
      <c r="J1" s="2588"/>
      <c r="K1" s="2588"/>
      <c r="L1" s="1144"/>
      <c r="M1" s="1144"/>
    </row>
    <row r="2" spans="1:13" ht="12" customHeight="1" x14ac:dyDescent="0.2">
      <c r="B2" s="2590">
        <f>'Single Audit Cover'!E7</f>
        <v>1009015026</v>
      </c>
      <c r="C2" s="2590"/>
      <c r="D2" s="2590"/>
      <c r="E2" s="2590"/>
      <c r="F2" s="2590"/>
      <c r="G2" s="2590"/>
      <c r="H2" s="2590"/>
      <c r="I2" s="2590"/>
      <c r="J2" s="2590"/>
      <c r="K2" s="2590"/>
      <c r="L2" s="1145"/>
      <c r="M2" s="1146"/>
    </row>
    <row r="3" spans="1:13" ht="10.35" customHeight="1" x14ac:dyDescent="0.2">
      <c r="B3" s="2611" t="s">
        <v>1273</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1284</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19" t="str">
        <f>'AFR20'!$E$2&amp;"-"</f>
        <v>2020-</v>
      </c>
      <c r="D10" s="1155" t="s">
        <v>2175</v>
      </c>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Beardstown CUSD 15</v>
      </c>
      <c r="C1" s="2615"/>
      <c r="D1" s="2615"/>
      <c r="E1" s="2615"/>
      <c r="F1" s="2615"/>
      <c r="G1" s="2615"/>
      <c r="H1" s="2615"/>
      <c r="I1" s="2615"/>
      <c r="J1" s="2615"/>
      <c r="K1" s="2615"/>
      <c r="L1" s="1221"/>
    </row>
    <row r="2" spans="1:12" ht="12.75" customHeight="1" x14ac:dyDescent="0.2">
      <c r="B2" s="2616">
        <f>'Single Audit Cover'!E7</f>
        <v>1009015026</v>
      </c>
      <c r="C2" s="2616"/>
      <c r="D2" s="2616"/>
      <c r="E2" s="2616"/>
      <c r="F2" s="2616"/>
      <c r="G2" s="2616"/>
      <c r="H2" s="2616"/>
      <c r="I2" s="2616"/>
      <c r="J2" s="2616"/>
      <c r="K2" s="2616"/>
      <c r="L2" s="1222"/>
    </row>
    <row r="3" spans="1:12" ht="12.75" customHeight="1" x14ac:dyDescent="0.2">
      <c r="B3" s="2611" t="s">
        <v>1273</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1158</v>
      </c>
      <c r="C5" s="1036"/>
      <c r="L5" s="300"/>
    </row>
    <row r="6" spans="1:12" ht="30.75" customHeight="1" x14ac:dyDescent="0.2">
      <c r="A6" s="300"/>
      <c r="B6" s="2617" t="s">
        <v>1296</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9" t="str">
        <f>'AFR20'!$E$2&amp;"-"</f>
        <v>2020-</v>
      </c>
      <c r="D8" s="1223">
        <v>1</v>
      </c>
      <c r="E8" s="300"/>
      <c r="F8" s="1154" t="s">
        <v>1283</v>
      </c>
      <c r="G8" s="1224"/>
      <c r="H8" s="1225" t="s">
        <v>1295</v>
      </c>
      <c r="I8" s="1224" t="s">
        <v>2054</v>
      </c>
      <c r="J8" s="1226" t="s">
        <v>1294</v>
      </c>
      <c r="L8" s="300"/>
    </row>
    <row r="9" spans="1:12" ht="13.5" customHeight="1" x14ac:dyDescent="0.2">
      <c r="D9" s="300"/>
      <c r="E9" s="300"/>
      <c r="F9" s="300"/>
      <c r="G9" s="1153"/>
      <c r="H9" s="300"/>
      <c r="I9" s="1227" t="s">
        <v>1280</v>
      </c>
      <c r="J9" s="300"/>
      <c r="K9" s="1228">
        <v>2018</v>
      </c>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5" t="s">
        <v>2173</v>
      </c>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8" t="s">
        <v>2120</v>
      </c>
      <c r="E14" s="2618"/>
      <c r="F14" s="2618"/>
      <c r="H14" s="1230" t="s">
        <v>1291</v>
      </c>
      <c r="I14" s="2619" t="s">
        <v>2119</v>
      </c>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9" t="s">
        <v>2176</v>
      </c>
      <c r="E16" s="2619"/>
      <c r="F16" s="2619"/>
      <c r="G16" s="2619"/>
      <c r="H16" s="2619"/>
      <c r="I16" s="2619"/>
      <c r="J16" s="2619"/>
      <c r="K16" s="2619"/>
      <c r="L16" s="300"/>
    </row>
    <row r="17" spans="2:12" ht="13.5" customHeight="1" x14ac:dyDescent="0.2">
      <c r="B17" s="1156" t="s">
        <v>1289</v>
      </c>
      <c r="C17" s="1156"/>
      <c r="D17" s="2620" t="s">
        <v>2177</v>
      </c>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10" t="s">
        <v>2178</v>
      </c>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10" t="s">
        <v>2179</v>
      </c>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10" t="s">
        <v>2198</v>
      </c>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10" t="s">
        <v>2180</v>
      </c>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10" t="s">
        <v>2183</v>
      </c>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10" t="s">
        <v>2181</v>
      </c>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10" t="s">
        <v>2184</v>
      </c>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10" t="s">
        <v>2182</v>
      </c>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FB118-5471-43C2-BDC9-7C6694C687F0}">
  <dimension ref="A1:L48"/>
  <sheetViews>
    <sheetView showGridLines="0" zoomScale="110" zoomScaleNormal="110" workbookViewId="0">
      <selection activeCell="B2" sqref="B2:K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Beardstown CUSD 15</v>
      </c>
      <c r="C1" s="2615"/>
      <c r="D1" s="2615"/>
      <c r="E1" s="2615"/>
      <c r="F1" s="2615"/>
      <c r="G1" s="2615"/>
      <c r="H1" s="2615"/>
      <c r="I1" s="2615"/>
      <c r="J1" s="2615"/>
      <c r="K1" s="2615"/>
      <c r="L1" s="1221"/>
    </row>
    <row r="2" spans="1:12" ht="12.75" customHeight="1" x14ac:dyDescent="0.2">
      <c r="B2" s="2616">
        <f>'Single Audit Cover'!E7</f>
        <v>1009015026</v>
      </c>
      <c r="C2" s="2616"/>
      <c r="D2" s="2616"/>
      <c r="E2" s="2616"/>
      <c r="F2" s="2616"/>
      <c r="G2" s="2616"/>
      <c r="H2" s="2616"/>
      <c r="I2" s="2616"/>
      <c r="J2" s="2616"/>
      <c r="K2" s="2616"/>
      <c r="L2" s="1222"/>
    </row>
    <row r="3" spans="1:12" ht="12.75" customHeight="1" x14ac:dyDescent="0.2">
      <c r="B3" s="2611" t="s">
        <v>1273</v>
      </c>
      <c r="C3" s="2611"/>
      <c r="D3" s="2611"/>
      <c r="E3" s="2611"/>
      <c r="F3" s="2611"/>
      <c r="G3" s="2611"/>
      <c r="H3" s="2611"/>
      <c r="I3" s="2611"/>
      <c r="J3" s="2611"/>
      <c r="K3" s="2611"/>
      <c r="L3" s="2037"/>
    </row>
    <row r="4" spans="1:12" ht="12.75" customHeight="1" x14ac:dyDescent="0.2">
      <c r="B4" s="2611" t="str">
        <f>'Single Audit Cover'!A4</f>
        <v>Year Ending June 30, 2020</v>
      </c>
      <c r="C4" s="2611"/>
      <c r="D4" s="2611"/>
      <c r="E4" s="2611"/>
      <c r="F4" s="2611"/>
      <c r="G4" s="2611"/>
      <c r="H4" s="2611"/>
      <c r="I4" s="2611"/>
      <c r="J4" s="2611"/>
      <c r="K4" s="2611"/>
      <c r="L4" s="2037"/>
    </row>
    <row r="5" spans="1:12" ht="5.25" customHeight="1" x14ac:dyDescent="0.2">
      <c r="B5" s="1036" t="s">
        <v>1158</v>
      </c>
      <c r="C5" s="1036"/>
      <c r="L5" s="300"/>
    </row>
    <row r="6" spans="1:12" ht="30.75" customHeight="1" x14ac:dyDescent="0.2">
      <c r="A6" s="300"/>
      <c r="B6" s="2617" t="s">
        <v>1296</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9" t="str">
        <f>'AFR20'!$E$2&amp;"-"</f>
        <v>2020-</v>
      </c>
      <c r="D8" s="1223">
        <v>2</v>
      </c>
      <c r="E8" s="300"/>
      <c r="F8" s="1154" t="s">
        <v>1283</v>
      </c>
      <c r="G8" s="1224" t="s">
        <v>2054</v>
      </c>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5" t="s">
        <v>2196</v>
      </c>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8" t="s">
        <v>2160</v>
      </c>
      <c r="E14" s="2618"/>
      <c r="F14" s="2618"/>
      <c r="H14" s="1230" t="s">
        <v>1291</v>
      </c>
      <c r="I14" s="2619" t="s">
        <v>2159</v>
      </c>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9" t="s">
        <v>2176</v>
      </c>
      <c r="E16" s="2619"/>
      <c r="F16" s="2619"/>
      <c r="G16" s="2619"/>
      <c r="H16" s="2619"/>
      <c r="I16" s="2619"/>
      <c r="J16" s="2619"/>
      <c r="K16" s="2619"/>
      <c r="L16" s="300"/>
    </row>
    <row r="17" spans="2:12" ht="13.5" customHeight="1" x14ac:dyDescent="0.2">
      <c r="B17" s="1156" t="s">
        <v>1289</v>
      </c>
      <c r="C17" s="1156"/>
      <c r="D17" s="2620" t="s">
        <v>2177</v>
      </c>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10" t="s">
        <v>2178</v>
      </c>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10" t="s">
        <v>2179</v>
      </c>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10" t="s">
        <v>2185</v>
      </c>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10" t="s">
        <v>2180</v>
      </c>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10" t="s">
        <v>2183</v>
      </c>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10" t="s">
        <v>2181</v>
      </c>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10" t="s">
        <v>2184</v>
      </c>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10" t="s">
        <v>2182</v>
      </c>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CFA09-BCEF-4A6D-8F0A-894BB3576B4B}">
  <dimension ref="A1:L48"/>
  <sheetViews>
    <sheetView showGridLines="0" topLeftCell="A4" zoomScale="110" zoomScaleNormal="110" workbookViewId="0">
      <selection activeCell="B4" sqref="B4:K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Beardstown CUSD 15</v>
      </c>
      <c r="C1" s="2615"/>
      <c r="D1" s="2615"/>
      <c r="E1" s="2615"/>
      <c r="F1" s="2615"/>
      <c r="G1" s="2615"/>
      <c r="H1" s="2615"/>
      <c r="I1" s="2615"/>
      <c r="J1" s="2615"/>
      <c r="K1" s="2615"/>
      <c r="L1" s="1221"/>
    </row>
    <row r="2" spans="1:12" ht="12.75" customHeight="1" x14ac:dyDescent="0.2">
      <c r="B2" s="2616">
        <f>'Single Audit Cover'!E7</f>
        <v>1009015026</v>
      </c>
      <c r="C2" s="2616"/>
      <c r="D2" s="2616"/>
      <c r="E2" s="2616"/>
      <c r="F2" s="2616"/>
      <c r="G2" s="2616"/>
      <c r="H2" s="2616"/>
      <c r="I2" s="2616"/>
      <c r="J2" s="2616"/>
      <c r="K2" s="2616"/>
      <c r="L2" s="1222"/>
    </row>
    <row r="3" spans="1:12" ht="12.75" customHeight="1" x14ac:dyDescent="0.2">
      <c r="B3" s="2611" t="s">
        <v>1273</v>
      </c>
      <c r="C3" s="2611"/>
      <c r="D3" s="2611"/>
      <c r="E3" s="2611"/>
      <c r="F3" s="2611"/>
      <c r="G3" s="2611"/>
      <c r="H3" s="2611"/>
      <c r="I3" s="2611"/>
      <c r="J3" s="2611"/>
      <c r="K3" s="2611"/>
      <c r="L3" s="2038"/>
    </row>
    <row r="4" spans="1:12" ht="12.75" customHeight="1" x14ac:dyDescent="0.2">
      <c r="B4" s="2611" t="str">
        <f>'Single Audit Cover'!A4</f>
        <v>Year Ending June 30, 2020</v>
      </c>
      <c r="C4" s="2611"/>
      <c r="D4" s="2611"/>
      <c r="E4" s="2611"/>
      <c r="F4" s="2611"/>
      <c r="G4" s="2611"/>
      <c r="H4" s="2611"/>
      <c r="I4" s="2611"/>
      <c r="J4" s="2611"/>
      <c r="K4" s="2611"/>
      <c r="L4" s="2038"/>
    </row>
    <row r="5" spans="1:12" ht="5.25" customHeight="1" x14ac:dyDescent="0.2">
      <c r="B5" s="1036" t="s">
        <v>1158</v>
      </c>
      <c r="C5" s="1036"/>
      <c r="L5" s="300"/>
    </row>
    <row r="6" spans="1:12" ht="30.75" customHeight="1" x14ac:dyDescent="0.2">
      <c r="A6" s="300"/>
      <c r="B6" s="2617" t="s">
        <v>1296</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9" t="str">
        <f>'AFR20'!$E$2&amp;"-"</f>
        <v>2020-</v>
      </c>
      <c r="D8" s="1223">
        <v>3</v>
      </c>
      <c r="E8" s="300"/>
      <c r="F8" s="1154" t="s">
        <v>1283</v>
      </c>
      <c r="G8" s="1224" t="s">
        <v>2054</v>
      </c>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5" t="s">
        <v>2197</v>
      </c>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8" t="s">
        <v>2143</v>
      </c>
      <c r="E14" s="2618"/>
      <c r="F14" s="2618"/>
      <c r="H14" s="1230" t="s">
        <v>1291</v>
      </c>
      <c r="I14" s="2619" t="s">
        <v>2139</v>
      </c>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9" t="s">
        <v>2176</v>
      </c>
      <c r="E16" s="2619"/>
      <c r="F16" s="2619"/>
      <c r="G16" s="2619"/>
      <c r="H16" s="2619"/>
      <c r="I16" s="2619"/>
      <c r="J16" s="2619"/>
      <c r="K16" s="2619"/>
      <c r="L16" s="300"/>
    </row>
    <row r="17" spans="2:12" ht="13.5" customHeight="1" x14ac:dyDescent="0.2">
      <c r="B17" s="1156" t="s">
        <v>1289</v>
      </c>
      <c r="C17" s="1156"/>
      <c r="D17" s="2620" t="s">
        <v>2177</v>
      </c>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10" t="s">
        <v>2178</v>
      </c>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10" t="s">
        <v>2179</v>
      </c>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10" t="s">
        <v>2199</v>
      </c>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10" t="s">
        <v>2180</v>
      </c>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10" t="s">
        <v>2183</v>
      </c>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10" t="s">
        <v>2181</v>
      </c>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10" t="s">
        <v>2184</v>
      </c>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10" t="s">
        <v>2182</v>
      </c>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45-2</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E32E8-B012-41B2-86DA-ABE5F803C2D3}">
  <dimension ref="A1:L48"/>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Beardstown CUSD 15</v>
      </c>
      <c r="C1" s="2615"/>
      <c r="D1" s="2615"/>
      <c r="E1" s="2615"/>
      <c r="F1" s="2615"/>
      <c r="G1" s="2615"/>
      <c r="H1" s="2615"/>
      <c r="I1" s="2615"/>
      <c r="J1" s="2615"/>
      <c r="K1" s="2615"/>
      <c r="L1" s="1221"/>
    </row>
    <row r="2" spans="1:12" ht="12.75" customHeight="1" x14ac:dyDescent="0.2">
      <c r="B2" s="2616">
        <f>'Single Audit Cover'!E7</f>
        <v>1009015026</v>
      </c>
      <c r="C2" s="2616"/>
      <c r="D2" s="2616"/>
      <c r="E2" s="2616"/>
      <c r="F2" s="2616"/>
      <c r="G2" s="2616"/>
      <c r="H2" s="2616"/>
      <c r="I2" s="2616"/>
      <c r="J2" s="2616"/>
      <c r="K2" s="2616"/>
      <c r="L2" s="1222"/>
    </row>
    <row r="3" spans="1:12" ht="12.75" customHeight="1" x14ac:dyDescent="0.2">
      <c r="B3" s="2611" t="s">
        <v>1273</v>
      </c>
      <c r="C3" s="2611"/>
      <c r="D3" s="2611"/>
      <c r="E3" s="2611"/>
      <c r="F3" s="2611"/>
      <c r="G3" s="2611"/>
      <c r="H3" s="2611"/>
      <c r="I3" s="2611"/>
      <c r="J3" s="2611"/>
      <c r="K3" s="2611"/>
      <c r="L3" s="2037"/>
    </row>
    <row r="4" spans="1:12" ht="12.75" customHeight="1" x14ac:dyDescent="0.2">
      <c r="B4" s="2611" t="str">
        <f>'Single Audit Cover'!A4</f>
        <v>Year Ending June 30, 2020</v>
      </c>
      <c r="C4" s="2611"/>
      <c r="D4" s="2611"/>
      <c r="E4" s="2611"/>
      <c r="F4" s="2611"/>
      <c r="G4" s="2611"/>
      <c r="H4" s="2611"/>
      <c r="I4" s="2611"/>
      <c r="J4" s="2611"/>
      <c r="K4" s="2611"/>
      <c r="L4" s="2037"/>
    </row>
    <row r="5" spans="1:12" ht="5.25" customHeight="1" x14ac:dyDescent="0.2">
      <c r="B5" s="1036" t="s">
        <v>1158</v>
      </c>
      <c r="C5" s="1036"/>
      <c r="L5" s="300"/>
    </row>
    <row r="6" spans="1:12" ht="30.75" customHeight="1" x14ac:dyDescent="0.2">
      <c r="A6" s="300"/>
      <c r="B6" s="2617" t="s">
        <v>1296</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9" t="str">
        <f>'AFR20'!$E$2&amp;"-"</f>
        <v>2020-</v>
      </c>
      <c r="D8" s="1223">
        <v>4</v>
      </c>
      <c r="E8" s="300"/>
      <c r="F8" s="1154" t="s">
        <v>1283</v>
      </c>
      <c r="G8" s="1224"/>
      <c r="H8" s="1225" t="s">
        <v>1295</v>
      </c>
      <c r="I8" s="1224" t="s">
        <v>2054</v>
      </c>
      <c r="J8" s="1226" t="s">
        <v>1294</v>
      </c>
      <c r="L8" s="300"/>
    </row>
    <row r="9" spans="1:12" ht="13.5" customHeight="1" x14ac:dyDescent="0.2">
      <c r="D9" s="300"/>
      <c r="E9" s="300"/>
      <c r="F9" s="300"/>
      <c r="G9" s="1153"/>
      <c r="H9" s="300"/>
      <c r="I9" s="1227" t="s">
        <v>1280</v>
      </c>
      <c r="J9" s="300"/>
      <c r="K9" s="1228">
        <v>2019</v>
      </c>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5" t="s">
        <v>2173</v>
      </c>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8" t="s">
        <v>2186</v>
      </c>
      <c r="E14" s="2618"/>
      <c r="F14" s="2618"/>
      <c r="H14" s="1230" t="s">
        <v>1291</v>
      </c>
      <c r="I14" s="2619" t="s">
        <v>2119</v>
      </c>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9" t="s">
        <v>2176</v>
      </c>
      <c r="E16" s="2619"/>
      <c r="F16" s="2619"/>
      <c r="G16" s="2619"/>
      <c r="H16" s="2619"/>
      <c r="I16" s="2619"/>
      <c r="J16" s="2619"/>
      <c r="K16" s="2619"/>
      <c r="L16" s="300"/>
    </row>
    <row r="17" spans="2:12" ht="13.5" customHeight="1" x14ac:dyDescent="0.2">
      <c r="B17" s="1156" t="s">
        <v>1289</v>
      </c>
      <c r="C17" s="1156"/>
      <c r="D17" s="2620" t="s">
        <v>2177</v>
      </c>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10" t="s">
        <v>2187</v>
      </c>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10" t="s">
        <v>2188</v>
      </c>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10" t="s">
        <v>2175</v>
      </c>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10" t="s">
        <v>2189</v>
      </c>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10" t="s">
        <v>2190</v>
      </c>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10" t="s">
        <v>2191</v>
      </c>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10" t="s">
        <v>2192</v>
      </c>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10" t="s">
        <v>2182</v>
      </c>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Beardstown CUSD 15</v>
      </c>
      <c r="C1" s="2588"/>
      <c r="D1" s="2588"/>
      <c r="E1" s="1240"/>
    </row>
    <row r="2" spans="2:5" s="1058" customFormat="1" ht="12.75" customHeight="1" x14ac:dyDescent="0.2">
      <c r="B2" s="2590">
        <f>'Single Audit Cover'!E7</f>
        <v>1009015026</v>
      </c>
      <c r="C2" s="2590"/>
      <c r="D2" s="2590"/>
      <c r="E2" s="1241"/>
    </row>
    <row r="3" spans="2:5" ht="12.75" customHeight="1" x14ac:dyDescent="0.2">
      <c r="B3" s="2611" t="s">
        <v>1739</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t="s">
        <v>2193</v>
      </c>
      <c r="C7" s="302" t="s">
        <v>2204</v>
      </c>
      <c r="D7" s="302" t="s">
        <v>2203</v>
      </c>
      <c r="E7" s="302"/>
    </row>
    <row r="8" spans="2:5" ht="13.5" customHeight="1" x14ac:dyDescent="0.2">
      <c r="B8" s="1245"/>
      <c r="C8" s="302"/>
      <c r="D8" s="302"/>
      <c r="E8" s="302"/>
    </row>
    <row r="9" spans="2:5" ht="13.5" customHeight="1" x14ac:dyDescent="0.2">
      <c r="B9" s="1246" t="s">
        <v>2194</v>
      </c>
      <c r="C9" s="301" t="s">
        <v>2200</v>
      </c>
      <c r="D9" s="301" t="s">
        <v>2201</v>
      </c>
      <c r="E9" s="301"/>
    </row>
    <row r="10" spans="2:5" ht="13.5" customHeight="1" x14ac:dyDescent="0.2">
      <c r="B10" s="1245"/>
      <c r="C10" s="301"/>
      <c r="D10" s="301"/>
      <c r="E10" s="301"/>
    </row>
    <row r="11" spans="2:5" ht="13.5" customHeight="1" x14ac:dyDescent="0.2">
      <c r="B11" s="1245" t="s">
        <v>2195</v>
      </c>
      <c r="C11" s="301" t="s">
        <v>2202</v>
      </c>
      <c r="D11" s="301" t="s">
        <v>2203</v>
      </c>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382</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68407717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1.8208499999999999E-2</v>
      </c>
      <c r="E10" s="333" t="s">
        <v>997</v>
      </c>
      <c r="F10" s="332">
        <v>7.8274E-3</v>
      </c>
      <c r="G10" s="333" t="s">
        <v>997</v>
      </c>
      <c r="H10" s="332">
        <v>1.9792999999999998E-3</v>
      </c>
      <c r="I10" s="333" t="s">
        <v>998</v>
      </c>
      <c r="J10" s="1424">
        <f>ROUND(D10+F10+H10,5)</f>
        <v>2.802E-2</v>
      </c>
      <c r="K10" s="217"/>
      <c r="L10" s="332"/>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16137073</v>
      </c>
      <c r="E16" s="1547"/>
      <c r="F16" s="1546">
        <f>SUM('Acct Summary 7-8'!C17,'Acct Summary 7-8'!D17,'Acct Summary 7-8'!F17)</f>
        <v>13188843</v>
      </c>
      <c r="G16" s="1547"/>
      <c r="H16" s="1546">
        <f>SUM(D16-F16)</f>
        <v>2948230</v>
      </c>
      <c r="I16" s="1548"/>
      <c r="J16" s="1546">
        <f>SUM('Acct Summary 7-8'!C81,'Acct Summary 7-8'!D81,'Acct Summary 7-8'!F81,'Acct Summary 7-8'!I81)</f>
        <v>13704427</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9440264.9460000005</v>
      </c>
      <c r="I31" s="345"/>
      <c r="J31" s="217"/>
      <c r="K31" s="217"/>
      <c r="L31" s="217"/>
      <c r="M31" s="217"/>
    </row>
    <row r="32" spans="1:13" ht="13.35" customHeight="1" x14ac:dyDescent="0.2">
      <c r="B32" s="346" t="s">
        <v>2054</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1544717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1" sqref="D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551</v>
      </c>
      <c r="B2" s="2210"/>
      <c r="C2" s="2210"/>
      <c r="D2" s="2210"/>
      <c r="E2" s="2210"/>
      <c r="F2" s="2210"/>
      <c r="G2" s="2210"/>
      <c r="H2" s="2210"/>
      <c r="I2" s="2210"/>
      <c r="J2" s="2210"/>
      <c r="K2" s="2210"/>
      <c r="L2" s="2210"/>
      <c r="M2" s="2210"/>
      <c r="N2" s="2210"/>
      <c r="O2" s="2210"/>
      <c r="P2" s="2210"/>
      <c r="Q2" s="2210"/>
      <c r="R2" s="2210"/>
    </row>
    <row r="3" spans="1:18" ht="12.75" x14ac:dyDescent="0.2">
      <c r="A3" s="2211" t="s">
        <v>1395</v>
      </c>
      <c r="B3" s="2211"/>
      <c r="C3" s="2211"/>
      <c r="D3" s="2211"/>
      <c r="E3" s="2211"/>
      <c r="F3" s="2211"/>
      <c r="G3" s="2211"/>
      <c r="H3" s="2211"/>
      <c r="I3" s="2211"/>
      <c r="J3" s="2211"/>
      <c r="K3" s="2211"/>
      <c r="L3" s="2211"/>
      <c r="M3" s="2211"/>
      <c r="N3" s="2211"/>
      <c r="O3" s="2211"/>
      <c r="P3" s="2211"/>
      <c r="Q3" s="2211"/>
      <c r="R3" s="2211"/>
    </row>
    <row r="4" spans="1:18" x14ac:dyDescent="0.2">
      <c r="A4" s="2212" t="s">
        <v>1536</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Beardstown CUSD 15</v>
      </c>
      <c r="E7" s="368"/>
      <c r="G7" s="247"/>
      <c r="H7" s="364"/>
      <c r="I7" s="364"/>
      <c r="J7" s="364"/>
      <c r="K7" s="364"/>
      <c r="L7" s="307"/>
      <c r="M7" s="307"/>
      <c r="N7" s="307"/>
      <c r="O7" s="307"/>
      <c r="P7" s="307"/>
    </row>
    <row r="8" spans="1:18" ht="12.75" x14ac:dyDescent="0.2">
      <c r="A8" s="307"/>
      <c r="B8" s="307"/>
      <c r="C8" s="366" t="s">
        <v>1114</v>
      </c>
      <c r="D8" s="369">
        <f>COVER!A13</f>
        <v>1009015026</v>
      </c>
      <c r="E8" s="370"/>
      <c r="G8" s="307"/>
      <c r="H8" s="307"/>
      <c r="I8" s="307"/>
      <c r="J8" s="307"/>
      <c r="K8" s="307"/>
      <c r="L8" s="307"/>
      <c r="M8" s="307"/>
      <c r="N8" s="307"/>
      <c r="O8" s="307"/>
      <c r="P8" s="307"/>
    </row>
    <row r="9" spans="1:18" ht="12.75" x14ac:dyDescent="0.2">
      <c r="A9" s="307"/>
      <c r="B9" s="307"/>
      <c r="C9" s="366" t="s">
        <v>707</v>
      </c>
      <c r="D9" s="371" t="str">
        <f>COVER!A15</f>
        <v>Cass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13704427</v>
      </c>
      <c r="I12" s="380"/>
      <c r="J12" s="380"/>
      <c r="K12" s="1559">
        <f>TRUNC((H12/H13*100000),5)/100000</f>
        <v>0.84925110019999994</v>
      </c>
      <c r="L12" s="381"/>
      <c r="M12" s="337" t="s">
        <v>1133</v>
      </c>
      <c r="N12" s="337"/>
      <c r="O12" s="1562">
        <v>0.35</v>
      </c>
      <c r="P12" s="213"/>
      <c r="Q12" s="213"/>
    </row>
    <row r="13" spans="1:18" s="382" customFormat="1" ht="12.75" x14ac:dyDescent="0.2">
      <c r="A13" s="213"/>
      <c r="B13" s="377"/>
      <c r="C13" s="2208" t="s">
        <v>1312</v>
      </c>
      <c r="D13" s="2209"/>
      <c r="E13" s="213"/>
      <c r="F13" s="383" t="s">
        <v>787</v>
      </c>
      <c r="G13" s="378"/>
      <c r="H13" s="1551">
        <f>SUM('Acct Summary 7-8'!C8+'Acct Summary 7-8'!D8+'Acct Summary 7-8'!F8+'Acct Summary 7-8'!I8)+H14</f>
        <v>16137073</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13188843</v>
      </c>
      <c r="I17" s="380"/>
      <c r="J17" s="389"/>
      <c r="K17" s="1559">
        <f>TRUNC((H17/H18*100000),5)/100000</f>
        <v>0.81730082020000006</v>
      </c>
      <c r="L17" s="381"/>
      <c r="M17" s="390" t="s">
        <v>1160</v>
      </c>
      <c r="O17" s="1565" t="str">
        <f>IF(AND(O16="2", J20 &gt; 2),"1",IF(AND(O16 = "1", J20 &gt; 2),"2",IF(AND(O16="1", J20 &gt;1),"1","0")))</f>
        <v>0</v>
      </c>
      <c r="P17" s="213"/>
    </row>
    <row r="18" spans="1:18" s="382" customFormat="1" ht="11.25" x14ac:dyDescent="0.2">
      <c r="A18" s="213"/>
      <c r="B18" s="377"/>
      <c r="C18" s="2208" t="s">
        <v>1305</v>
      </c>
      <c r="D18" s="2209"/>
      <c r="E18" s="213"/>
      <c r="F18" s="391" t="s">
        <v>788</v>
      </c>
      <c r="G18" s="378"/>
      <c r="H18" s="1551">
        <f>SUM('Acct Summary 7-8'!C8+'Acct Summary 7-8'!D8+'Acct Summary 7-8'!F8+'Acct Summary 7-8'!I8)+H19</f>
        <v>16137073</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05" t="s">
        <v>1394</v>
      </c>
      <c r="D24" s="2205"/>
      <c r="E24" s="213"/>
      <c r="F24" s="213" t="s">
        <v>441</v>
      </c>
      <c r="G24" s="378"/>
      <c r="H24" s="1551">
        <f>SUM('Assets-Liab 5-6'!C4+'Assets-Liab 5-6'!D4+'Assets-Liab 5-6'!F4+'Assets-Liab 5-6'!I4+'Assets-Liab 5-6'!C5+'Assets-Liab 5-6'!D5+'Assets-Liab 5-6'!F5+'Assets-Liab 5-6'!I5)</f>
        <v>13726724</v>
      </c>
      <c r="I24" s="394"/>
      <c r="J24" s="394"/>
      <c r="K24" s="1555">
        <f>TRUNC(((H24/H25*100000)/100000),2)</f>
        <v>374.68</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36635.675000000003</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1629266.5957899999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1544717</v>
      </c>
      <c r="I32" s="392"/>
      <c r="J32" s="392"/>
      <c r="K32" s="1555">
        <f>TRUNC(100-((((H32/H33*100))*100)/100),2)</f>
        <v>83.63</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9440264.9460000005</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23" sqref="T23:W23"/>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4"/>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5" t="s">
        <v>966</v>
      </c>
      <c r="B3" s="2216"/>
      <c r="C3" s="1306"/>
      <c r="D3" s="1307"/>
      <c r="E3" s="1307"/>
      <c r="F3" s="1307"/>
      <c r="G3" s="1307"/>
      <c r="H3" s="1307"/>
      <c r="I3" s="1307"/>
      <c r="J3" s="1307"/>
      <c r="K3" s="1307"/>
      <c r="L3" s="1307"/>
      <c r="M3" s="1308"/>
      <c r="N3" s="1309"/>
    </row>
    <row r="4" spans="1:14" ht="13.5" customHeight="1" x14ac:dyDescent="0.2">
      <c r="A4" s="427" t="s">
        <v>1631</v>
      </c>
      <c r="B4" s="428"/>
      <c r="C4" s="1572">
        <v>8132503</v>
      </c>
      <c r="D4" s="1573">
        <v>1370287</v>
      </c>
      <c r="E4" s="1573">
        <v>1069957</v>
      </c>
      <c r="F4" s="1573">
        <v>1365978</v>
      </c>
      <c r="G4" s="1573">
        <v>968897</v>
      </c>
      <c r="H4" s="1573">
        <v>5795</v>
      </c>
      <c r="I4" s="1573"/>
      <c r="J4" s="1574">
        <v>942211</v>
      </c>
      <c r="K4" s="1573">
        <v>811912</v>
      </c>
      <c r="L4" s="1573">
        <v>390948</v>
      </c>
      <c r="M4" s="1575"/>
      <c r="N4" s="1576"/>
    </row>
    <row r="5" spans="1:14" x14ac:dyDescent="0.2">
      <c r="A5" s="427" t="s">
        <v>984</v>
      </c>
      <c r="B5" s="429">
        <v>120</v>
      </c>
      <c r="C5" s="1572">
        <v>1843670</v>
      </c>
      <c r="D5" s="1573">
        <v>200000</v>
      </c>
      <c r="E5" s="1573"/>
      <c r="F5" s="1573"/>
      <c r="G5" s="1573"/>
      <c r="H5" s="1573"/>
      <c r="I5" s="1573">
        <v>814286</v>
      </c>
      <c r="J5" s="1574"/>
      <c r="K5" s="1577"/>
      <c r="L5" s="1578"/>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v>46833</v>
      </c>
      <c r="G7" s="1574">
        <v>10248</v>
      </c>
      <c r="H7" s="1574"/>
      <c r="I7" s="1574"/>
      <c r="J7" s="1574">
        <v>18254</v>
      </c>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v>9678</v>
      </c>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9985851</v>
      </c>
      <c r="D13" s="1587">
        <f t="shared" ref="D13:L13" si="0">SUM(D4:D12)</f>
        <v>1570287</v>
      </c>
      <c r="E13" s="1587">
        <f t="shared" si="0"/>
        <v>1069957</v>
      </c>
      <c r="F13" s="1587">
        <f t="shared" si="0"/>
        <v>1412811</v>
      </c>
      <c r="G13" s="1587">
        <f t="shared" si="0"/>
        <v>979145</v>
      </c>
      <c r="H13" s="1587">
        <f t="shared" si="0"/>
        <v>5795</v>
      </c>
      <c r="I13" s="1587">
        <f t="shared" si="0"/>
        <v>814286</v>
      </c>
      <c r="J13" s="1587">
        <f t="shared" si="0"/>
        <v>960465</v>
      </c>
      <c r="K13" s="1587">
        <f t="shared" si="0"/>
        <v>811912</v>
      </c>
      <c r="L13" s="1587">
        <f t="shared" si="0"/>
        <v>390948</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142942</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33393949</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279328</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2333866</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1069957</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474760</v>
      </c>
    </row>
    <row r="23" spans="1:14" ht="13.5" customHeight="1" thickBot="1" x14ac:dyDescent="0.25">
      <c r="A23" s="1426" t="s">
        <v>637</v>
      </c>
      <c r="B23" s="1429"/>
      <c r="C23" s="1575"/>
      <c r="D23" s="1575"/>
      <c r="E23" s="1575"/>
      <c r="F23" s="1575"/>
      <c r="G23" s="1575"/>
      <c r="H23" s="1575"/>
      <c r="I23" s="1575"/>
      <c r="J23" s="1575"/>
      <c r="K23" s="1575"/>
      <c r="L23" s="1575"/>
      <c r="M23" s="1594">
        <f>SUM(M15:M22)</f>
        <v>36150085</v>
      </c>
      <c r="N23" s="1594">
        <f>SUM(N21:N22)</f>
        <v>1544717</v>
      </c>
    </row>
    <row r="24" spans="1:14" ht="18" customHeight="1" thickTop="1" x14ac:dyDescent="0.2">
      <c r="A24" s="2219" t="s">
        <v>593</v>
      </c>
      <c r="B24" s="2220"/>
      <c r="C24" s="1595"/>
      <c r="D24" s="1590"/>
      <c r="E24" s="1590"/>
      <c r="F24" s="1590"/>
      <c r="G24" s="1590"/>
      <c r="H24" s="1590"/>
      <c r="I24" s="1590"/>
      <c r="J24" s="1590"/>
      <c r="K24" s="1590"/>
      <c r="L24" s="1590"/>
      <c r="M24" s="1589"/>
      <c r="N24" s="1596"/>
    </row>
    <row r="25" spans="1:14" x14ac:dyDescent="0.2">
      <c r="A25" s="430" t="s">
        <v>639</v>
      </c>
      <c r="B25" s="429">
        <v>410</v>
      </c>
      <c r="C25" s="1583">
        <v>75335</v>
      </c>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v>3473</v>
      </c>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223938</v>
      </c>
      <c r="M33" s="1575"/>
      <c r="N33" s="1576"/>
    </row>
    <row r="34" spans="1:14" ht="13.5" customHeight="1" thickBot="1" x14ac:dyDescent="0.25">
      <c r="A34" s="1427" t="s">
        <v>648</v>
      </c>
      <c r="B34" s="1428"/>
      <c r="C34" s="1600">
        <f>SUM(C25:C33)</f>
        <v>78808</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223938</v>
      </c>
      <c r="M34" s="1575"/>
      <c r="N34" s="1585"/>
    </row>
    <row r="35" spans="1:14" ht="18" customHeight="1" thickTop="1" x14ac:dyDescent="0.2">
      <c r="A35" s="2221" t="s">
        <v>525</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1544717</v>
      </c>
    </row>
    <row r="37" spans="1:14" ht="13.5" thickBot="1" x14ac:dyDescent="0.25">
      <c r="A37" s="1426" t="s">
        <v>647</v>
      </c>
      <c r="B37" s="1429"/>
      <c r="C37" s="1582"/>
      <c r="D37" s="1582"/>
      <c r="E37" s="1582"/>
      <c r="F37" s="1582"/>
      <c r="G37" s="1582"/>
      <c r="H37" s="1582"/>
      <c r="I37" s="1582"/>
      <c r="J37" s="1582"/>
      <c r="K37" s="1582"/>
      <c r="L37" s="1585"/>
      <c r="M37" s="1575"/>
      <c r="N37" s="1594">
        <f>SUM(N36:N36)</f>
        <v>1544717</v>
      </c>
    </row>
    <row r="38" spans="1:14" s="307" customFormat="1" ht="13.5" customHeight="1" thickTop="1" x14ac:dyDescent="0.2">
      <c r="A38" s="438" t="s">
        <v>416</v>
      </c>
      <c r="B38" s="432">
        <v>714</v>
      </c>
      <c r="C38" s="1573">
        <v>112404</v>
      </c>
      <c r="D38" s="1573"/>
      <c r="E38" s="1573">
        <v>1069957</v>
      </c>
      <c r="F38" s="1573"/>
      <c r="G38" s="1573"/>
      <c r="H38" s="1573"/>
      <c r="I38" s="1573"/>
      <c r="J38" s="1574"/>
      <c r="K38" s="1573">
        <v>787806</v>
      </c>
      <c r="L38" s="1586">
        <v>167010</v>
      </c>
      <c r="M38" s="1604"/>
      <c r="N38" s="1604"/>
    </row>
    <row r="39" spans="1:14" s="307" customFormat="1" ht="13.5" customHeight="1" x14ac:dyDescent="0.2">
      <c r="A39" s="438" t="s">
        <v>338</v>
      </c>
      <c r="B39" s="432">
        <v>730</v>
      </c>
      <c r="C39" s="1573">
        <v>9794639</v>
      </c>
      <c r="D39" s="1573">
        <v>1570287</v>
      </c>
      <c r="E39" s="1573"/>
      <c r="F39" s="1573">
        <v>1412811</v>
      </c>
      <c r="G39" s="1573">
        <v>979145</v>
      </c>
      <c r="H39" s="1573">
        <v>5795</v>
      </c>
      <c r="I39" s="1573">
        <v>814286</v>
      </c>
      <c r="J39" s="1574">
        <v>960465</v>
      </c>
      <c r="K39" s="1573">
        <v>24106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36150085</v>
      </c>
      <c r="N40" s="1604"/>
    </row>
    <row r="41" spans="1:14" ht="13.5" customHeight="1" thickBot="1" x14ac:dyDescent="0.25">
      <c r="A41" s="1426" t="s">
        <v>649</v>
      </c>
      <c r="B41" s="1405"/>
      <c r="C41" s="1594">
        <f>(SUM(C34,C37,C38,C39))</f>
        <v>9985851</v>
      </c>
      <c r="D41" s="1594">
        <f t="shared" ref="D41:L41" si="2">SUM(D34,D37,D38:D39)</f>
        <v>1570287</v>
      </c>
      <c r="E41" s="1594">
        <f t="shared" si="2"/>
        <v>1069957</v>
      </c>
      <c r="F41" s="1594">
        <f t="shared" si="2"/>
        <v>1412811</v>
      </c>
      <c r="G41" s="1594">
        <f t="shared" si="2"/>
        <v>979145</v>
      </c>
      <c r="H41" s="1594">
        <f t="shared" si="2"/>
        <v>5795</v>
      </c>
      <c r="I41" s="1594">
        <f t="shared" si="2"/>
        <v>814286</v>
      </c>
      <c r="J41" s="1594">
        <f t="shared" si="2"/>
        <v>960465</v>
      </c>
      <c r="K41" s="1594">
        <f t="shared" si="2"/>
        <v>811912</v>
      </c>
      <c r="L41" s="1594">
        <f t="shared" si="2"/>
        <v>390948</v>
      </c>
      <c r="M41" s="1594">
        <f>SUM(M40)</f>
        <v>36150085</v>
      </c>
      <c r="N41" s="1594">
        <f>SUM(N37)</f>
        <v>1544717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23" sqref="T23:W23"/>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2"/>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3" t="s">
        <v>1164</v>
      </c>
      <c r="B3" s="2244"/>
      <c r="C3" s="1311"/>
      <c r="D3" s="1312"/>
      <c r="E3" s="1312"/>
      <c r="F3" s="1312"/>
      <c r="G3" s="1312"/>
      <c r="H3" s="1312"/>
      <c r="I3" s="1312"/>
      <c r="J3" s="1312"/>
      <c r="K3" s="1313"/>
      <c r="L3" s="446"/>
    </row>
    <row r="4" spans="1:13" ht="15.75" customHeight="1" x14ac:dyDescent="0.2">
      <c r="A4" s="1537" t="s">
        <v>1481</v>
      </c>
      <c r="B4" s="1538">
        <v>1000</v>
      </c>
      <c r="C4" s="1606">
        <f>'Revenues 9-14'!C109</f>
        <v>1462478</v>
      </c>
      <c r="D4" s="1606">
        <f>'Revenues 9-14'!D109</f>
        <v>441934</v>
      </c>
      <c r="E4" s="1606">
        <f>'Revenues 9-14'!E109</f>
        <v>792851</v>
      </c>
      <c r="F4" s="1606">
        <f>'Revenues 9-14'!F109</f>
        <v>259879</v>
      </c>
      <c r="G4" s="1606">
        <f>'Revenues 9-14'!G109</f>
        <v>543048</v>
      </c>
      <c r="H4" s="1606">
        <f>'Revenues 9-14'!H109</f>
        <v>815</v>
      </c>
      <c r="I4" s="1606">
        <f>'Revenues 9-14'!I109</f>
        <v>2326</v>
      </c>
      <c r="J4" s="1606">
        <f>'Revenues 9-14'!J109</f>
        <v>494512</v>
      </c>
      <c r="K4" s="1606">
        <f>'Revenues 9-14'!K109</f>
        <v>52818</v>
      </c>
      <c r="L4" s="325"/>
    </row>
    <row r="5" spans="1:13" ht="15.75" customHeight="1" x14ac:dyDescent="0.2">
      <c r="A5" s="1314" t="s">
        <v>1482</v>
      </c>
      <c r="B5" s="1315">
        <v>2000</v>
      </c>
      <c r="C5" s="1607">
        <f>'Revenues 9-14'!C114</f>
        <v>7296</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11482618</v>
      </c>
      <c r="D6" s="1607">
        <f>'Revenues 9-14'!D170</f>
        <v>225000</v>
      </c>
      <c r="E6" s="1607">
        <f>'Revenues 9-14'!E170</f>
        <v>0</v>
      </c>
      <c r="F6" s="1607">
        <f>'Revenues 9-14'!F170</f>
        <v>340486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1915056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14867448</v>
      </c>
      <c r="D8" s="1594">
        <f t="shared" ref="D8:K8" si="0">SUM(D4:D7)</f>
        <v>666934</v>
      </c>
      <c r="E8" s="1594">
        <f t="shared" si="0"/>
        <v>792851</v>
      </c>
      <c r="F8" s="1594">
        <f t="shared" si="0"/>
        <v>600365</v>
      </c>
      <c r="G8" s="1594">
        <f t="shared" si="0"/>
        <v>543048</v>
      </c>
      <c r="H8" s="1594">
        <f t="shared" si="0"/>
        <v>815</v>
      </c>
      <c r="I8" s="1594">
        <f t="shared" si="0"/>
        <v>2326</v>
      </c>
      <c r="J8" s="1594">
        <f t="shared" si="0"/>
        <v>494512</v>
      </c>
      <c r="K8" s="1594">
        <f t="shared" si="0"/>
        <v>52818</v>
      </c>
      <c r="L8" s="325"/>
    </row>
    <row r="9" spans="1:13" ht="15.75" thickTop="1" x14ac:dyDescent="0.2">
      <c r="A9" s="449" t="s">
        <v>1633</v>
      </c>
      <c r="B9" s="450">
        <v>3998</v>
      </c>
      <c r="C9" s="1586">
        <v>4604608</v>
      </c>
      <c r="D9" s="1613"/>
      <c r="E9" s="1586"/>
      <c r="F9" s="1586"/>
      <c r="G9" s="1614"/>
      <c r="H9" s="1586"/>
      <c r="I9" s="1609" t="s">
        <v>1158</v>
      </c>
      <c r="J9" s="1583"/>
      <c r="K9" s="1586"/>
      <c r="L9" s="325"/>
    </row>
    <row r="10" spans="1:13" s="452" customFormat="1" ht="13.5" thickBot="1" x14ac:dyDescent="0.25">
      <c r="A10" s="1426" t="s">
        <v>1162</v>
      </c>
      <c r="B10" s="1407"/>
      <c r="C10" s="1594">
        <f>SUM(C8:C9)</f>
        <v>19472056</v>
      </c>
      <c r="D10" s="1594">
        <f t="shared" ref="D10:K10" si="1">SUM(D8:D9)</f>
        <v>666934</v>
      </c>
      <c r="E10" s="1594">
        <f t="shared" si="1"/>
        <v>792851</v>
      </c>
      <c r="F10" s="1594">
        <f t="shared" si="1"/>
        <v>600365</v>
      </c>
      <c r="G10" s="1594">
        <f t="shared" si="1"/>
        <v>543048</v>
      </c>
      <c r="H10" s="1594">
        <f t="shared" si="1"/>
        <v>815</v>
      </c>
      <c r="I10" s="1594">
        <f t="shared" si="1"/>
        <v>2326</v>
      </c>
      <c r="J10" s="1594">
        <f t="shared" si="1"/>
        <v>494512</v>
      </c>
      <c r="K10" s="1594">
        <f t="shared" si="1"/>
        <v>52818</v>
      </c>
      <c r="L10" s="451"/>
    </row>
    <row r="11" spans="1:13" s="452" customFormat="1" ht="16.7" customHeight="1" thickTop="1" x14ac:dyDescent="0.2">
      <c r="A11" s="2217" t="s">
        <v>1165</v>
      </c>
      <c r="B11" s="2218"/>
      <c r="C11" s="1602"/>
      <c r="D11" s="1603"/>
      <c r="E11" s="1603"/>
      <c r="F11" s="1603"/>
      <c r="G11" s="1603"/>
      <c r="H11" s="1603"/>
      <c r="I11" s="1603"/>
      <c r="J11" s="1603"/>
      <c r="K11" s="1615"/>
      <c r="L11" s="451"/>
    </row>
    <row r="12" spans="1:13" ht="15.75" customHeight="1" x14ac:dyDescent="0.2">
      <c r="A12" s="1314" t="s">
        <v>452</v>
      </c>
      <c r="B12" s="1316">
        <v>1000</v>
      </c>
      <c r="C12" s="1606">
        <f>'Expenditures 15-22'!K33</f>
        <v>7618338</v>
      </c>
      <c r="D12" s="1616" t="s">
        <v>1158</v>
      </c>
      <c r="E12" s="1575" t="s">
        <v>1158</v>
      </c>
      <c r="F12" s="1575" t="s">
        <v>1158</v>
      </c>
      <c r="G12" s="1606">
        <f>'Expenditures 15-22'!K229</f>
        <v>205647</v>
      </c>
      <c r="H12" s="1617"/>
      <c r="I12" s="1575" t="s">
        <v>1158</v>
      </c>
      <c r="J12" s="1575" t="s">
        <v>1158</v>
      </c>
      <c r="K12" s="1617" t="s">
        <v>1158</v>
      </c>
      <c r="L12" s="325"/>
    </row>
    <row r="13" spans="1:13" ht="15.75" customHeight="1" x14ac:dyDescent="0.2">
      <c r="A13" s="1314" t="s">
        <v>453</v>
      </c>
      <c r="B13" s="1316">
        <v>2000</v>
      </c>
      <c r="C13" s="1607">
        <f>'Expenditures 15-22'!K74</f>
        <v>3640651</v>
      </c>
      <c r="D13" s="1607">
        <f>'Expenditures 15-22'!K129</f>
        <v>532643</v>
      </c>
      <c r="E13" s="1576" t="s">
        <v>1158</v>
      </c>
      <c r="F13" s="1607">
        <f>'Expenditures 15-22'!K184</f>
        <v>390024</v>
      </c>
      <c r="G13" s="1607">
        <f>'Expenditures 15-22'!K279</f>
        <v>212772</v>
      </c>
      <c r="H13" s="1607">
        <f>'Expenditures 15-22'!K303</f>
        <v>0</v>
      </c>
      <c r="I13" s="1575" t="s">
        <v>1158</v>
      </c>
      <c r="J13" s="1607">
        <f>'Expenditures 15-22'!K330</f>
        <v>294028</v>
      </c>
      <c r="K13" s="1618">
        <f>'Expenditures 15-22'!K352</f>
        <v>202194</v>
      </c>
      <c r="L13" s="325"/>
    </row>
    <row r="14" spans="1:13" ht="15.75" customHeight="1" x14ac:dyDescent="0.2">
      <c r="A14" s="1314" t="s">
        <v>445</v>
      </c>
      <c r="B14" s="1316">
        <v>3000</v>
      </c>
      <c r="C14" s="1607">
        <f>'Expenditures 15-22'!K75</f>
        <v>307657</v>
      </c>
      <c r="D14" s="1607">
        <f>'Expenditures 15-22'!K130</f>
        <v>0</v>
      </c>
      <c r="E14" s="1616" t="s">
        <v>1158</v>
      </c>
      <c r="F14" s="1607">
        <f>'Expenditures 15-22'!K185</f>
        <v>0</v>
      </c>
      <c r="G14" s="1607">
        <f>'Expenditures 15-22'!K280</f>
        <v>31324</v>
      </c>
      <c r="H14" s="1612"/>
      <c r="I14" s="1575" t="s">
        <v>1158</v>
      </c>
      <c r="J14" s="1575" t="s">
        <v>1158</v>
      </c>
      <c r="K14" s="1612" t="s">
        <v>1158</v>
      </c>
      <c r="L14" s="325"/>
    </row>
    <row r="15" spans="1:13" ht="15.75" customHeight="1" x14ac:dyDescent="0.2">
      <c r="A15" s="1314" t="s">
        <v>107</v>
      </c>
      <c r="B15" s="1316">
        <v>4000</v>
      </c>
      <c r="C15" s="1607">
        <f>'Expenditures 15-22'!K102</f>
        <v>630468</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844</v>
      </c>
      <c r="D16" s="1607">
        <f>'Expenditures 15-22'!K149</f>
        <v>0</v>
      </c>
      <c r="E16" s="1607">
        <f>'Expenditures 15-22'!K172</f>
        <v>896846</v>
      </c>
      <c r="F16" s="1607">
        <f>'Expenditures 15-22'!K208</f>
        <v>68218</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12197958</v>
      </c>
      <c r="D17" s="1594">
        <f t="shared" si="2"/>
        <v>532643</v>
      </c>
      <c r="E17" s="1594">
        <f t="shared" si="2"/>
        <v>896846</v>
      </c>
      <c r="F17" s="1594">
        <f t="shared" si="2"/>
        <v>458242</v>
      </c>
      <c r="G17" s="1594">
        <f t="shared" si="2"/>
        <v>449743</v>
      </c>
      <c r="H17" s="1594">
        <f t="shared" si="2"/>
        <v>0</v>
      </c>
      <c r="I17" s="1575"/>
      <c r="J17" s="1594">
        <f>SUM(J12:J16)</f>
        <v>294028</v>
      </c>
      <c r="K17" s="1594">
        <f>SUM(K12:K16)</f>
        <v>202194</v>
      </c>
      <c r="L17" s="325"/>
    </row>
    <row r="18" spans="1:12" ht="15" customHeight="1" thickTop="1" x14ac:dyDescent="0.2">
      <c r="A18" s="1430" t="s">
        <v>1634</v>
      </c>
      <c r="B18" s="1431">
        <v>4180</v>
      </c>
      <c r="C18" s="1606">
        <f t="shared" ref="C18:H18" si="3">C9</f>
        <v>4604608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16802566</v>
      </c>
      <c r="D19" s="1594">
        <f t="shared" si="4"/>
        <v>532643</v>
      </c>
      <c r="E19" s="1594">
        <f t="shared" si="4"/>
        <v>896846</v>
      </c>
      <c r="F19" s="1594">
        <f t="shared" si="4"/>
        <v>458242</v>
      </c>
      <c r="G19" s="1594">
        <f t="shared" si="4"/>
        <v>449743</v>
      </c>
      <c r="H19" s="1594">
        <f t="shared" si="4"/>
        <v>0</v>
      </c>
      <c r="I19" s="1575"/>
      <c r="J19" s="1594">
        <f>SUM(J17:J18)</f>
        <v>294028</v>
      </c>
      <c r="K19" s="1594">
        <f>SUM(K17:K18)</f>
        <v>202194</v>
      </c>
      <c r="L19" s="325"/>
    </row>
    <row r="20" spans="1:12" ht="16.5" thickTop="1" thickBot="1" x14ac:dyDescent="0.25">
      <c r="A20" s="2233" t="s">
        <v>1635</v>
      </c>
      <c r="B20" s="2234"/>
      <c r="C20" s="1622">
        <f>C8-C17</f>
        <v>2669490</v>
      </c>
      <c r="D20" s="1622">
        <f t="shared" ref="D20:K20" si="5">D8-D17</f>
        <v>134291</v>
      </c>
      <c r="E20" s="1622">
        <f t="shared" si="5"/>
        <v>-103995</v>
      </c>
      <c r="F20" s="1622">
        <f t="shared" si="5"/>
        <v>142123</v>
      </c>
      <c r="G20" s="1622">
        <f t="shared" si="5"/>
        <v>93305</v>
      </c>
      <c r="H20" s="1622">
        <f t="shared" si="5"/>
        <v>815</v>
      </c>
      <c r="I20" s="1622">
        <f t="shared" si="5"/>
        <v>2326</v>
      </c>
      <c r="J20" s="1622">
        <f t="shared" si="5"/>
        <v>200484</v>
      </c>
      <c r="K20" s="1622">
        <f t="shared" si="5"/>
        <v>-149376</v>
      </c>
      <c r="L20" s="325"/>
    </row>
    <row r="21" spans="1:12" ht="16.7" customHeight="1" thickTop="1" x14ac:dyDescent="0.2">
      <c r="A21" s="2245" t="s">
        <v>590</v>
      </c>
      <c r="B21" s="2246"/>
      <c r="C21" s="1602"/>
      <c r="D21" s="1603"/>
      <c r="E21" s="1603"/>
      <c r="F21" s="1603"/>
      <c r="G21" s="1603"/>
      <c r="H21" s="1603"/>
      <c r="I21" s="1603"/>
      <c r="J21" s="1603"/>
      <c r="K21" s="1615"/>
      <c r="L21" s="453"/>
    </row>
    <row r="22" spans="1:12" ht="15.75" customHeight="1" collapsed="1" x14ac:dyDescent="0.2">
      <c r="A22" s="2241" t="s">
        <v>591</v>
      </c>
      <c r="B22" s="2242"/>
      <c r="C22" s="1582"/>
      <c r="D22" s="1582"/>
      <c r="E22" s="1582"/>
      <c r="F22" s="1582"/>
      <c r="G22" s="1582"/>
      <c r="H22" s="1582"/>
      <c r="I22" s="1582"/>
      <c r="J22" s="1582"/>
      <c r="K22" s="1582"/>
      <c r="L22" s="325"/>
    </row>
    <row r="23" spans="1:12" s="433" customFormat="1" ht="15.75" customHeight="1" x14ac:dyDescent="0.2">
      <c r="A23" s="2237" t="s">
        <v>289</v>
      </c>
      <c r="B23" s="2238"/>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1767</v>
      </c>
      <c r="B30" s="455">
        <v>7160</v>
      </c>
      <c r="C30" s="1582"/>
      <c r="D30" s="1574"/>
      <c r="E30" s="1582"/>
      <c r="F30" s="1582"/>
      <c r="G30" s="1582"/>
      <c r="H30" s="1582"/>
      <c r="I30" s="1582"/>
      <c r="J30" s="1582"/>
      <c r="K30" s="1582"/>
      <c r="L30" s="453"/>
    </row>
    <row r="31" spans="1:12" s="433" customFormat="1" ht="26.25" x14ac:dyDescent="0.2">
      <c r="A31" s="1260" t="s">
        <v>1771</v>
      </c>
      <c r="B31" s="455">
        <v>7170</v>
      </c>
      <c r="C31" s="1582"/>
      <c r="D31" s="1582"/>
      <c r="E31" s="1579"/>
      <c r="F31" s="1582"/>
      <c r="G31" s="1582"/>
      <c r="H31" s="1582"/>
      <c r="I31" s="1582"/>
      <c r="J31" s="1582"/>
      <c r="K31" s="1582"/>
      <c r="L31" s="453"/>
    </row>
    <row r="32" spans="1:12" s="433" customFormat="1" ht="15.75" customHeight="1" x14ac:dyDescent="0.2">
      <c r="A32" s="2239" t="s">
        <v>973</v>
      </c>
      <c r="B32" s="2240"/>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1149379</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c r="I43" s="1574"/>
      <c r="J43" s="1574"/>
      <c r="K43" s="1574"/>
      <c r="L43" s="453"/>
    </row>
    <row r="44" spans="1:12" s="433" customFormat="1" ht="13.5" customHeight="1" thickBot="1" x14ac:dyDescent="0.25">
      <c r="A44" s="2247" t="s">
        <v>370</v>
      </c>
      <c r="B44" s="2248"/>
      <c r="C44" s="1624">
        <f>SUM(C24:C43)</f>
        <v>0</v>
      </c>
      <c r="D44" s="1624">
        <f t="shared" ref="D44:K44" si="6">SUM(D24:D43)</f>
        <v>0</v>
      </c>
      <c r="E44" s="1624">
        <f t="shared" si="6"/>
        <v>1149379</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v>1149379</v>
      </c>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v>9394</v>
      </c>
      <c r="D75" s="1627"/>
      <c r="E75" s="1626"/>
      <c r="F75" s="1628"/>
      <c r="G75" s="1628"/>
      <c r="H75" s="1628"/>
      <c r="I75" s="1626"/>
      <c r="J75" s="1626"/>
      <c r="K75" s="1628"/>
      <c r="L75" s="453"/>
    </row>
    <row r="76" spans="1:12" s="433" customFormat="1" ht="14.25" thickTop="1" thickBot="1" x14ac:dyDescent="0.25">
      <c r="A76" s="2223" t="s">
        <v>436</v>
      </c>
      <c r="B76" s="2224"/>
      <c r="C76" s="1624">
        <f t="shared" ref="C76:K76" si="7">SUM(C47:C75)</f>
        <v>9394</v>
      </c>
      <c r="D76" s="1624">
        <f t="shared" si="7"/>
        <v>0</v>
      </c>
      <c r="E76" s="1624">
        <f t="shared" si="7"/>
        <v>0</v>
      </c>
      <c r="F76" s="1624">
        <f t="shared" si="7"/>
        <v>0</v>
      </c>
      <c r="G76" s="1624">
        <f t="shared" si="7"/>
        <v>0</v>
      </c>
      <c r="H76" s="1624">
        <f t="shared" si="7"/>
        <v>1149379</v>
      </c>
      <c r="I76" s="1624">
        <f t="shared" si="7"/>
        <v>0</v>
      </c>
      <c r="J76" s="1624">
        <f t="shared" si="7"/>
        <v>0</v>
      </c>
      <c r="K76" s="1624">
        <f t="shared" si="7"/>
        <v>0</v>
      </c>
      <c r="L76" s="453"/>
    </row>
    <row r="77" spans="1:12" ht="14.25" thickTop="1" thickBot="1" x14ac:dyDescent="0.25">
      <c r="A77" s="2225" t="s">
        <v>1166</v>
      </c>
      <c r="B77" s="2226"/>
      <c r="C77" s="1624">
        <f t="shared" ref="C77:K77" si="8">C44-C76</f>
        <v>-9394</v>
      </c>
      <c r="D77" s="1624">
        <f t="shared" si="8"/>
        <v>0</v>
      </c>
      <c r="E77" s="1624">
        <f t="shared" si="8"/>
        <v>1149379</v>
      </c>
      <c r="F77" s="1624">
        <f t="shared" si="8"/>
        <v>0</v>
      </c>
      <c r="G77" s="1624">
        <f t="shared" si="8"/>
        <v>0</v>
      </c>
      <c r="H77" s="1624">
        <f t="shared" si="8"/>
        <v>-1149379</v>
      </c>
      <c r="I77" s="1624">
        <f t="shared" si="8"/>
        <v>0</v>
      </c>
      <c r="J77" s="1624">
        <f t="shared" si="8"/>
        <v>0</v>
      </c>
      <c r="K77" s="1624">
        <f t="shared" si="8"/>
        <v>0</v>
      </c>
      <c r="L77" s="325"/>
    </row>
    <row r="78" spans="1:12" ht="21.75" customHeight="1" thickTop="1" thickBot="1" x14ac:dyDescent="0.25">
      <c r="A78" s="2229" t="s">
        <v>592</v>
      </c>
      <c r="B78" s="2230"/>
      <c r="C78" s="1629">
        <f t="shared" ref="C78:K78" si="9">C20+C77</f>
        <v>2660096</v>
      </c>
      <c r="D78" s="1629">
        <f t="shared" si="9"/>
        <v>134291</v>
      </c>
      <c r="E78" s="1629">
        <f t="shared" si="9"/>
        <v>1045384</v>
      </c>
      <c r="F78" s="1629">
        <f t="shared" si="9"/>
        <v>142123</v>
      </c>
      <c r="G78" s="1629">
        <f t="shared" si="9"/>
        <v>93305</v>
      </c>
      <c r="H78" s="1629">
        <f t="shared" si="9"/>
        <v>-1148564</v>
      </c>
      <c r="I78" s="1629">
        <f t="shared" si="9"/>
        <v>2326</v>
      </c>
      <c r="J78" s="1629">
        <f t="shared" si="9"/>
        <v>200484</v>
      </c>
      <c r="K78" s="1629">
        <f t="shared" si="9"/>
        <v>-149376</v>
      </c>
      <c r="L78" s="457"/>
    </row>
    <row r="79" spans="1:12" ht="13.5" thickTop="1" x14ac:dyDescent="0.2">
      <c r="A79" s="1844" t="str">
        <f>"Fund Balances - July 1, "&amp;'AFR20'!E2-1</f>
        <v>Fund Balances - July 1, 2019</v>
      </c>
      <c r="B79" s="458"/>
      <c r="C79" s="1583">
        <v>7246947</v>
      </c>
      <c r="D79" s="1630">
        <v>1435996</v>
      </c>
      <c r="E79" s="1630">
        <v>24573</v>
      </c>
      <c r="F79" s="1630">
        <v>1270688</v>
      </c>
      <c r="G79" s="1630">
        <v>885840</v>
      </c>
      <c r="H79" s="1630">
        <v>1154359</v>
      </c>
      <c r="I79" s="1630">
        <v>811960</v>
      </c>
      <c r="J79" s="1630">
        <v>759981</v>
      </c>
      <c r="K79" s="1630">
        <v>961288</v>
      </c>
      <c r="L79" s="325"/>
    </row>
    <row r="80" spans="1:12" x14ac:dyDescent="0.2">
      <c r="A80" s="2235" t="s">
        <v>1768</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9907043</v>
      </c>
      <c r="D81" s="1594">
        <f>SUM(D78:D80)</f>
        <v>1570287</v>
      </c>
      <c r="E81" s="1594">
        <f t="shared" ref="E81:K81" si="10">SUM(E78:E80)</f>
        <v>1069957</v>
      </c>
      <c r="F81" s="1594">
        <f t="shared" si="10"/>
        <v>1412811</v>
      </c>
      <c r="G81" s="1594">
        <f t="shared" si="10"/>
        <v>979145</v>
      </c>
      <c r="H81" s="1594">
        <f t="shared" si="10"/>
        <v>5795</v>
      </c>
      <c r="I81" s="1594">
        <f t="shared" si="10"/>
        <v>814286</v>
      </c>
      <c r="J81" s="1594">
        <f t="shared" si="10"/>
        <v>960465</v>
      </c>
      <c r="K81" s="1594">
        <f t="shared" si="10"/>
        <v>811912</v>
      </c>
      <c r="L81" s="325"/>
    </row>
    <row r="82" spans="1:12" ht="0.75" customHeight="1" thickTop="1" thickBot="1" x14ac:dyDescent="0.25">
      <c r="A82" s="459" t="s">
        <v>339</v>
      </c>
      <c r="B82" s="460"/>
      <c r="C82" s="461">
        <f>(C81-C79)</f>
        <v>2660096</v>
      </c>
      <c r="D82" s="461">
        <f t="shared" ref="D82:K82" si="11">(D81-D79)</f>
        <v>134291</v>
      </c>
      <c r="E82" s="461">
        <f t="shared" si="11"/>
        <v>1045384</v>
      </c>
      <c r="F82" s="461">
        <f t="shared" si="11"/>
        <v>142123</v>
      </c>
      <c r="G82" s="461">
        <f t="shared" si="11"/>
        <v>93305</v>
      </c>
      <c r="H82" s="461">
        <f t="shared" si="11"/>
        <v>-1148564</v>
      </c>
      <c r="I82" s="461">
        <f t="shared" si="11"/>
        <v>2326</v>
      </c>
      <c r="J82" s="461">
        <f t="shared" si="11"/>
        <v>200484</v>
      </c>
      <c r="K82" s="461">
        <f t="shared" si="11"/>
        <v>-149376</v>
      </c>
    </row>
    <row r="83" spans="1:12" ht="14.25" hidden="1" thickTop="1" thickBot="1" x14ac:dyDescent="0.25">
      <c r="A83" s="462" t="s">
        <v>340</v>
      </c>
      <c r="B83" s="428"/>
      <c r="C83" s="463">
        <f>C82/C81</f>
        <v>0.2685055470133722</v>
      </c>
      <c r="D83" s="463">
        <f t="shared" ref="D83:K83" si="12">D82/D81</f>
        <v>8.5520035509432352E-2</v>
      </c>
      <c r="E83" s="463">
        <f t="shared" si="12"/>
        <v>0.97703365649273755</v>
      </c>
      <c r="F83" s="463">
        <f t="shared" si="12"/>
        <v>0.10059590419383768</v>
      </c>
      <c r="G83" s="463">
        <f t="shared" si="12"/>
        <v>9.5292321362004606E-2</v>
      </c>
      <c r="H83" s="463">
        <f t="shared" si="12"/>
        <v>-198.19913718723038</v>
      </c>
      <c r="I83" s="463">
        <f t="shared" si="12"/>
        <v>2.8564902257929032E-3</v>
      </c>
      <c r="J83" s="463">
        <f t="shared" si="12"/>
        <v>0.2087363933094907</v>
      </c>
      <c r="K83" s="463">
        <f t="shared" si="12"/>
        <v>-0.18398052990964539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23" sqref="T23:W23"/>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1775</v>
      </c>
      <c r="B1" s="416"/>
      <c r="C1" s="417" t="s">
        <v>421</v>
      </c>
      <c r="D1" s="417" t="s">
        <v>422</v>
      </c>
      <c r="E1" s="417" t="s">
        <v>423</v>
      </c>
      <c r="F1" s="417" t="s">
        <v>424</v>
      </c>
      <c r="G1" s="417" t="s">
        <v>425</v>
      </c>
      <c r="H1" s="417" t="s">
        <v>426</v>
      </c>
      <c r="I1" s="417" t="s">
        <v>427</v>
      </c>
      <c r="J1" s="417" t="s">
        <v>428</v>
      </c>
      <c r="K1" s="417" t="s">
        <v>750</v>
      </c>
    </row>
    <row r="2" spans="1:12" ht="36" x14ac:dyDescent="0.2">
      <c r="A2" s="2232"/>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1135962</v>
      </c>
      <c r="D5" s="1586">
        <v>308684</v>
      </c>
      <c r="E5" s="1573">
        <v>287038</v>
      </c>
      <c r="F5" s="1631">
        <v>123475</v>
      </c>
      <c r="G5" s="1573">
        <v>248676</v>
      </c>
      <c r="H5" s="1573"/>
      <c r="I5" s="1573"/>
      <c r="J5" s="1574">
        <v>489736</v>
      </c>
      <c r="K5" s="1573">
        <v>10201</v>
      </c>
    </row>
    <row r="6" spans="1:12" ht="15" x14ac:dyDescent="0.2">
      <c r="A6" s="427" t="s">
        <v>1642</v>
      </c>
      <c r="B6" s="429">
        <v>1130</v>
      </c>
      <c r="C6" s="1573">
        <v>30443</v>
      </c>
      <c r="D6" s="1573"/>
      <c r="E6" s="1580"/>
      <c r="F6" s="1580"/>
      <c r="G6" s="1575"/>
      <c r="H6" s="1575"/>
      <c r="I6" s="1575"/>
      <c r="J6" s="1575"/>
      <c r="K6" s="1575"/>
    </row>
    <row r="7" spans="1:12" x14ac:dyDescent="0.2">
      <c r="A7" s="427" t="s">
        <v>110</v>
      </c>
      <c r="B7" s="471">
        <v>1140</v>
      </c>
      <c r="C7" s="1573">
        <v>24175</v>
      </c>
      <c r="D7" s="1573"/>
      <c r="E7" s="1575"/>
      <c r="F7" s="1574"/>
      <c r="G7" s="1574"/>
      <c r="H7" s="1574"/>
      <c r="I7" s="1575"/>
      <c r="J7" s="1575"/>
      <c r="K7" s="1575"/>
    </row>
    <row r="8" spans="1:12" x14ac:dyDescent="0.2">
      <c r="A8" s="427" t="s">
        <v>409</v>
      </c>
      <c r="B8" s="429">
        <v>1150</v>
      </c>
      <c r="C8" s="1580"/>
      <c r="D8" s="1580"/>
      <c r="E8" s="1582"/>
      <c r="F8" s="1582"/>
      <c r="G8" s="1586">
        <v>248676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1190580</v>
      </c>
      <c r="D12" s="1633">
        <f t="shared" si="0"/>
        <v>308684</v>
      </c>
      <c r="E12" s="1633">
        <f t="shared" si="0"/>
        <v>287038</v>
      </c>
      <c r="F12" s="1633">
        <f t="shared" si="0"/>
        <v>123475</v>
      </c>
      <c r="G12" s="1633">
        <f t="shared" si="0"/>
        <v>497352</v>
      </c>
      <c r="H12" s="1633">
        <f t="shared" si="0"/>
        <v>0</v>
      </c>
      <c r="I12" s="1633">
        <f t="shared" si="0"/>
        <v>0</v>
      </c>
      <c r="J12" s="1633">
        <f t="shared" si="0"/>
        <v>489736</v>
      </c>
      <c r="K12" s="1594">
        <f t="shared" si="0"/>
        <v>10201</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v>2599</v>
      </c>
      <c r="D14" s="1573">
        <v>674</v>
      </c>
      <c r="E14" s="1573">
        <v>627</v>
      </c>
      <c r="F14" s="1573">
        <v>270</v>
      </c>
      <c r="G14" s="1573">
        <v>1086</v>
      </c>
      <c r="H14" s="1573"/>
      <c r="I14" s="1573"/>
      <c r="J14" s="1574">
        <v>1069</v>
      </c>
      <c r="K14" s="1573">
        <v>22</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28858</v>
      </c>
      <c r="D16" s="1573">
        <v>122500</v>
      </c>
      <c r="E16" s="1573"/>
      <c r="F16" s="1573">
        <v>106117</v>
      </c>
      <c r="G16" s="1573">
        <v>40383</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31457</v>
      </c>
      <c r="D18" s="1635">
        <f t="shared" ref="D18:K18" si="1">SUM(D14:D17)</f>
        <v>123174</v>
      </c>
      <c r="E18" s="1635">
        <f t="shared" si="1"/>
        <v>627</v>
      </c>
      <c r="F18" s="1635">
        <f t="shared" si="1"/>
        <v>106387</v>
      </c>
      <c r="G18" s="1635">
        <f t="shared" si="1"/>
        <v>41469</v>
      </c>
      <c r="H18" s="1635">
        <f t="shared" si="1"/>
        <v>0</v>
      </c>
      <c r="I18" s="1635">
        <f t="shared" si="1"/>
        <v>0</v>
      </c>
      <c r="J18" s="1635">
        <f t="shared" si="1"/>
        <v>1069</v>
      </c>
      <c r="K18" s="1636">
        <f t="shared" si="1"/>
        <v>22</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v>44920</v>
      </c>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44920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1070</v>
      </c>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1070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26459</v>
      </c>
      <c r="D65" s="1573">
        <v>5671</v>
      </c>
      <c r="E65" s="1573">
        <v>2776</v>
      </c>
      <c r="F65" s="1574">
        <v>4787</v>
      </c>
      <c r="G65" s="1573">
        <v>4227</v>
      </c>
      <c r="H65" s="1573">
        <v>815</v>
      </c>
      <c r="I65" s="1573">
        <v>2326</v>
      </c>
      <c r="J65" s="1574">
        <v>3707</v>
      </c>
      <c r="K65" s="1573">
        <v>2595</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26459</v>
      </c>
      <c r="D67" s="1594">
        <f t="shared" ref="D67:K67" si="2">SUM(D65:D66)</f>
        <v>5671</v>
      </c>
      <c r="E67" s="1594">
        <f t="shared" si="2"/>
        <v>2776</v>
      </c>
      <c r="F67" s="1594">
        <f t="shared" si="2"/>
        <v>4787</v>
      </c>
      <c r="G67" s="1594">
        <f t="shared" si="2"/>
        <v>4227</v>
      </c>
      <c r="H67" s="1594">
        <f t="shared" si="2"/>
        <v>815</v>
      </c>
      <c r="I67" s="1594">
        <f t="shared" si="2"/>
        <v>2326</v>
      </c>
      <c r="J67" s="1594">
        <f t="shared" si="2"/>
        <v>3707</v>
      </c>
      <c r="K67" s="1594">
        <f t="shared" si="2"/>
        <v>2595</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52938</v>
      </c>
      <c r="D69" s="1575"/>
      <c r="E69" s="1575"/>
      <c r="F69" s="1575"/>
      <c r="G69" s="1575"/>
      <c r="H69" s="1575"/>
      <c r="I69" s="1575"/>
      <c r="J69" s="1575"/>
      <c r="K69" s="1575"/>
    </row>
    <row r="70" spans="1:11" ht="12.75" customHeight="1" x14ac:dyDescent="0.2">
      <c r="A70" s="427" t="s">
        <v>989</v>
      </c>
      <c r="B70" s="429">
        <v>1612</v>
      </c>
      <c r="C70" s="1632"/>
      <c r="D70" s="1575"/>
      <c r="E70" s="1575"/>
      <c r="F70" s="1575"/>
      <c r="G70" s="1575"/>
      <c r="H70" s="1575"/>
      <c r="I70" s="1575"/>
      <c r="J70" s="1575"/>
      <c r="K70" s="1575"/>
    </row>
    <row r="71" spans="1:11" ht="12.75" customHeight="1" x14ac:dyDescent="0.2">
      <c r="A71" s="427" t="s">
        <v>270</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c r="D73" s="1575"/>
      <c r="E73" s="1575"/>
      <c r="F73" s="1575"/>
      <c r="G73" s="1575"/>
      <c r="H73" s="1575"/>
      <c r="I73" s="1575"/>
      <c r="J73" s="1575"/>
      <c r="K73" s="1575"/>
    </row>
    <row r="74" spans="1:11" ht="12.75" customHeight="1" x14ac:dyDescent="0.2">
      <c r="A74" s="427" t="s">
        <v>25</v>
      </c>
      <c r="B74" s="429">
        <v>1690</v>
      </c>
      <c r="C74" s="1632">
        <v>4501</v>
      </c>
      <c r="D74" s="1575"/>
      <c r="E74" s="1575"/>
      <c r="F74" s="1575"/>
      <c r="G74" s="1575"/>
      <c r="H74" s="1575"/>
      <c r="I74" s="1575"/>
      <c r="J74" s="1575"/>
      <c r="K74" s="1575"/>
    </row>
    <row r="75" spans="1:11" ht="12.75" customHeight="1" thickBot="1" x14ac:dyDescent="0.25">
      <c r="A75" s="1406" t="s">
        <v>543</v>
      </c>
      <c r="B75" s="1407"/>
      <c r="C75" s="1594">
        <f>SUM(C69:C74)</f>
        <v>57439</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25850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25850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24948</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v>99</v>
      </c>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25047</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v>3000</v>
      </c>
      <c r="D95" s="1632">
        <v>4405</v>
      </c>
      <c r="E95" s="1617"/>
      <c r="F95" s="1617"/>
      <c r="G95" s="1617"/>
      <c r="H95" s="1617"/>
      <c r="I95" s="1617"/>
      <c r="J95" s="1617"/>
      <c r="K95" s="1617"/>
    </row>
    <row r="96" spans="1:11" ht="12.75" customHeight="1" x14ac:dyDescent="0.2">
      <c r="A96" s="427" t="s">
        <v>387</v>
      </c>
      <c r="B96" s="429">
        <v>1920</v>
      </c>
      <c r="C96" s="1632">
        <v>25000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v>40000</v>
      </c>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5040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v>490985</v>
      </c>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v>17735</v>
      </c>
      <c r="D106" s="1598"/>
      <c r="E106" s="1574"/>
      <c r="F106" s="1574"/>
      <c r="G106" s="1574"/>
      <c r="H106" s="1574"/>
      <c r="I106" s="1617"/>
      <c r="J106" s="1574"/>
      <c r="K106" s="1574"/>
    </row>
    <row r="107" spans="1:12" ht="12.75" customHeight="1" x14ac:dyDescent="0.2">
      <c r="A107" s="427" t="s">
        <v>78</v>
      </c>
      <c r="B107" s="429">
        <v>1999</v>
      </c>
      <c r="C107" s="1632">
        <v>9951</v>
      </c>
      <c r="D107" s="1573"/>
      <c r="E107" s="1573">
        <v>11425</v>
      </c>
      <c r="F107" s="1573">
        <v>24160</v>
      </c>
      <c r="G107" s="1573"/>
      <c r="H107" s="1573"/>
      <c r="I107" s="1573"/>
      <c r="J107" s="1574"/>
      <c r="K107" s="1573"/>
    </row>
    <row r="108" spans="1:12" ht="12.75" customHeight="1" thickBot="1" x14ac:dyDescent="0.25">
      <c r="A108" s="1406" t="s">
        <v>483</v>
      </c>
      <c r="B108" s="1408"/>
      <c r="C108" s="1633">
        <f>SUM(C95:C107)</f>
        <v>60726</v>
      </c>
      <c r="D108" s="1633">
        <f t="shared" ref="D108:K108" si="3">SUM(D95:D107)</f>
        <v>4405</v>
      </c>
      <c r="E108" s="1633">
        <f t="shared" si="3"/>
        <v>502410</v>
      </c>
      <c r="F108" s="1633">
        <f t="shared" si="3"/>
        <v>24160</v>
      </c>
      <c r="G108" s="1633">
        <f t="shared" si="3"/>
        <v>0</v>
      </c>
      <c r="H108" s="1633">
        <f t="shared" si="3"/>
        <v>0</v>
      </c>
      <c r="I108" s="1633">
        <f t="shared" si="3"/>
        <v>0</v>
      </c>
      <c r="J108" s="1633">
        <f t="shared" si="3"/>
        <v>0</v>
      </c>
      <c r="K108" s="1594">
        <f t="shared" si="3"/>
        <v>40000</v>
      </c>
    </row>
    <row r="109" spans="1:12" ht="14.25" thickTop="1" thickBot="1" x14ac:dyDescent="0.25">
      <c r="A109" s="1409" t="s">
        <v>246</v>
      </c>
      <c r="B109" s="1410" t="s">
        <v>565</v>
      </c>
      <c r="C109" s="1641">
        <f t="shared" ref="C109:K109" si="4">SUM(C12,C18,C40,C63,C67,C75,C82,C93,C108,)</f>
        <v>1462478</v>
      </c>
      <c r="D109" s="1641">
        <f t="shared" si="4"/>
        <v>441934</v>
      </c>
      <c r="E109" s="1641">
        <f t="shared" si="4"/>
        <v>792851</v>
      </c>
      <c r="F109" s="1641">
        <f t="shared" si="4"/>
        <v>259879</v>
      </c>
      <c r="G109" s="1641">
        <f t="shared" si="4"/>
        <v>543048</v>
      </c>
      <c r="H109" s="1641">
        <f t="shared" si="4"/>
        <v>815</v>
      </c>
      <c r="I109" s="1641">
        <f t="shared" si="4"/>
        <v>2326</v>
      </c>
      <c r="J109" s="1641">
        <f t="shared" si="4"/>
        <v>494512</v>
      </c>
      <c r="K109" s="1629">
        <f t="shared" si="4"/>
        <v>52818</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v>7296</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7296</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10517880</v>
      </c>
      <c r="D117" s="1586">
        <v>225000</v>
      </c>
      <c r="E117" s="1573"/>
      <c r="F117" s="1586">
        <v>150000</v>
      </c>
      <c r="G117" s="1586"/>
      <c r="H117" s="1573"/>
      <c r="I117" s="1575"/>
      <c r="J117" s="1574"/>
      <c r="K117" s="1573"/>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c r="D119" s="1573"/>
      <c r="E119" s="1573"/>
      <c r="F119" s="1573"/>
      <c r="G119" s="1573"/>
      <c r="H119" s="1573"/>
      <c r="I119" s="1575"/>
      <c r="J119" s="1574"/>
      <c r="K119" s="1573"/>
    </row>
    <row r="120" spans="1:11" ht="12.75" customHeight="1" x14ac:dyDescent="0.2">
      <c r="A120" s="1539" t="s">
        <v>1891</v>
      </c>
      <c r="B120" s="478">
        <v>3030</v>
      </c>
      <c r="C120" s="1632"/>
      <c r="D120" s="1573"/>
      <c r="E120" s="1573"/>
      <c r="F120" s="1573"/>
      <c r="G120" s="1573"/>
      <c r="H120" s="1573"/>
      <c r="I120" s="1575"/>
      <c r="J120" s="1574"/>
      <c r="K120" s="1573"/>
    </row>
    <row r="121" spans="1:11" x14ac:dyDescent="0.2">
      <c r="A121" s="1266" t="s">
        <v>1774</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10517880</v>
      </c>
      <c r="D122" s="1633">
        <f t="shared" si="5"/>
        <v>225000</v>
      </c>
      <c r="E122" s="1633">
        <f t="shared" si="5"/>
        <v>0</v>
      </c>
      <c r="F122" s="1633">
        <f t="shared" si="5"/>
        <v>150000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203747</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15162</v>
      </c>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218909</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v>2470</v>
      </c>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2470</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10436</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14672</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66522</v>
      </c>
      <c r="G152" s="1574"/>
      <c r="H152" s="1575"/>
      <c r="I152" s="1575"/>
      <c r="J152" s="1575"/>
      <c r="K152" s="1575"/>
    </row>
    <row r="153" spans="1:11" ht="12.75" customHeight="1" x14ac:dyDescent="0.2">
      <c r="A153" s="427" t="s">
        <v>1047</v>
      </c>
      <c r="B153" s="478">
        <v>3510</v>
      </c>
      <c r="C153" s="1632"/>
      <c r="D153" s="1573"/>
      <c r="E153" s="1640"/>
      <c r="F153" s="1573">
        <v>123964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190486</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v>662885</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55366</v>
      </c>
      <c r="D168" s="1655"/>
      <c r="E168" s="1655"/>
      <c r="F168" s="1655"/>
      <c r="G168" s="1656"/>
      <c r="H168" s="1657"/>
      <c r="I168" s="1656"/>
      <c r="J168" s="1656"/>
      <c r="K168" s="1657"/>
    </row>
    <row r="169" spans="1:11" ht="12.75" customHeight="1" thickTop="1" thickBot="1" x14ac:dyDescent="0.25">
      <c r="A169" s="2251" t="s">
        <v>394</v>
      </c>
      <c r="B169" s="2252"/>
      <c r="C169" s="1658">
        <f t="shared" ref="C169:K169" si="6">SUM(C132,C141,C145,C146:C150,C155,C156:C167,C168)</f>
        <v>964738</v>
      </c>
      <c r="D169" s="1658">
        <f t="shared" si="6"/>
        <v>0</v>
      </c>
      <c r="E169" s="1658">
        <f t="shared" si="6"/>
        <v>0</v>
      </c>
      <c r="F169" s="1658">
        <f t="shared" si="6"/>
        <v>190486</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11482618</v>
      </c>
      <c r="D170" s="1641">
        <f t="shared" si="7"/>
        <v>225000</v>
      </c>
      <c r="E170" s="1641">
        <f t="shared" si="7"/>
        <v>0</v>
      </c>
      <c r="F170" s="1641">
        <f t="shared" si="7"/>
        <v>340486</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3" t="s">
        <v>1474</v>
      </c>
      <c r="B172" s="2254"/>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7" t="s">
        <v>1645</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1644</v>
      </c>
      <c r="B176" s="2262"/>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59" t="s">
        <v>779</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1776</v>
      </c>
      <c r="B182" s="2256"/>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v>29525</v>
      </c>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29525</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474759</v>
      </c>
      <c r="D191" s="1575"/>
      <c r="E191" s="1640"/>
      <c r="F191" s="1575"/>
      <c r="G191" s="1664"/>
      <c r="H191" s="1575"/>
      <c r="I191" s="1575"/>
      <c r="J191" s="1575"/>
      <c r="K191" s="1575"/>
    </row>
    <row r="192" spans="1:11" ht="12.75" customHeight="1" x14ac:dyDescent="0.2">
      <c r="A192" s="427" t="s">
        <v>1037</v>
      </c>
      <c r="B192" s="429">
        <v>4215</v>
      </c>
      <c r="C192" s="1632"/>
      <c r="D192" s="1575"/>
      <c r="E192" s="1640"/>
      <c r="F192" s="1575"/>
      <c r="G192" s="1664"/>
      <c r="H192" s="1575"/>
      <c r="I192" s="1575"/>
      <c r="J192" s="1575"/>
      <c r="K192" s="1575"/>
    </row>
    <row r="193" spans="1:11" ht="12.75" customHeight="1" x14ac:dyDescent="0.2">
      <c r="A193" s="427" t="s">
        <v>1049</v>
      </c>
      <c r="B193" s="429">
        <v>4220</v>
      </c>
      <c r="C193" s="1632">
        <v>157688</v>
      </c>
      <c r="D193" s="1575"/>
      <c r="E193" s="1640"/>
      <c r="F193" s="1575"/>
      <c r="G193" s="1664"/>
      <c r="H193" s="1575"/>
      <c r="I193" s="1575"/>
      <c r="J193" s="1575"/>
      <c r="K193" s="1575"/>
    </row>
    <row r="194" spans="1:11" ht="12.75" customHeight="1" x14ac:dyDescent="0.2">
      <c r="A194" s="427" t="s">
        <v>1433</v>
      </c>
      <c r="B194" s="429">
        <v>4225</v>
      </c>
      <c r="C194" s="1632">
        <v>213123</v>
      </c>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845570</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431054</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v>217641</v>
      </c>
      <c r="D202" s="1573"/>
      <c r="E202" s="1575"/>
      <c r="F202" s="1573"/>
      <c r="G202" s="1573"/>
      <c r="H202" s="1575"/>
      <c r="I202" s="1575"/>
      <c r="J202" s="1575"/>
      <c r="K202" s="1575"/>
    </row>
    <row r="203" spans="1:11" ht="12.75" customHeight="1" x14ac:dyDescent="0.2">
      <c r="A203" s="427" t="s">
        <v>72</v>
      </c>
      <c r="B203" s="429">
        <v>4399</v>
      </c>
      <c r="C203" s="1632">
        <v>135989</v>
      </c>
      <c r="D203" s="1573"/>
      <c r="E203" s="1575"/>
      <c r="F203" s="1573"/>
      <c r="G203" s="1573"/>
      <c r="H203" s="1575"/>
      <c r="I203" s="1575"/>
      <c r="J203" s="1575"/>
      <c r="K203" s="1575"/>
    </row>
    <row r="204" spans="1:11" ht="12.75" customHeight="1" thickBot="1" x14ac:dyDescent="0.25">
      <c r="A204" s="1406" t="s">
        <v>396</v>
      </c>
      <c r="B204" s="1407"/>
      <c r="C204" s="1633">
        <f>SUM(C200:C203)</f>
        <v>784684</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v>11447</v>
      </c>
      <c r="D208" s="1573"/>
      <c r="E208" s="1575"/>
      <c r="F208" s="1573"/>
      <c r="G208" s="1573"/>
      <c r="H208" s="1575"/>
      <c r="I208" s="1575"/>
      <c r="J208" s="1575"/>
      <c r="K208" s="1575"/>
    </row>
    <row r="209" spans="1:11" ht="12.75" customHeight="1" thickBot="1" x14ac:dyDescent="0.25">
      <c r="A209" s="1406" t="s">
        <v>882</v>
      </c>
      <c r="B209" s="1407"/>
      <c r="C209" s="1633">
        <f>SUM(C206:C208)</f>
        <v>11447</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c r="D213" s="1573"/>
      <c r="E213" s="1575"/>
      <c r="F213" s="1573"/>
      <c r="G213" s="1573"/>
      <c r="H213" s="1575"/>
      <c r="I213" s="1575"/>
      <c r="J213" s="1575"/>
      <c r="K213" s="1575"/>
    </row>
    <row r="214" spans="1:11" ht="12.75" customHeight="1" x14ac:dyDescent="0.2">
      <c r="A214" s="427" t="s">
        <v>1044</v>
      </c>
      <c r="B214" s="429">
        <v>4625</v>
      </c>
      <c r="C214" s="1632"/>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v>8916</v>
      </c>
      <c r="D255" s="1575"/>
      <c r="E255" s="1575"/>
      <c r="F255" s="1653"/>
      <c r="G255" s="1649"/>
      <c r="H255" s="1575"/>
      <c r="I255" s="1575"/>
      <c r="J255" s="1575"/>
      <c r="K255" s="1575"/>
    </row>
    <row r="256" spans="1:11" ht="12.75" customHeight="1" thickTop="1" thickBot="1" x14ac:dyDescent="0.25">
      <c r="A256" s="427" t="s">
        <v>1439</v>
      </c>
      <c r="B256" s="429">
        <v>4909</v>
      </c>
      <c r="C256" s="1651">
        <v>76849</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28794</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1892</v>
      </c>
      <c r="B261" s="429">
        <v>4981</v>
      </c>
      <c r="C261" s="1650"/>
      <c r="D261" s="1651"/>
      <c r="E261" s="1575"/>
      <c r="F261" s="1651"/>
      <c r="G261" s="1651"/>
      <c r="H261" s="1575"/>
      <c r="I261" s="1575"/>
      <c r="J261" s="1575"/>
      <c r="K261" s="1575"/>
    </row>
    <row r="262" spans="1:11" ht="12.75" customHeight="1" thickTop="1" thickBot="1" x14ac:dyDescent="0.25">
      <c r="A262" s="1540" t="s">
        <v>1893</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c r="D263" s="1651"/>
      <c r="E263" s="1575"/>
      <c r="F263" s="1651"/>
      <c r="G263" s="1651"/>
      <c r="H263" s="1575"/>
      <c r="I263" s="1575"/>
      <c r="J263" s="1575"/>
      <c r="K263" s="1575"/>
    </row>
    <row r="264" spans="1:11" ht="12.75" customHeight="1" thickTop="1" thickBot="1" x14ac:dyDescent="0.25">
      <c r="A264" s="427" t="s">
        <v>373</v>
      </c>
      <c r="B264" s="429">
        <v>4992</v>
      </c>
      <c r="C264" s="1650">
        <v>129271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1915056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1915056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14867448</v>
      </c>
      <c r="D268" s="1641">
        <f t="shared" si="12"/>
        <v>666934</v>
      </c>
      <c r="E268" s="1641">
        <f t="shared" si="12"/>
        <v>792851</v>
      </c>
      <c r="F268" s="1641">
        <f t="shared" si="12"/>
        <v>600365</v>
      </c>
      <c r="G268" s="1641">
        <f t="shared" si="12"/>
        <v>543048</v>
      </c>
      <c r="H268" s="1641">
        <f t="shared" si="12"/>
        <v>815</v>
      </c>
      <c r="I268" s="1641">
        <f t="shared" si="12"/>
        <v>2326</v>
      </c>
      <c r="J268" s="1641">
        <f t="shared" si="12"/>
        <v>494512</v>
      </c>
      <c r="K268" s="1629">
        <f t="shared" si="12"/>
        <v>52818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T23" sqref="T23:W23"/>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5"/>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71" t="s">
        <v>293</v>
      </c>
      <c r="B3" s="2272"/>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4376431</v>
      </c>
      <c r="D5" s="1573">
        <v>541501</v>
      </c>
      <c r="E5" s="1573">
        <v>113505</v>
      </c>
      <c r="F5" s="1573">
        <v>117630</v>
      </c>
      <c r="G5" s="1573">
        <v>82010</v>
      </c>
      <c r="H5" s="1573">
        <v>1038</v>
      </c>
      <c r="I5" s="1574"/>
      <c r="J5" s="1574"/>
      <c r="K5" s="1672">
        <f>SUM(C5:J5)</f>
        <v>5232115</v>
      </c>
      <c r="L5" s="1573">
        <v>5608586</v>
      </c>
    </row>
    <row r="6" spans="1:14" x14ac:dyDescent="0.2">
      <c r="A6" s="1274" t="s">
        <v>1415</v>
      </c>
      <c r="B6" s="503" t="s">
        <v>1413</v>
      </c>
      <c r="C6" s="1582"/>
      <c r="D6" s="1582"/>
      <c r="E6" s="1573"/>
      <c r="F6" s="1582"/>
      <c r="G6" s="1582"/>
      <c r="H6" s="1582"/>
      <c r="I6" s="1582"/>
      <c r="J6" s="1582"/>
      <c r="K6" s="1672">
        <f>SUM(C6,E6)</f>
        <v>0</v>
      </c>
      <c r="L6" s="1573"/>
    </row>
    <row r="7" spans="1:14" x14ac:dyDescent="0.2">
      <c r="A7" s="1274" t="s">
        <v>162</v>
      </c>
      <c r="B7" s="503" t="s">
        <v>960</v>
      </c>
      <c r="C7" s="1574"/>
      <c r="D7" s="1574"/>
      <c r="E7" s="1574"/>
      <c r="F7" s="1574"/>
      <c r="G7" s="1574"/>
      <c r="H7" s="1574"/>
      <c r="I7" s="1574"/>
      <c r="J7" s="1574"/>
      <c r="K7" s="1672">
        <f t="shared" ref="K7:K32" si="0">SUM(C7:J7)</f>
        <v>0</v>
      </c>
      <c r="L7" s="1573">
        <v>39941</v>
      </c>
    </row>
    <row r="8" spans="1:14" x14ac:dyDescent="0.2">
      <c r="A8" s="1274" t="s">
        <v>163</v>
      </c>
      <c r="B8" s="503">
        <v>1200</v>
      </c>
      <c r="C8" s="1573">
        <v>1147662</v>
      </c>
      <c r="D8" s="1573">
        <v>118307</v>
      </c>
      <c r="E8" s="1573">
        <v>100</v>
      </c>
      <c r="F8" s="1573">
        <v>125825</v>
      </c>
      <c r="G8" s="1573">
        <v>10486</v>
      </c>
      <c r="H8" s="1573"/>
      <c r="I8" s="1574"/>
      <c r="J8" s="1574"/>
      <c r="K8" s="1672">
        <f t="shared" si="0"/>
        <v>1402380</v>
      </c>
      <c r="L8" s="1573">
        <v>1645811</v>
      </c>
    </row>
    <row r="9" spans="1:14" x14ac:dyDescent="0.2">
      <c r="A9" s="1274" t="s">
        <v>715</v>
      </c>
      <c r="B9" s="503" t="s">
        <v>961</v>
      </c>
      <c r="C9" s="1574"/>
      <c r="D9" s="1574"/>
      <c r="E9" s="1574"/>
      <c r="F9" s="1574"/>
      <c r="G9" s="1574"/>
      <c r="H9" s="1574"/>
      <c r="I9" s="1574"/>
      <c r="J9" s="1574"/>
      <c r="K9" s="1672">
        <f t="shared" si="0"/>
        <v>0</v>
      </c>
      <c r="L9" s="1573">
        <v>25000</v>
      </c>
    </row>
    <row r="10" spans="1:14" x14ac:dyDescent="0.2">
      <c r="A10" s="1274" t="s">
        <v>716</v>
      </c>
      <c r="B10" s="503">
        <v>1250</v>
      </c>
      <c r="C10" s="1573">
        <v>227053</v>
      </c>
      <c r="D10" s="1573">
        <v>31772</v>
      </c>
      <c r="E10" s="1573">
        <v>24173</v>
      </c>
      <c r="F10" s="1573">
        <v>43639</v>
      </c>
      <c r="G10" s="1573">
        <v>44734</v>
      </c>
      <c r="H10" s="1573"/>
      <c r="I10" s="1574"/>
      <c r="J10" s="1574"/>
      <c r="K10" s="1672">
        <f t="shared" si="0"/>
        <v>371371</v>
      </c>
      <c r="L10" s="1573">
        <v>218609</v>
      </c>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v>168700</v>
      </c>
      <c r="D13" s="1573">
        <v>21829</v>
      </c>
      <c r="E13" s="1573"/>
      <c r="F13" s="1573">
        <v>6676</v>
      </c>
      <c r="G13" s="1573"/>
      <c r="H13" s="1573"/>
      <c r="I13" s="1574"/>
      <c r="J13" s="1574"/>
      <c r="K13" s="1672">
        <f t="shared" si="0"/>
        <v>197205</v>
      </c>
      <c r="L13" s="1573">
        <v>201025</v>
      </c>
    </row>
    <row r="14" spans="1:14" x14ac:dyDescent="0.2">
      <c r="A14" s="1274" t="s">
        <v>956</v>
      </c>
      <c r="B14" s="503">
        <v>1500</v>
      </c>
      <c r="C14" s="1573">
        <v>113310</v>
      </c>
      <c r="D14" s="1573">
        <v>10075</v>
      </c>
      <c r="E14" s="1573">
        <v>28749</v>
      </c>
      <c r="F14" s="1573">
        <v>13270</v>
      </c>
      <c r="G14" s="1573">
        <v>1645</v>
      </c>
      <c r="H14" s="1573"/>
      <c r="I14" s="1574"/>
      <c r="J14" s="1574"/>
      <c r="K14" s="1672">
        <f t="shared" si="0"/>
        <v>167049</v>
      </c>
      <c r="L14" s="1573">
        <v>196727</v>
      </c>
    </row>
    <row r="15" spans="1:14" x14ac:dyDescent="0.2">
      <c r="A15" s="1274" t="s">
        <v>957</v>
      </c>
      <c r="B15" s="503">
        <v>1600</v>
      </c>
      <c r="C15" s="1573"/>
      <c r="D15" s="1573"/>
      <c r="E15" s="1573"/>
      <c r="F15" s="1573"/>
      <c r="G15" s="1573"/>
      <c r="H15" s="1573"/>
      <c r="I15" s="1574"/>
      <c r="J15" s="1574"/>
      <c r="K15" s="1672">
        <f t="shared" si="0"/>
        <v>0</v>
      </c>
      <c r="L15" s="1573"/>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c r="D17" s="1574"/>
      <c r="E17" s="1574"/>
      <c r="F17" s="1574"/>
      <c r="G17" s="1574"/>
      <c r="H17" s="1574"/>
      <c r="I17" s="1574"/>
      <c r="J17" s="1574"/>
      <c r="K17" s="1672">
        <f t="shared" si="0"/>
        <v>0</v>
      </c>
      <c r="L17" s="1573"/>
    </row>
    <row r="18" spans="1:12" x14ac:dyDescent="0.2">
      <c r="A18" s="1274" t="s">
        <v>1077</v>
      </c>
      <c r="B18" s="503">
        <v>1800</v>
      </c>
      <c r="C18" s="1573"/>
      <c r="D18" s="1573"/>
      <c r="E18" s="1573"/>
      <c r="F18" s="1573"/>
      <c r="G18" s="1573"/>
      <c r="H18" s="1573"/>
      <c r="I18" s="1574"/>
      <c r="J18" s="1574"/>
      <c r="K18" s="1672">
        <f t="shared" si="0"/>
        <v>0</v>
      </c>
      <c r="L18" s="1573"/>
    </row>
    <row r="19" spans="1:12" x14ac:dyDescent="0.2">
      <c r="A19" s="1274" t="s">
        <v>133</v>
      </c>
      <c r="B19" s="503">
        <v>1900</v>
      </c>
      <c r="C19" s="1573">
        <v>209891</v>
      </c>
      <c r="D19" s="1573">
        <v>37341</v>
      </c>
      <c r="E19" s="1573">
        <v>986</v>
      </c>
      <c r="F19" s="1573"/>
      <c r="G19" s="1573"/>
      <c r="H19" s="1573"/>
      <c r="I19" s="1574"/>
      <c r="J19" s="1574"/>
      <c r="K19" s="1672">
        <f t="shared" si="0"/>
        <v>248218</v>
      </c>
      <c r="L19" s="1573">
        <v>324683</v>
      </c>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c r="I22" s="1673"/>
      <c r="J22" s="1582"/>
      <c r="K22" s="1672">
        <f t="shared" si="0"/>
        <v>0</v>
      </c>
      <c r="L22" s="1577"/>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row>
    <row r="33" spans="1:14" ht="12.75" customHeight="1" thickBot="1" x14ac:dyDescent="0.25">
      <c r="A33" s="1380" t="s">
        <v>1648</v>
      </c>
      <c r="B33" s="1381" t="s">
        <v>565</v>
      </c>
      <c r="C33" s="1674">
        <f>SUM(C5:C32)</f>
        <v>6243047</v>
      </c>
      <c r="D33" s="1674">
        <f t="shared" ref="D33:L33" si="1">SUM(D5:D32)</f>
        <v>760825</v>
      </c>
      <c r="E33" s="1674">
        <f t="shared" si="1"/>
        <v>167513</v>
      </c>
      <c r="F33" s="1674">
        <f t="shared" si="1"/>
        <v>307040</v>
      </c>
      <c r="G33" s="1674">
        <f t="shared" si="1"/>
        <v>138875</v>
      </c>
      <c r="H33" s="1674">
        <f t="shared" si="1"/>
        <v>1038</v>
      </c>
      <c r="I33" s="1674">
        <f t="shared" si="1"/>
        <v>0</v>
      </c>
      <c r="J33" s="1674">
        <f t="shared" si="1"/>
        <v>0</v>
      </c>
      <c r="K33" s="1674">
        <f t="shared" si="1"/>
        <v>7618338</v>
      </c>
      <c r="L33" s="1674">
        <f t="shared" si="1"/>
        <v>8260382</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120093</v>
      </c>
      <c r="D36" s="1586">
        <v>17722</v>
      </c>
      <c r="E36" s="1586">
        <v>54259</v>
      </c>
      <c r="F36" s="1586"/>
      <c r="G36" s="1586"/>
      <c r="H36" s="1586"/>
      <c r="I36" s="1574"/>
      <c r="J36" s="1574"/>
      <c r="K36" s="1672">
        <f t="shared" ref="K36:K41" si="2">SUM(C36:J36)</f>
        <v>192074</v>
      </c>
      <c r="L36" s="1573">
        <v>219146</v>
      </c>
    </row>
    <row r="37" spans="1:14" x14ac:dyDescent="0.2">
      <c r="A37" s="1274" t="s">
        <v>1080</v>
      </c>
      <c r="B37" s="503">
        <v>2120</v>
      </c>
      <c r="C37" s="1573">
        <v>103225</v>
      </c>
      <c r="D37" s="1573">
        <v>17740</v>
      </c>
      <c r="E37" s="1573"/>
      <c r="F37" s="1573">
        <v>24388</v>
      </c>
      <c r="G37" s="1573"/>
      <c r="H37" s="1573"/>
      <c r="I37" s="1574"/>
      <c r="J37" s="1574"/>
      <c r="K37" s="1672">
        <f t="shared" si="2"/>
        <v>145353</v>
      </c>
      <c r="L37" s="1573">
        <v>142146</v>
      </c>
    </row>
    <row r="38" spans="1:14" x14ac:dyDescent="0.2">
      <c r="A38" s="1274" t="s">
        <v>196</v>
      </c>
      <c r="B38" s="503">
        <v>2130</v>
      </c>
      <c r="C38" s="1573">
        <v>39510</v>
      </c>
      <c r="D38" s="1573">
        <v>5189</v>
      </c>
      <c r="E38" s="1573">
        <v>295</v>
      </c>
      <c r="F38" s="1573">
        <v>2104</v>
      </c>
      <c r="G38" s="1573">
        <v>8280</v>
      </c>
      <c r="H38" s="1573"/>
      <c r="I38" s="1574"/>
      <c r="J38" s="1574"/>
      <c r="K38" s="1672">
        <f t="shared" si="2"/>
        <v>55378</v>
      </c>
      <c r="L38" s="1573">
        <v>46700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106556</v>
      </c>
      <c r="D40" s="1573">
        <v>14368</v>
      </c>
      <c r="E40" s="1573"/>
      <c r="F40" s="1573"/>
      <c r="G40" s="1573"/>
      <c r="H40" s="1573"/>
      <c r="I40" s="1574"/>
      <c r="J40" s="1574"/>
      <c r="K40" s="1672">
        <f t="shared" si="2"/>
        <v>120924</v>
      </c>
      <c r="L40" s="1573"/>
    </row>
    <row r="41" spans="1:14" x14ac:dyDescent="0.2">
      <c r="A41" s="1274" t="s">
        <v>1649</v>
      </c>
      <c r="B41" s="503">
        <v>2190</v>
      </c>
      <c r="C41" s="1573"/>
      <c r="D41" s="1573"/>
      <c r="E41" s="1573"/>
      <c r="F41" s="1573"/>
      <c r="G41" s="1573"/>
      <c r="H41" s="1573"/>
      <c r="I41" s="1574"/>
      <c r="J41" s="1574"/>
      <c r="K41" s="1672">
        <f t="shared" si="2"/>
        <v>0</v>
      </c>
      <c r="L41" s="1573"/>
    </row>
    <row r="42" spans="1:14" ht="12.75" customHeight="1" thickBot="1" x14ac:dyDescent="0.25">
      <c r="A42" s="1380" t="s">
        <v>555</v>
      </c>
      <c r="B42" s="1381" t="s">
        <v>710</v>
      </c>
      <c r="C42" s="1674">
        <f>SUM(C36:C41)</f>
        <v>369384</v>
      </c>
      <c r="D42" s="1674">
        <f t="shared" ref="D42:L42" si="3">SUM(D36:D41)</f>
        <v>55019</v>
      </c>
      <c r="E42" s="1674">
        <f t="shared" si="3"/>
        <v>54554</v>
      </c>
      <c r="F42" s="1674">
        <f t="shared" si="3"/>
        <v>26492</v>
      </c>
      <c r="G42" s="1674">
        <f t="shared" si="3"/>
        <v>8280</v>
      </c>
      <c r="H42" s="1674">
        <f t="shared" si="3"/>
        <v>0</v>
      </c>
      <c r="I42" s="1674">
        <f t="shared" si="3"/>
        <v>0</v>
      </c>
      <c r="J42" s="1674">
        <f t="shared" si="3"/>
        <v>0</v>
      </c>
      <c r="K42" s="1674">
        <f t="shared" si="3"/>
        <v>513729</v>
      </c>
      <c r="L42" s="1674">
        <f t="shared" si="3"/>
        <v>407992</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22401</v>
      </c>
      <c r="D44" s="1586">
        <v>4425</v>
      </c>
      <c r="E44" s="1586">
        <v>84296</v>
      </c>
      <c r="F44" s="1586">
        <v>4406</v>
      </c>
      <c r="G44" s="1586"/>
      <c r="H44" s="1586"/>
      <c r="I44" s="1574"/>
      <c r="J44" s="1574"/>
      <c r="K44" s="1678">
        <f>SUM(C44:J44)</f>
        <v>115528</v>
      </c>
      <c r="L44" s="1586">
        <v>84804</v>
      </c>
    </row>
    <row r="45" spans="1:14" x14ac:dyDescent="0.2">
      <c r="A45" s="1274" t="s">
        <v>809</v>
      </c>
      <c r="B45" s="503">
        <v>2220</v>
      </c>
      <c r="C45" s="1573">
        <v>19305</v>
      </c>
      <c r="D45" s="1573">
        <v>1238</v>
      </c>
      <c r="E45" s="1573">
        <v>1999</v>
      </c>
      <c r="F45" s="1573">
        <v>6522</v>
      </c>
      <c r="G45" s="1573"/>
      <c r="H45" s="1573"/>
      <c r="I45" s="1574"/>
      <c r="J45" s="1574"/>
      <c r="K45" s="1678">
        <f>SUM(C45:J45)</f>
        <v>29064</v>
      </c>
      <c r="L45" s="1573">
        <v>60188</v>
      </c>
    </row>
    <row r="46" spans="1:14" x14ac:dyDescent="0.2">
      <c r="A46" s="1274" t="s">
        <v>810</v>
      </c>
      <c r="B46" s="503">
        <v>2230</v>
      </c>
      <c r="C46" s="1573"/>
      <c r="D46" s="1573"/>
      <c r="E46" s="1573">
        <v>8479</v>
      </c>
      <c r="F46" s="1573"/>
      <c r="G46" s="1573"/>
      <c r="H46" s="1573"/>
      <c r="I46" s="1574"/>
      <c r="J46" s="1574"/>
      <c r="K46" s="1678">
        <f>SUM(C46:J46)</f>
        <v>8479</v>
      </c>
      <c r="L46" s="1573">
        <v>8000</v>
      </c>
    </row>
    <row r="47" spans="1:14" ht="12.75" customHeight="1" thickBot="1" x14ac:dyDescent="0.25">
      <c r="A47" s="1380" t="s">
        <v>556</v>
      </c>
      <c r="B47" s="1381" t="s">
        <v>32</v>
      </c>
      <c r="C47" s="1674">
        <f>SUM(C44:C46)</f>
        <v>41706</v>
      </c>
      <c r="D47" s="1674">
        <f t="shared" ref="D47:K47" si="4">SUM(D44:D46)</f>
        <v>5663</v>
      </c>
      <c r="E47" s="1674">
        <f t="shared" si="4"/>
        <v>94774</v>
      </c>
      <c r="F47" s="1674">
        <f t="shared" si="4"/>
        <v>10928</v>
      </c>
      <c r="G47" s="1674">
        <f t="shared" si="4"/>
        <v>0</v>
      </c>
      <c r="H47" s="1674">
        <f t="shared" si="4"/>
        <v>0</v>
      </c>
      <c r="I47" s="1674">
        <f t="shared" si="4"/>
        <v>0</v>
      </c>
      <c r="J47" s="1674">
        <f t="shared" si="4"/>
        <v>0</v>
      </c>
      <c r="K47" s="1674">
        <f t="shared" si="4"/>
        <v>153071</v>
      </c>
      <c r="L47" s="1674">
        <f>SUM(L44:L46)</f>
        <v>152992</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27438</v>
      </c>
      <c r="D49" s="1586">
        <v>2636</v>
      </c>
      <c r="E49" s="1586">
        <v>51731</v>
      </c>
      <c r="F49" s="1586">
        <v>13571</v>
      </c>
      <c r="G49" s="1586">
        <v>7656</v>
      </c>
      <c r="H49" s="1586">
        <v>13076</v>
      </c>
      <c r="I49" s="1574"/>
      <c r="J49" s="1574"/>
      <c r="K49" s="1678">
        <f>SUM(C49:J49)</f>
        <v>116108</v>
      </c>
      <c r="L49" s="1586">
        <v>130776</v>
      </c>
    </row>
    <row r="50" spans="1:14" x14ac:dyDescent="0.2">
      <c r="A50" s="1274" t="s">
        <v>812</v>
      </c>
      <c r="B50" s="503">
        <v>2320</v>
      </c>
      <c r="C50" s="1573">
        <v>135562</v>
      </c>
      <c r="D50" s="1573">
        <v>6818</v>
      </c>
      <c r="E50" s="1573">
        <v>3980</v>
      </c>
      <c r="F50" s="1573"/>
      <c r="G50" s="1573"/>
      <c r="H50" s="1573"/>
      <c r="I50" s="1574"/>
      <c r="J50" s="1574"/>
      <c r="K50" s="1678">
        <f>SUM(C50:J50)</f>
        <v>146360</v>
      </c>
      <c r="L50" s="1573">
        <v>141161</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163000</v>
      </c>
      <c r="D53" s="1674">
        <f t="shared" ref="D53:L53" si="5">SUM(D49:D52)</f>
        <v>9454</v>
      </c>
      <c r="E53" s="1674">
        <f t="shared" si="5"/>
        <v>55711</v>
      </c>
      <c r="F53" s="1674">
        <f t="shared" si="5"/>
        <v>13571</v>
      </c>
      <c r="G53" s="1674">
        <f t="shared" si="5"/>
        <v>7656</v>
      </c>
      <c r="H53" s="1674">
        <f t="shared" si="5"/>
        <v>13076</v>
      </c>
      <c r="I53" s="1674">
        <f t="shared" si="5"/>
        <v>0</v>
      </c>
      <c r="J53" s="1674">
        <f t="shared" si="5"/>
        <v>0</v>
      </c>
      <c r="K53" s="1674">
        <f t="shared" si="5"/>
        <v>262468</v>
      </c>
      <c r="L53" s="1674">
        <f t="shared" si="5"/>
        <v>271937</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626982</v>
      </c>
      <c r="D55" s="1586">
        <v>61920</v>
      </c>
      <c r="E55" s="1586"/>
      <c r="F55" s="1586"/>
      <c r="G55" s="1586"/>
      <c r="H55" s="1586">
        <v>400</v>
      </c>
      <c r="I55" s="1574"/>
      <c r="J55" s="1574"/>
      <c r="K55" s="1678">
        <f>SUM(C55:J55)</f>
        <v>689302</v>
      </c>
      <c r="L55" s="1586">
        <v>711578</v>
      </c>
    </row>
    <row r="56" spans="1:14" ht="12.75" customHeight="1" x14ac:dyDescent="0.2">
      <c r="A56" s="1278" t="s">
        <v>372</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626982</v>
      </c>
      <c r="D57" s="1679">
        <f t="shared" ref="D57:K57" si="6">SUM(D55:D56)</f>
        <v>61920</v>
      </c>
      <c r="E57" s="1679">
        <f t="shared" si="6"/>
        <v>0</v>
      </c>
      <c r="F57" s="1679">
        <f t="shared" si="6"/>
        <v>0</v>
      </c>
      <c r="G57" s="1679">
        <f t="shared" si="6"/>
        <v>0</v>
      </c>
      <c r="H57" s="1679">
        <f t="shared" si="6"/>
        <v>400</v>
      </c>
      <c r="I57" s="1679">
        <f t="shared" si="6"/>
        <v>0</v>
      </c>
      <c r="J57" s="1679">
        <f t="shared" si="6"/>
        <v>0</v>
      </c>
      <c r="K57" s="1679">
        <f t="shared" si="6"/>
        <v>689302</v>
      </c>
      <c r="L57" s="1674">
        <f>SUM(L55:L56)</f>
        <v>711578</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459</v>
      </c>
      <c r="B60" s="503">
        <v>2520</v>
      </c>
      <c r="C60" s="1573">
        <v>122169</v>
      </c>
      <c r="D60" s="1573">
        <v>21331</v>
      </c>
      <c r="E60" s="1573">
        <v>9832</v>
      </c>
      <c r="F60" s="1573"/>
      <c r="G60" s="1573"/>
      <c r="H60" s="1573"/>
      <c r="I60" s="1574"/>
      <c r="J60" s="1574"/>
      <c r="K60" s="1678">
        <f t="shared" si="7"/>
        <v>153332</v>
      </c>
      <c r="L60" s="1573">
        <v>143165</v>
      </c>
      <c r="M60" s="501"/>
      <c r="N60" s="501"/>
    </row>
    <row r="61" spans="1:14" s="321" customFormat="1" x14ac:dyDescent="0.2">
      <c r="A61" s="1274" t="s">
        <v>195</v>
      </c>
      <c r="B61" s="503">
        <v>2540</v>
      </c>
      <c r="C61" s="1573">
        <v>403866</v>
      </c>
      <c r="D61" s="1573">
        <v>63051</v>
      </c>
      <c r="E61" s="1573">
        <v>511524</v>
      </c>
      <c r="F61" s="1573">
        <v>55883</v>
      </c>
      <c r="G61" s="1573">
        <v>1114</v>
      </c>
      <c r="H61" s="1573"/>
      <c r="I61" s="1574"/>
      <c r="J61" s="1574"/>
      <c r="K61" s="1678">
        <f t="shared" si="7"/>
        <v>1035438</v>
      </c>
      <c r="L61" s="1573">
        <v>1044922</v>
      </c>
      <c r="M61" s="501"/>
      <c r="N61" s="501"/>
    </row>
    <row r="62" spans="1:14" s="321" customFormat="1" x14ac:dyDescent="0.2">
      <c r="A62" s="1274" t="s">
        <v>946</v>
      </c>
      <c r="B62" s="503">
        <v>2550</v>
      </c>
      <c r="C62" s="1573">
        <v>3308</v>
      </c>
      <c r="D62" s="1573">
        <v>518</v>
      </c>
      <c r="E62" s="1573">
        <v>91</v>
      </c>
      <c r="F62" s="1573">
        <v>1026</v>
      </c>
      <c r="G62" s="1573"/>
      <c r="H62" s="1573"/>
      <c r="I62" s="1574"/>
      <c r="J62" s="1574"/>
      <c r="K62" s="1678">
        <f t="shared" si="7"/>
        <v>4943</v>
      </c>
      <c r="L62" s="1573">
        <v>10402</v>
      </c>
      <c r="M62" s="501"/>
      <c r="N62" s="501"/>
    </row>
    <row r="63" spans="1:14" s="501" customFormat="1" x14ac:dyDescent="0.2">
      <c r="A63" s="1274" t="s">
        <v>100</v>
      </c>
      <c r="B63" s="503">
        <v>2560</v>
      </c>
      <c r="C63" s="1573">
        <v>243213</v>
      </c>
      <c r="D63" s="1573">
        <v>12426</v>
      </c>
      <c r="E63" s="1573">
        <v>1490</v>
      </c>
      <c r="F63" s="1573">
        <v>570822</v>
      </c>
      <c r="G63" s="1573"/>
      <c r="H63" s="1573"/>
      <c r="I63" s="1574"/>
      <c r="J63" s="1574"/>
      <c r="K63" s="1678">
        <f t="shared" si="7"/>
        <v>827951</v>
      </c>
      <c r="L63" s="1573">
        <v>857777</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772556</v>
      </c>
      <c r="D65" s="1674">
        <f t="shared" ref="D65:L65" si="8">SUM(D59:D64)</f>
        <v>97326</v>
      </c>
      <c r="E65" s="1674">
        <f t="shared" si="8"/>
        <v>522937</v>
      </c>
      <c r="F65" s="1674">
        <f t="shared" si="8"/>
        <v>627731</v>
      </c>
      <c r="G65" s="1674">
        <f t="shared" si="8"/>
        <v>1114</v>
      </c>
      <c r="H65" s="1674">
        <f t="shared" si="8"/>
        <v>0</v>
      </c>
      <c r="I65" s="1674">
        <f t="shared" si="8"/>
        <v>0</v>
      </c>
      <c r="J65" s="1674">
        <f t="shared" si="8"/>
        <v>0</v>
      </c>
      <c r="K65" s="1674">
        <f t="shared" si="8"/>
        <v>2021664</v>
      </c>
      <c r="L65" s="1674">
        <f t="shared" si="8"/>
        <v>2056266</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1051</v>
      </c>
      <c r="B69" s="503">
        <v>2630</v>
      </c>
      <c r="C69" s="1573"/>
      <c r="D69" s="1573"/>
      <c r="E69" s="1573"/>
      <c r="F69" s="1573"/>
      <c r="G69" s="1573"/>
      <c r="H69" s="1573"/>
      <c r="I69" s="1574"/>
      <c r="J69" s="1574"/>
      <c r="K69" s="1678">
        <f>SUM(C69:J69)</f>
        <v>0</v>
      </c>
      <c r="L69" s="1573"/>
      <c r="M69" s="501"/>
      <c r="N69" s="501"/>
    </row>
    <row r="70" spans="1:14" s="321" customFormat="1" x14ac:dyDescent="0.2">
      <c r="A70" s="1274" t="s">
        <v>399</v>
      </c>
      <c r="B70" s="503">
        <v>2640</v>
      </c>
      <c r="C70" s="1573"/>
      <c r="D70" s="1573"/>
      <c r="E70" s="1573"/>
      <c r="F70" s="1573"/>
      <c r="G70" s="1573"/>
      <c r="H70" s="1573"/>
      <c r="I70" s="1574"/>
      <c r="J70" s="1574"/>
      <c r="K70" s="1678">
        <f>SUM(C70:J70)</f>
        <v>0</v>
      </c>
      <c r="L70" s="1573"/>
      <c r="M70" s="501"/>
      <c r="N70" s="501"/>
    </row>
    <row r="71" spans="1:14" s="321" customFormat="1" x14ac:dyDescent="0.2">
      <c r="A71" s="1274" t="s">
        <v>400</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972</v>
      </c>
      <c r="B73" s="515" t="s">
        <v>569</v>
      </c>
      <c r="C73" s="1649"/>
      <c r="D73" s="1649"/>
      <c r="E73" s="1649"/>
      <c r="F73" s="1649">
        <v>417</v>
      </c>
      <c r="G73" s="1649"/>
      <c r="H73" s="1649"/>
      <c r="I73" s="1627"/>
      <c r="J73" s="1627"/>
      <c r="K73" s="1674">
        <f>SUM(C73:J73)</f>
        <v>417</v>
      </c>
      <c r="L73" s="1651"/>
      <c r="M73" s="501"/>
      <c r="N73" s="501"/>
    </row>
    <row r="74" spans="1:14" ht="12.75" customHeight="1" thickTop="1" thickBot="1" x14ac:dyDescent="0.25">
      <c r="A74" s="1380" t="s">
        <v>805</v>
      </c>
      <c r="B74" s="1384">
        <v>2000</v>
      </c>
      <c r="C74" s="1681">
        <f>SUM(C42,C47,C53,C57,C65,C72,C73)</f>
        <v>1973628</v>
      </c>
      <c r="D74" s="1681">
        <f t="shared" ref="D74:K74" si="10">SUM(D42,D47,D53,D57,D65,D72,D73)</f>
        <v>229382</v>
      </c>
      <c r="E74" s="1681">
        <f t="shared" si="10"/>
        <v>727976</v>
      </c>
      <c r="F74" s="1681">
        <f t="shared" si="10"/>
        <v>679139</v>
      </c>
      <c r="G74" s="1681">
        <f t="shared" si="10"/>
        <v>17050</v>
      </c>
      <c r="H74" s="1681">
        <f t="shared" si="10"/>
        <v>13476</v>
      </c>
      <c r="I74" s="1681">
        <f t="shared" si="10"/>
        <v>0</v>
      </c>
      <c r="J74" s="1681">
        <f t="shared" si="10"/>
        <v>0</v>
      </c>
      <c r="K74" s="1681">
        <f t="shared" si="10"/>
        <v>3640651</v>
      </c>
      <c r="L74" s="1681">
        <f>SUM(L42,L47,L53,L57,L65,L72,L73)</f>
        <v>3600765</v>
      </c>
    </row>
    <row r="75" spans="1:14" s="254" customFormat="1" ht="15.75" customHeight="1" thickTop="1" thickBot="1" x14ac:dyDescent="0.25">
      <c r="A75" s="1348" t="s">
        <v>47</v>
      </c>
      <c r="B75" s="1349" t="s">
        <v>570</v>
      </c>
      <c r="C75" s="1649">
        <v>264384</v>
      </c>
      <c r="D75" s="1649">
        <v>18590</v>
      </c>
      <c r="E75" s="1649">
        <v>12559</v>
      </c>
      <c r="F75" s="1649">
        <v>12124</v>
      </c>
      <c r="G75" s="1649"/>
      <c r="H75" s="1649"/>
      <c r="I75" s="1627"/>
      <c r="J75" s="1627"/>
      <c r="K75" s="1674">
        <f>SUM(C75:J75)</f>
        <v>307657</v>
      </c>
      <c r="L75" s="1651">
        <v>275705</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v>3400</v>
      </c>
      <c r="I78" s="1582"/>
      <c r="J78" s="1582"/>
      <c r="K78" s="1672">
        <f t="shared" ref="K78:K83" si="11">SUM(C78:J78)</f>
        <v>3400</v>
      </c>
      <c r="L78" s="1586"/>
    </row>
    <row r="79" spans="1:14" x14ac:dyDescent="0.2">
      <c r="A79" s="1274" t="s">
        <v>300</v>
      </c>
      <c r="B79" s="503">
        <v>4120</v>
      </c>
      <c r="C79" s="1673"/>
      <c r="D79" s="1673"/>
      <c r="E79" s="1573"/>
      <c r="F79" s="1673"/>
      <c r="G79" s="1673"/>
      <c r="H79" s="1573">
        <v>611119</v>
      </c>
      <c r="I79" s="1582"/>
      <c r="J79" s="1582"/>
      <c r="K79" s="1672">
        <f t="shared" si="11"/>
        <v>611119</v>
      </c>
      <c r="L79" s="1573">
        <v>720000</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row>
    <row r="84" spans="1:12" ht="13.5" thickBot="1" x14ac:dyDescent="0.25">
      <c r="A84" s="1380" t="s">
        <v>1467</v>
      </c>
      <c r="B84" s="1385">
        <v>4100</v>
      </c>
      <c r="C84" s="1673"/>
      <c r="D84" s="1673"/>
      <c r="E84" s="1674">
        <f>SUM(E78:E83)</f>
        <v>0</v>
      </c>
      <c r="F84" s="1673"/>
      <c r="G84" s="1673"/>
      <c r="H84" s="1674">
        <f>SUM(H78:H83)</f>
        <v>614519</v>
      </c>
      <c r="I84" s="1582"/>
      <c r="J84" s="1582"/>
      <c r="K84" s="1674">
        <f>SUM(K78:K83)</f>
        <v>614519</v>
      </c>
      <c r="L84" s="1674">
        <f>SUM(L78:L83)</f>
        <v>720000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c r="I86" s="1582"/>
      <c r="J86" s="1582"/>
      <c r="K86" s="1681">
        <f t="shared" ref="K86:K98" si="12">H86</f>
        <v>0</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1542</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v>15949</v>
      </c>
      <c r="I99" s="1582"/>
      <c r="J99" s="1582"/>
      <c r="K99" s="1681">
        <f>SUM(E99,H99)</f>
        <v>15949</v>
      </c>
      <c r="L99" s="1626"/>
    </row>
    <row r="100" spans="1:14" ht="14.25" thickTop="1" thickBot="1" x14ac:dyDescent="0.25">
      <c r="A100" s="1386" t="s">
        <v>1468</v>
      </c>
      <c r="B100" s="1387">
        <v>4300</v>
      </c>
      <c r="C100" s="1673"/>
      <c r="D100" s="1673"/>
      <c r="E100" s="1681">
        <f>SUM(E93:E99)</f>
        <v>0</v>
      </c>
      <c r="F100" s="1673"/>
      <c r="G100" s="1673"/>
      <c r="H100" s="1681">
        <f>SUM(H93:H99)</f>
        <v>15949</v>
      </c>
      <c r="I100" s="1582"/>
      <c r="J100" s="1582"/>
      <c r="K100" s="1681">
        <f>SUM(K93:K99)</f>
        <v>15949</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0</v>
      </c>
      <c r="F102" s="1673"/>
      <c r="G102" s="1673"/>
      <c r="H102" s="1681">
        <f>SUM(H84,H92,H100,H101)</f>
        <v>630468</v>
      </c>
      <c r="I102" s="1582"/>
      <c r="J102" s="1582"/>
      <c r="K102" s="1681">
        <f>SUM(K84,K92,K100,K101)</f>
        <v>630468</v>
      </c>
      <c r="L102" s="1681">
        <f>SUM(L84,L92,L100,L101)</f>
        <v>720000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v>844</v>
      </c>
      <c r="I111" s="1575"/>
      <c r="J111" s="1575"/>
      <c r="K111" s="1688">
        <f>H111</f>
        <v>844</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844</v>
      </c>
      <c r="I112" s="1575"/>
      <c r="J112" s="1575"/>
      <c r="K112" s="1674">
        <f>SUM(K110:K111)</f>
        <v>844</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8481059</v>
      </c>
      <c r="D114" s="1674">
        <f t="shared" ref="D114:K114" si="13">SUM(D33,D74,D75,D102,D112,D113)</f>
        <v>1008797</v>
      </c>
      <c r="E114" s="1674">
        <f t="shared" si="13"/>
        <v>908048</v>
      </c>
      <c r="F114" s="1674">
        <f t="shared" si="13"/>
        <v>998303</v>
      </c>
      <c r="G114" s="1674">
        <f t="shared" si="13"/>
        <v>155925</v>
      </c>
      <c r="H114" s="1674">
        <f>SUM(H33,H74,H75,H102,H112,H113)</f>
        <v>645826</v>
      </c>
      <c r="I114" s="1674">
        <f t="shared" si="13"/>
        <v>0</v>
      </c>
      <c r="J114" s="1674">
        <f t="shared" si="13"/>
        <v>0</v>
      </c>
      <c r="K114" s="1674">
        <f t="shared" si="13"/>
        <v>12197958</v>
      </c>
      <c r="L114" s="1674">
        <f>SUM(L33,L74,L75,L102,L112,L113)</f>
        <v>12856852</v>
      </c>
    </row>
    <row r="115" spans="1:14" ht="13.5" thickTop="1" x14ac:dyDescent="0.2">
      <c r="A115" s="2263" t="s">
        <v>988</v>
      </c>
      <c r="B115" s="2264"/>
      <c r="C115" s="1675"/>
      <c r="D115" s="1675"/>
      <c r="E115" s="1675"/>
      <c r="F115" s="1675"/>
      <c r="G115" s="1675"/>
      <c r="H115" s="1675"/>
      <c r="I115" s="1675"/>
      <c r="J115" s="1675"/>
      <c r="K115" s="1689">
        <f>'Revenues 9-14'!C268-'Expenditures 15-22'!K114</f>
        <v>2669490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292</v>
      </c>
      <c r="B117" s="2269"/>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1959</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282725</v>
      </c>
      <c r="F124" s="1573">
        <v>54128</v>
      </c>
      <c r="G124" s="1573">
        <v>195790</v>
      </c>
      <c r="H124" s="1573"/>
      <c r="I124" s="1574"/>
      <c r="J124" s="1574"/>
      <c r="K124" s="1674">
        <f>SUM(C124:J124)</f>
        <v>532643</v>
      </c>
      <c r="L124" s="1573">
        <v>630000</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0</v>
      </c>
      <c r="D127" s="1674">
        <f t="shared" ref="D127:L127" si="14">SUM(D122:D126)</f>
        <v>0</v>
      </c>
      <c r="E127" s="1674">
        <f t="shared" si="14"/>
        <v>282725</v>
      </c>
      <c r="F127" s="1674">
        <f t="shared" si="14"/>
        <v>54128</v>
      </c>
      <c r="G127" s="1674">
        <f t="shared" si="14"/>
        <v>195790</v>
      </c>
      <c r="H127" s="1674">
        <f t="shared" si="14"/>
        <v>0</v>
      </c>
      <c r="I127" s="1674">
        <f t="shared" si="14"/>
        <v>0</v>
      </c>
      <c r="J127" s="1674">
        <f t="shared" si="14"/>
        <v>0</v>
      </c>
      <c r="K127" s="1674">
        <f t="shared" si="14"/>
        <v>532643</v>
      </c>
      <c r="L127" s="1674">
        <f t="shared" si="14"/>
        <v>630000</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0</v>
      </c>
      <c r="D129" s="1681">
        <f t="shared" ref="D129:L129" si="15">SUM(D120,D127,D128)</f>
        <v>0</v>
      </c>
      <c r="E129" s="1681">
        <f t="shared" si="15"/>
        <v>282725</v>
      </c>
      <c r="F129" s="1681">
        <f t="shared" si="15"/>
        <v>54128</v>
      </c>
      <c r="G129" s="1681">
        <f t="shared" si="15"/>
        <v>195790</v>
      </c>
      <c r="H129" s="1681">
        <f t="shared" si="15"/>
        <v>0</v>
      </c>
      <c r="I129" s="1681">
        <f t="shared" si="15"/>
        <v>0</v>
      </c>
      <c r="J129" s="1681">
        <f t="shared" si="15"/>
        <v>0</v>
      </c>
      <c r="K129" s="1681">
        <f t="shared" si="15"/>
        <v>532643</v>
      </c>
      <c r="L129" s="1681">
        <f t="shared" si="15"/>
        <v>630000</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1812</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80" t="s">
        <v>615</v>
      </c>
      <c r="B151" s="2260"/>
      <c r="C151" s="1674">
        <f>SUM(C129,C130,C139,C149,C150)</f>
        <v>0</v>
      </c>
      <c r="D151" s="1674">
        <f t="shared" ref="D151:K151" si="16">SUM(D129,D130,D139,D149,D150)</f>
        <v>0</v>
      </c>
      <c r="E151" s="1674">
        <f t="shared" si="16"/>
        <v>282725</v>
      </c>
      <c r="F151" s="1674">
        <f t="shared" si="16"/>
        <v>54128</v>
      </c>
      <c r="G151" s="1674">
        <f t="shared" si="16"/>
        <v>195790</v>
      </c>
      <c r="H151" s="1674">
        <f t="shared" si="16"/>
        <v>0</v>
      </c>
      <c r="I151" s="1674">
        <f t="shared" si="16"/>
        <v>0</v>
      </c>
      <c r="J151" s="1674">
        <f t="shared" si="16"/>
        <v>0</v>
      </c>
      <c r="K151" s="1674">
        <f t="shared" si="16"/>
        <v>532643</v>
      </c>
      <c r="L151" s="1674">
        <f>SUM(L129,L130,L139,L149,L150)</f>
        <v>630000</v>
      </c>
    </row>
    <row r="152" spans="1:14" ht="12.75" customHeight="1" thickTop="1" x14ac:dyDescent="0.2">
      <c r="A152" s="2283" t="s">
        <v>1167</v>
      </c>
      <c r="B152" s="2284"/>
      <c r="C152" s="1675"/>
      <c r="D152" s="1675"/>
      <c r="E152" s="1675"/>
      <c r="F152" s="1675"/>
      <c r="G152" s="1675"/>
      <c r="H152" s="1675"/>
      <c r="I152" s="1675"/>
      <c r="J152" s="1673"/>
      <c r="K152" s="1689">
        <f>'Revenues 9-14'!D268-'Expenditures 15-22'!K151</f>
        <v>134291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616</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1812</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1814</v>
      </c>
      <c r="C158" s="1673"/>
      <c r="D158" s="1673"/>
      <c r="E158" s="1673"/>
      <c r="F158" s="1673"/>
      <c r="G158" s="1673"/>
      <c r="H158" s="1574"/>
      <c r="I158" s="1673"/>
      <c r="J158" s="1673"/>
      <c r="K158" s="1672">
        <f>H158</f>
        <v>0</v>
      </c>
      <c r="L158" s="1574"/>
      <c r="M158" s="505"/>
      <c r="N158" s="505"/>
    </row>
    <row r="159" spans="1:14" s="506" customFormat="1" ht="12" x14ac:dyDescent="0.2">
      <c r="A159" s="1462" t="s">
        <v>1815</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1816</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81536</v>
      </c>
      <c r="I169" s="1673"/>
      <c r="J169" s="1673"/>
      <c r="K169" s="1672">
        <f>SUM(C169:H169)</f>
        <v>81536</v>
      </c>
      <c r="L169" s="1695"/>
    </row>
    <row r="170" spans="1:14" ht="33.75" customHeight="1" x14ac:dyDescent="0.2">
      <c r="A170" s="543" t="s">
        <v>1650</v>
      </c>
      <c r="B170" s="545" t="s">
        <v>31</v>
      </c>
      <c r="C170" s="1673"/>
      <c r="D170" s="1673"/>
      <c r="E170" s="1673"/>
      <c r="F170" s="1673"/>
      <c r="G170" s="1673"/>
      <c r="H170" s="1646">
        <v>814810</v>
      </c>
      <c r="I170" s="1673"/>
      <c r="J170" s="1673"/>
      <c r="K170" s="1672">
        <f>SUM(C170:J170)</f>
        <v>814810</v>
      </c>
      <c r="L170" s="1646">
        <v>497850</v>
      </c>
    </row>
    <row r="171" spans="1:14" ht="15.75" customHeight="1" x14ac:dyDescent="0.2">
      <c r="A171" s="507" t="s">
        <v>760</v>
      </c>
      <c r="B171" s="546" t="s">
        <v>84</v>
      </c>
      <c r="C171" s="1673"/>
      <c r="D171" s="1673"/>
      <c r="E171" s="1573"/>
      <c r="F171" s="1673"/>
      <c r="G171" s="1673"/>
      <c r="H171" s="1646">
        <v>500</v>
      </c>
      <c r="I171" s="1582"/>
      <c r="J171" s="1673"/>
      <c r="K171" s="1672">
        <f>SUM(C171:J171)</f>
        <v>500</v>
      </c>
      <c r="L171" s="1646"/>
    </row>
    <row r="172" spans="1:14" ht="12.75" customHeight="1" thickBot="1" x14ac:dyDescent="0.25">
      <c r="A172" s="1380" t="s">
        <v>632</v>
      </c>
      <c r="B172" s="1381" t="s">
        <v>488</v>
      </c>
      <c r="C172" s="1673"/>
      <c r="D172" s="1673"/>
      <c r="E172" s="1681">
        <f>SUM(E168,E169,E170,E171)</f>
        <v>0</v>
      </c>
      <c r="F172" s="1673"/>
      <c r="G172" s="1673"/>
      <c r="H172" s="1681">
        <f>SUM(H168,H169,H170,H171)</f>
        <v>896846</v>
      </c>
      <c r="I172" s="1684"/>
      <c r="J172" s="1673"/>
      <c r="K172" s="1681">
        <f>SUM(K168,K169,K170,K171)</f>
        <v>896846</v>
      </c>
      <c r="L172" s="1681">
        <f>SUM(L168,L169,L170,L171)</f>
        <v>497850</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896846</v>
      </c>
      <c r="I174" s="1684"/>
      <c r="J174" s="1673"/>
      <c r="K174" s="1681">
        <f>SUM(K160,K172,K173)</f>
        <v>896846</v>
      </c>
      <c r="L174" s="1681">
        <f>SUM(L160,L172,L173)</f>
        <v>497850</v>
      </c>
    </row>
    <row r="175" spans="1:14" ht="13.5" thickTop="1" x14ac:dyDescent="0.2">
      <c r="A175" s="2263" t="s">
        <v>988</v>
      </c>
      <c r="B175" s="2264"/>
      <c r="C175" s="1673"/>
      <c r="D175" s="1673"/>
      <c r="E175" s="1673"/>
      <c r="F175" s="1673"/>
      <c r="G175" s="1673"/>
      <c r="H175" s="1675"/>
      <c r="I175" s="1673"/>
      <c r="J175" s="1673"/>
      <c r="K175" s="1689">
        <f>'Revenues 9-14'!E268-'Expenditures 15-22'!K174</f>
        <v>-103995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181863</v>
      </c>
      <c r="D182" s="1573">
        <v>290</v>
      </c>
      <c r="E182" s="1573">
        <v>74333</v>
      </c>
      <c r="F182" s="1573">
        <v>29804</v>
      </c>
      <c r="G182" s="1573">
        <v>103734</v>
      </c>
      <c r="H182" s="1573"/>
      <c r="I182" s="1574"/>
      <c r="J182" s="1574"/>
      <c r="K182" s="1672">
        <f>SUM(C182:J182)</f>
        <v>390024</v>
      </c>
      <c r="L182" s="1573">
        <v>617894</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181863</v>
      </c>
      <c r="D184" s="1681">
        <f t="shared" ref="D184:J184" si="17">SUM(D180,D182,D183)</f>
        <v>290</v>
      </c>
      <c r="E184" s="1681">
        <f t="shared" si="17"/>
        <v>74333</v>
      </c>
      <c r="F184" s="1681">
        <f t="shared" si="17"/>
        <v>29804</v>
      </c>
      <c r="G184" s="1681">
        <f t="shared" si="17"/>
        <v>103734</v>
      </c>
      <c r="H184" s="1681">
        <f t="shared" si="17"/>
        <v>0</v>
      </c>
      <c r="I184" s="1681">
        <f t="shared" si="17"/>
        <v>0</v>
      </c>
      <c r="J184" s="1681">
        <f t="shared" si="17"/>
        <v>0</v>
      </c>
      <c r="K184" s="1681">
        <f>SUM(K180,K182,K183)</f>
        <v>390024</v>
      </c>
      <c r="L184" s="1681">
        <f>SUM(L180, L182:L183)</f>
        <v>617894</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4934</v>
      </c>
      <c r="I205" s="1673"/>
      <c r="J205" s="1673"/>
      <c r="K205" s="1696">
        <f>SUM(H205)</f>
        <v>4934</v>
      </c>
      <c r="L205" s="1630"/>
    </row>
    <row r="206" spans="1:14" ht="30" customHeight="1" x14ac:dyDescent="0.2">
      <c r="A206" s="555" t="s">
        <v>1651</v>
      </c>
      <c r="B206" s="546" t="s">
        <v>31</v>
      </c>
      <c r="C206" s="1673"/>
      <c r="D206" s="1673"/>
      <c r="E206" s="1673"/>
      <c r="F206" s="1673"/>
      <c r="G206" s="1673"/>
      <c r="H206" s="1573">
        <v>63284</v>
      </c>
      <c r="I206" s="1673"/>
      <c r="J206" s="1673"/>
      <c r="K206" s="1672">
        <f>SUM(H206)</f>
        <v>63284</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68218</v>
      </c>
      <c r="I208" s="1673"/>
      <c r="J208" s="1673"/>
      <c r="K208" s="1681">
        <f>SUM(K204,K205,K206,K207)</f>
        <v>68218</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181863</v>
      </c>
      <c r="D210" s="1674">
        <f>SUM(D184,D185)</f>
        <v>290</v>
      </c>
      <c r="E210" s="1674">
        <f>SUM(E184,E185,E196)</f>
        <v>74333</v>
      </c>
      <c r="F210" s="1674">
        <f>SUM(F184,F185)</f>
        <v>29804</v>
      </c>
      <c r="G210" s="1674">
        <f>SUM(G184,G185)</f>
        <v>103734</v>
      </c>
      <c r="H210" s="1674">
        <f>SUM(H184,H185,H196,H208,H209)</f>
        <v>68218</v>
      </c>
      <c r="I210" s="1674">
        <f>SUM(I184,I185)</f>
        <v>0</v>
      </c>
      <c r="J210" s="1674">
        <f>SUM(J184,J185)</f>
        <v>0</v>
      </c>
      <c r="K210" s="1672">
        <f>SUM(K184,K185,K196,K208,K209)</f>
        <v>458242</v>
      </c>
      <c r="L210" s="1674">
        <f>SUM(L184,L185,L196,L208,L209)</f>
        <v>617894</v>
      </c>
    </row>
    <row r="211" spans="1:14" ht="13.5" thickTop="1" x14ac:dyDescent="0.2">
      <c r="A211" s="2263" t="s">
        <v>988</v>
      </c>
      <c r="B211" s="2264"/>
      <c r="C211" s="1675"/>
      <c r="D211" s="1675"/>
      <c r="E211" s="1675"/>
      <c r="F211" s="1675"/>
      <c r="G211" s="1675"/>
      <c r="H211" s="1675"/>
      <c r="I211" s="1673"/>
      <c r="J211" s="1673"/>
      <c r="K211" s="1689">
        <f>'Revenues 9-14'!F268-'Expenditures 15-22'!K210</f>
        <v>142123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958</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104677</v>
      </c>
      <c r="E215" s="1673"/>
      <c r="F215" s="1673"/>
      <c r="G215" s="1673"/>
      <c r="H215" s="1673"/>
      <c r="I215" s="1673"/>
      <c r="J215" s="1673"/>
      <c r="K215" s="1672">
        <f>D215</f>
        <v>104677</v>
      </c>
      <c r="L215" s="1573">
        <v>91173</v>
      </c>
    </row>
    <row r="216" spans="1:14" x14ac:dyDescent="0.2">
      <c r="A216" s="1274" t="s">
        <v>162</v>
      </c>
      <c r="B216" s="503" t="s">
        <v>960</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90961</v>
      </c>
      <c r="E217" s="1673"/>
      <c r="F217" s="1673"/>
      <c r="G217" s="1673"/>
      <c r="H217" s="1673"/>
      <c r="I217" s="1673"/>
      <c r="J217" s="1673"/>
      <c r="K217" s="1672">
        <f t="shared" si="19"/>
        <v>90961</v>
      </c>
      <c r="L217" s="1573">
        <v>97260</v>
      </c>
    </row>
    <row r="218" spans="1:14" x14ac:dyDescent="0.2">
      <c r="A218" s="1274" t="s">
        <v>275</v>
      </c>
      <c r="B218" s="503" t="s">
        <v>961</v>
      </c>
      <c r="C218" s="1673"/>
      <c r="D218" s="1574"/>
      <c r="E218" s="1673"/>
      <c r="F218" s="1673"/>
      <c r="G218" s="1673"/>
      <c r="H218" s="1673"/>
      <c r="I218" s="1673"/>
      <c r="J218" s="1673"/>
      <c r="K218" s="1672">
        <f t="shared" si="19"/>
        <v>0</v>
      </c>
      <c r="L218" s="1573"/>
    </row>
    <row r="219" spans="1:14" x14ac:dyDescent="0.2">
      <c r="A219" s="1274" t="s">
        <v>276</v>
      </c>
      <c r="B219" s="503">
        <v>1250</v>
      </c>
      <c r="C219" s="1673"/>
      <c r="D219" s="1573">
        <v>3964</v>
      </c>
      <c r="E219" s="1673"/>
      <c r="F219" s="1673"/>
      <c r="G219" s="1673"/>
      <c r="H219" s="1673"/>
      <c r="I219" s="1673"/>
      <c r="J219" s="1673"/>
      <c r="K219" s="1672">
        <f t="shared" si="19"/>
        <v>3964</v>
      </c>
      <c r="L219" s="1573">
        <v>4197</v>
      </c>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v>2555</v>
      </c>
      <c r="E222" s="1673"/>
      <c r="F222" s="1673"/>
      <c r="G222" s="1673"/>
      <c r="H222" s="1673"/>
      <c r="I222" s="1673"/>
      <c r="J222" s="1673"/>
      <c r="K222" s="1672">
        <f t="shared" si="19"/>
        <v>2555</v>
      </c>
      <c r="L222" s="1573">
        <v>2462</v>
      </c>
    </row>
    <row r="223" spans="1:14" x14ac:dyDescent="0.2">
      <c r="A223" s="1274" t="s">
        <v>956</v>
      </c>
      <c r="B223" s="503">
        <v>1500</v>
      </c>
      <c r="C223" s="1673"/>
      <c r="D223" s="1573">
        <v>3490</v>
      </c>
      <c r="E223" s="1673"/>
      <c r="F223" s="1673"/>
      <c r="G223" s="1673"/>
      <c r="H223" s="1673"/>
      <c r="I223" s="1673"/>
      <c r="J223" s="1673"/>
      <c r="K223" s="1672">
        <f t="shared" si="19"/>
        <v>3490</v>
      </c>
      <c r="L223" s="1573"/>
    </row>
    <row r="224" spans="1:14" x14ac:dyDescent="0.2">
      <c r="A224" s="1274" t="s">
        <v>957</v>
      </c>
      <c r="B224" s="503">
        <v>1600</v>
      </c>
      <c r="C224" s="1673"/>
      <c r="D224" s="1573"/>
      <c r="E224" s="1673"/>
      <c r="F224" s="1673"/>
      <c r="G224" s="1673"/>
      <c r="H224" s="1673"/>
      <c r="I224" s="1673"/>
      <c r="J224" s="1673"/>
      <c r="K224" s="1672">
        <f t="shared" si="19"/>
        <v>0</v>
      </c>
      <c r="L224" s="1573">
        <v>4073</v>
      </c>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c r="E226" s="1673"/>
      <c r="F226" s="1673"/>
      <c r="G226" s="1673"/>
      <c r="H226" s="1673"/>
      <c r="I226" s="1673"/>
      <c r="J226" s="1673"/>
      <c r="K226" s="1672">
        <f t="shared" si="19"/>
        <v>0</v>
      </c>
      <c r="L226" s="1573"/>
    </row>
    <row r="227" spans="1:12" x14ac:dyDescent="0.2">
      <c r="A227" s="1274" t="s">
        <v>1077</v>
      </c>
      <c r="B227" s="503">
        <v>1800</v>
      </c>
      <c r="C227" s="1673"/>
      <c r="D227" s="1573"/>
      <c r="E227" s="1673"/>
      <c r="F227" s="1673"/>
      <c r="G227" s="1673"/>
      <c r="H227" s="1673"/>
      <c r="I227" s="1673"/>
      <c r="J227" s="1673"/>
      <c r="K227" s="1672">
        <f t="shared" si="19"/>
        <v>0</v>
      </c>
      <c r="L227" s="1573"/>
    </row>
    <row r="228" spans="1:12" x14ac:dyDescent="0.2">
      <c r="A228" s="1274" t="s">
        <v>1078</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205647</v>
      </c>
      <c r="E229" s="1673"/>
      <c r="F229" s="1673"/>
      <c r="G229" s="1673"/>
      <c r="H229" s="1673"/>
      <c r="I229" s="1673"/>
      <c r="J229" s="1673"/>
      <c r="K229" s="1674">
        <f>SUM(K215:K228)</f>
        <v>205647</v>
      </c>
      <c r="L229" s="1674">
        <f>SUM(L215:L228)</f>
        <v>199165</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4627</v>
      </c>
      <c r="E232" s="1673"/>
      <c r="F232" s="1673"/>
      <c r="G232" s="1673"/>
      <c r="H232" s="1673"/>
      <c r="I232" s="1673"/>
      <c r="J232" s="1673"/>
      <c r="K232" s="1672">
        <f t="shared" ref="K232:K237" si="20">D232</f>
        <v>4627</v>
      </c>
      <c r="L232" s="1573">
        <v>6008</v>
      </c>
    </row>
    <row r="233" spans="1:12" x14ac:dyDescent="0.2">
      <c r="A233" s="1274" t="s">
        <v>1080</v>
      </c>
      <c r="B233" s="503">
        <v>2120</v>
      </c>
      <c r="C233" s="1673"/>
      <c r="D233" s="1573">
        <v>1402</v>
      </c>
      <c r="E233" s="1673"/>
      <c r="F233" s="1673"/>
      <c r="G233" s="1673"/>
      <c r="H233" s="1673"/>
      <c r="I233" s="1673"/>
      <c r="J233" s="1673"/>
      <c r="K233" s="1672">
        <f t="shared" si="20"/>
        <v>1402</v>
      </c>
      <c r="L233" s="1573">
        <v>11070</v>
      </c>
    </row>
    <row r="234" spans="1:12" x14ac:dyDescent="0.2">
      <c r="A234" s="1274" t="s">
        <v>196</v>
      </c>
      <c r="B234" s="503">
        <v>2130</v>
      </c>
      <c r="C234" s="1673"/>
      <c r="D234" s="1573">
        <v>11247</v>
      </c>
      <c r="E234" s="1673"/>
      <c r="F234" s="1673"/>
      <c r="G234" s="1673"/>
      <c r="H234" s="1673"/>
      <c r="I234" s="1673"/>
      <c r="J234" s="1673"/>
      <c r="K234" s="1672">
        <f t="shared" si="20"/>
        <v>11247</v>
      </c>
      <c r="L234" s="1573">
        <v>88030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1476</v>
      </c>
      <c r="E236" s="1673"/>
      <c r="F236" s="1673"/>
      <c r="G236" s="1673"/>
      <c r="H236" s="1673"/>
      <c r="I236" s="1673"/>
      <c r="J236" s="1673"/>
      <c r="K236" s="1672">
        <f t="shared" si="20"/>
        <v>1476</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555</v>
      </c>
      <c r="B238" s="1383" t="s">
        <v>710</v>
      </c>
      <c r="C238" s="1673"/>
      <c r="D238" s="1674">
        <f>SUM(D232:D237)</f>
        <v>18752</v>
      </c>
      <c r="E238" s="1673"/>
      <c r="F238" s="1673"/>
      <c r="G238" s="1673"/>
      <c r="H238" s="1673"/>
      <c r="I238" s="1673"/>
      <c r="J238" s="1673"/>
      <c r="K238" s="1674">
        <f>SUM(K232:K237)</f>
        <v>18752</v>
      </c>
      <c r="L238" s="1674">
        <f>SUM(L232:L237)</f>
        <v>105108</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132</v>
      </c>
      <c r="E240" s="1673"/>
      <c r="F240" s="1673"/>
      <c r="G240" s="1673"/>
      <c r="H240" s="1673"/>
      <c r="I240" s="1673"/>
      <c r="J240" s="1673"/>
      <c r="K240" s="1678">
        <f>D240</f>
        <v>132</v>
      </c>
      <c r="L240" s="1586">
        <v>342</v>
      </c>
    </row>
    <row r="241" spans="1:12" x14ac:dyDescent="0.2">
      <c r="A241" s="1274" t="s">
        <v>809</v>
      </c>
      <c r="B241" s="503">
        <v>2220</v>
      </c>
      <c r="C241" s="1673"/>
      <c r="D241" s="1573">
        <v>3120</v>
      </c>
      <c r="E241" s="1673"/>
      <c r="F241" s="1673"/>
      <c r="G241" s="1673"/>
      <c r="H241" s="1673"/>
      <c r="I241" s="1673"/>
      <c r="J241" s="1673"/>
      <c r="K241" s="1678">
        <f>D241</f>
        <v>3120</v>
      </c>
      <c r="L241" s="1573">
        <v>6213</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3252</v>
      </c>
      <c r="E243" s="1673"/>
      <c r="F243" s="1673"/>
      <c r="G243" s="1673"/>
      <c r="H243" s="1673"/>
      <c r="I243" s="1673"/>
      <c r="J243" s="1673"/>
      <c r="K243" s="1674">
        <f>SUM(K240:K242)</f>
        <v>3252</v>
      </c>
      <c r="L243" s="1674">
        <f>SUM(L240:L242)</f>
        <v>6555</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639</v>
      </c>
      <c r="E245" s="1673"/>
      <c r="F245" s="1673"/>
      <c r="G245" s="1673"/>
      <c r="H245" s="1673"/>
      <c r="I245" s="1673"/>
      <c r="J245" s="1673"/>
      <c r="K245" s="1678">
        <f>D245</f>
        <v>639</v>
      </c>
      <c r="L245" s="1586">
        <v>1023</v>
      </c>
    </row>
    <row r="246" spans="1:12" x14ac:dyDescent="0.2">
      <c r="A246" s="1274" t="s">
        <v>812</v>
      </c>
      <c r="B246" s="503">
        <v>2320</v>
      </c>
      <c r="C246" s="1673"/>
      <c r="D246" s="1573">
        <v>1966</v>
      </c>
      <c r="E246" s="1673"/>
      <c r="F246" s="1673"/>
      <c r="G246" s="1673"/>
      <c r="H246" s="1673"/>
      <c r="I246" s="1673"/>
      <c r="J246" s="1673"/>
      <c r="K246" s="1678">
        <f t="shared" ref="K246:K256" si="21">D246</f>
        <v>1966</v>
      </c>
      <c r="L246" s="1573">
        <v>2233</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1778</v>
      </c>
      <c r="B249" s="557" t="s">
        <v>279</v>
      </c>
      <c r="C249" s="1673"/>
      <c r="D249" s="1579"/>
      <c r="E249" s="1673"/>
      <c r="F249" s="1673"/>
      <c r="G249" s="1673"/>
      <c r="H249" s="1673"/>
      <c r="I249" s="1673"/>
      <c r="J249" s="1673"/>
      <c r="K249" s="1678">
        <f t="shared" si="21"/>
        <v>0</v>
      </c>
      <c r="L249" s="1573"/>
    </row>
    <row r="250" spans="1:12" x14ac:dyDescent="0.2">
      <c r="A250" s="1275" t="s">
        <v>1779</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c r="E254" s="1673"/>
      <c r="F254" s="1673"/>
      <c r="G254" s="1673"/>
      <c r="H254" s="1673"/>
      <c r="I254" s="1673"/>
      <c r="J254" s="1673"/>
      <c r="K254" s="1678">
        <f t="shared" si="21"/>
        <v>0</v>
      </c>
      <c r="L254" s="1573"/>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2605</v>
      </c>
      <c r="E257" s="1673"/>
      <c r="F257" s="1673"/>
      <c r="G257" s="1673"/>
      <c r="H257" s="1673"/>
      <c r="I257" s="1673"/>
      <c r="J257" s="1673"/>
      <c r="K257" s="1674">
        <f>SUM(K245:K256)</f>
        <v>2605</v>
      </c>
      <c r="L257" s="1674">
        <f>SUM(L245:L256)</f>
        <v>3256</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32433</v>
      </c>
      <c r="E259" s="1673"/>
      <c r="F259" s="1673"/>
      <c r="G259" s="1673"/>
      <c r="H259" s="1673"/>
      <c r="I259" s="1673"/>
      <c r="J259" s="1673"/>
      <c r="K259" s="1678">
        <f>D259</f>
        <v>32433</v>
      </c>
      <c r="L259" s="1586">
        <v>31572</v>
      </c>
    </row>
    <row r="260" spans="1:14" s="493" customFormat="1" x14ac:dyDescent="0.2">
      <c r="A260" s="1292" t="s">
        <v>1777</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32433</v>
      </c>
      <c r="E261" s="1673"/>
      <c r="F261" s="1673"/>
      <c r="G261" s="1673"/>
      <c r="H261" s="1673"/>
      <c r="I261" s="1673"/>
      <c r="J261" s="1673"/>
      <c r="K261" s="1674">
        <f>SUM(K259:K260)</f>
        <v>32433</v>
      </c>
      <c r="L261" s="1674">
        <f>SUM(L259:L260)</f>
        <v>31572</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c r="E263" s="1673"/>
      <c r="F263" s="1673"/>
      <c r="G263" s="1673"/>
      <c r="H263" s="1673"/>
      <c r="I263" s="1673"/>
      <c r="J263" s="1673"/>
      <c r="K263" s="1678">
        <f>D263</f>
        <v>0</v>
      </c>
      <c r="L263" s="1586"/>
    </row>
    <row r="264" spans="1:14" x14ac:dyDescent="0.2">
      <c r="A264" s="1274" t="s">
        <v>459</v>
      </c>
      <c r="B264" s="559">
        <v>2520</v>
      </c>
      <c r="C264" s="1673"/>
      <c r="D264" s="1573">
        <v>19537</v>
      </c>
      <c r="E264" s="1673"/>
      <c r="F264" s="1673"/>
      <c r="G264" s="1673"/>
      <c r="H264" s="1673"/>
      <c r="I264" s="1673"/>
      <c r="J264" s="1673"/>
      <c r="K264" s="1678">
        <f t="shared" ref="K264:K269" si="22">D264</f>
        <v>19537</v>
      </c>
      <c r="L264" s="1573">
        <v>19620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70588</v>
      </c>
      <c r="E266" s="1673"/>
      <c r="F266" s="1673"/>
      <c r="G266" s="1673"/>
      <c r="H266" s="1673"/>
      <c r="I266" s="1673"/>
      <c r="J266" s="1673"/>
      <c r="K266" s="1678">
        <f t="shared" si="22"/>
        <v>70588</v>
      </c>
      <c r="L266" s="1573">
        <v>70060</v>
      </c>
    </row>
    <row r="267" spans="1:14" x14ac:dyDescent="0.2">
      <c r="A267" s="1274" t="s">
        <v>946</v>
      </c>
      <c r="B267" s="503">
        <v>2550</v>
      </c>
      <c r="C267" s="1673"/>
      <c r="D267" s="1573">
        <v>28791</v>
      </c>
      <c r="E267" s="1673"/>
      <c r="F267" s="1673"/>
      <c r="G267" s="1673"/>
      <c r="H267" s="1673"/>
      <c r="I267" s="1673"/>
      <c r="J267" s="1673"/>
      <c r="K267" s="1678">
        <f t="shared" si="22"/>
        <v>28791</v>
      </c>
      <c r="L267" s="1573">
        <v>36120</v>
      </c>
    </row>
    <row r="268" spans="1:14" x14ac:dyDescent="0.2">
      <c r="A268" s="1274" t="s">
        <v>100</v>
      </c>
      <c r="B268" s="503">
        <v>2560</v>
      </c>
      <c r="C268" s="1673"/>
      <c r="D268" s="1573">
        <v>36814</v>
      </c>
      <c r="E268" s="1673"/>
      <c r="F268" s="1673"/>
      <c r="G268" s="1673"/>
      <c r="H268" s="1673"/>
      <c r="I268" s="1673"/>
      <c r="J268" s="1673"/>
      <c r="K268" s="1678">
        <f t="shared" si="22"/>
        <v>36814</v>
      </c>
      <c r="L268" s="1573">
        <v>38397</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155730</v>
      </c>
      <c r="E270" s="1673"/>
      <c r="F270" s="1673"/>
      <c r="G270" s="1673"/>
      <c r="H270" s="1673"/>
      <c r="I270" s="1673"/>
      <c r="J270" s="1673"/>
      <c r="K270" s="1674">
        <f>SUM(K263:K269)</f>
        <v>155730</v>
      </c>
      <c r="L270" s="1674">
        <f>SUM(L263:L269)</f>
        <v>164197</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c r="E274" s="1673"/>
      <c r="F274" s="1673"/>
      <c r="G274" s="1673"/>
      <c r="H274" s="1673"/>
      <c r="I274" s="1673"/>
      <c r="J274" s="1673"/>
      <c r="K274" s="1678">
        <f>D274</f>
        <v>0</v>
      </c>
      <c r="L274" s="1573"/>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212772</v>
      </c>
      <c r="E279" s="1673"/>
      <c r="F279" s="1673"/>
      <c r="G279" s="1673"/>
      <c r="H279" s="1673"/>
      <c r="I279" s="1673"/>
      <c r="J279" s="1673"/>
      <c r="K279" s="1681">
        <f>SUM(K238,K243,K257,K261,K270,K277,K278)</f>
        <v>212772</v>
      </c>
      <c r="L279" s="1681">
        <f>SUM(L238,L243,L257,L261,L270,L277,L278)</f>
        <v>310688</v>
      </c>
    </row>
    <row r="280" spans="1:12" ht="15.75" customHeight="1" thickTop="1" thickBot="1" x14ac:dyDescent="0.25">
      <c r="A280" s="1362" t="s">
        <v>869</v>
      </c>
      <c r="B280" s="1351">
        <v>3000</v>
      </c>
      <c r="C280" s="1673"/>
      <c r="D280" s="1651">
        <v>31324</v>
      </c>
      <c r="E280" s="1673"/>
      <c r="F280" s="1673"/>
      <c r="G280" s="1673"/>
      <c r="H280" s="1673"/>
      <c r="I280" s="1673"/>
      <c r="J280" s="1673"/>
      <c r="K280" s="1687">
        <f>D280</f>
        <v>31324</v>
      </c>
      <c r="L280" s="1651">
        <v>31080</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1812</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81" t="s">
        <v>501</v>
      </c>
      <c r="B295" s="2282"/>
      <c r="C295" s="1673"/>
      <c r="D295" s="1674">
        <f>SUM(D229,D279,D280,D285)</f>
        <v>449743</v>
      </c>
      <c r="E295" s="1673"/>
      <c r="F295" s="1673"/>
      <c r="G295" s="1673"/>
      <c r="H295" s="1674">
        <f>H293</f>
        <v>0</v>
      </c>
      <c r="I295" s="1673"/>
      <c r="J295" s="1673"/>
      <c r="K295" s="1674">
        <f>SUM(K229,K279,K280,K285,K293,K294)</f>
        <v>449743</v>
      </c>
      <c r="L295" s="1674">
        <f>SUM(L229,L279,L280,L285,L293,L294)</f>
        <v>540933</v>
      </c>
    </row>
    <row r="296" spans="1:14" ht="13.5" thickTop="1" x14ac:dyDescent="0.2">
      <c r="A296" s="2263" t="s">
        <v>988</v>
      </c>
      <c r="B296" s="2264"/>
      <c r="C296" s="1673"/>
      <c r="D296" s="1675"/>
      <c r="E296" s="1673"/>
      <c r="F296" s="1673"/>
      <c r="G296" s="1673"/>
      <c r="H296" s="1707"/>
      <c r="I296" s="1673"/>
      <c r="J296" s="1673"/>
      <c r="K296" s="1689">
        <f>'Revenues 9-14'!G268-'Expenditures 15-22'!K295</f>
        <v>93305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c r="F301" s="1573"/>
      <c r="G301" s="1573"/>
      <c r="H301" s="1573"/>
      <c r="I301" s="1574"/>
      <c r="J301" s="1574"/>
      <c r="K301" s="1672">
        <f>SUM(C301:J301)</f>
        <v>0</v>
      </c>
      <c r="L301" s="1574"/>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8" t="s">
        <v>274</v>
      </c>
      <c r="B312" s="227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4" t="s">
        <v>988</v>
      </c>
      <c r="B313" s="2275"/>
      <c r="C313" s="1677"/>
      <c r="D313" s="1677"/>
      <c r="E313" s="1677"/>
      <c r="F313" s="1677"/>
      <c r="G313" s="1677"/>
      <c r="H313" s="1677"/>
      <c r="I313" s="1677"/>
      <c r="J313" s="1677"/>
      <c r="K313" s="1696">
        <f>'Revenues 9-14'!H268-'Expenditures 15-22'!K312</f>
        <v>815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891</v>
      </c>
      <c r="B317" s="2288"/>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1778</v>
      </c>
      <c r="B320" s="568" t="s">
        <v>279</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281</v>
      </c>
      <c r="C322" s="1574"/>
      <c r="D322" s="1574"/>
      <c r="E322" s="1574">
        <v>87200</v>
      </c>
      <c r="F322" s="1574"/>
      <c r="G322" s="1574"/>
      <c r="H322" s="1574"/>
      <c r="I322" s="1574"/>
      <c r="J322" s="1574"/>
      <c r="K322" s="1672">
        <f t="shared" si="24"/>
        <v>87200</v>
      </c>
      <c r="L322" s="1574">
        <v>220000</v>
      </c>
      <c r="M322" s="539"/>
      <c r="N322" s="539"/>
    </row>
    <row r="323" spans="1:14" s="548" customFormat="1" x14ac:dyDescent="0.2">
      <c r="A323" s="1289" t="s">
        <v>696</v>
      </c>
      <c r="B323" s="567" t="s">
        <v>282</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v>157518</v>
      </c>
      <c r="D325" s="1574"/>
      <c r="E325" s="1574">
        <v>20503</v>
      </c>
      <c r="F325" s="1574"/>
      <c r="G325" s="1574">
        <v>5100</v>
      </c>
      <c r="H325" s="1574"/>
      <c r="I325" s="1574"/>
      <c r="J325" s="1574"/>
      <c r="K325" s="1672">
        <f t="shared" si="24"/>
        <v>183121</v>
      </c>
      <c r="L325" s="1574">
        <v>200000</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23707</v>
      </c>
      <c r="F327" s="1574"/>
      <c r="G327" s="1574"/>
      <c r="H327" s="1574"/>
      <c r="I327" s="1574"/>
      <c r="J327" s="1574"/>
      <c r="K327" s="1672">
        <f t="shared" si="24"/>
        <v>23707</v>
      </c>
      <c r="L327" s="1574">
        <v>65000</v>
      </c>
      <c r="M327" s="539"/>
      <c r="N327" s="539"/>
    </row>
    <row r="328" spans="1:14" s="548" customFormat="1" x14ac:dyDescent="0.2">
      <c r="A328" s="1290" t="s">
        <v>468</v>
      </c>
      <c r="B328" s="562" t="s">
        <v>1121</v>
      </c>
      <c r="C328" s="1579"/>
      <c r="D328" s="1579"/>
      <c r="E328" s="1579"/>
      <c r="F328" s="1579"/>
      <c r="G328" s="1579"/>
      <c r="H328" s="1579"/>
      <c r="I328" s="1579"/>
      <c r="J328" s="1579"/>
      <c r="K328" s="1713">
        <f>SUM(C328:J328)</f>
        <v>0</v>
      </c>
      <c r="L328" s="1579"/>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564</v>
      </c>
      <c r="C330" s="1674">
        <f>SUM(C319:C329)</f>
        <v>157518</v>
      </c>
      <c r="D330" s="1674">
        <f t="shared" ref="D330:J330" si="25">SUM(D319:D329)</f>
        <v>0</v>
      </c>
      <c r="E330" s="1674">
        <f t="shared" si="25"/>
        <v>131410</v>
      </c>
      <c r="F330" s="1674">
        <f t="shared" si="25"/>
        <v>0</v>
      </c>
      <c r="G330" s="1674">
        <f t="shared" si="25"/>
        <v>5100</v>
      </c>
      <c r="H330" s="1674">
        <f t="shared" si="25"/>
        <v>0</v>
      </c>
      <c r="I330" s="1674">
        <f t="shared" si="25"/>
        <v>0</v>
      </c>
      <c r="J330" s="1674">
        <f t="shared" si="25"/>
        <v>0</v>
      </c>
      <c r="K330" s="1674">
        <f>SUM(K319:K329)</f>
        <v>294028</v>
      </c>
      <c r="L330" s="1674">
        <f>SUM(L319:L329)</f>
        <v>485000</v>
      </c>
      <c r="M330" s="539"/>
      <c r="N330" s="539"/>
    </row>
    <row r="331" spans="1:14" s="548" customFormat="1" ht="12.75" customHeight="1" thickTop="1" x14ac:dyDescent="0.2">
      <c r="A331" s="1467" t="s">
        <v>1818</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1812</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1814</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1819</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157518</v>
      </c>
      <c r="D342" s="1674">
        <f>SUM(D330)</f>
        <v>0</v>
      </c>
      <c r="E342" s="1674">
        <f>SUM(E330)</f>
        <v>131410</v>
      </c>
      <c r="F342" s="1674">
        <f>SUM(F330)</f>
        <v>0</v>
      </c>
      <c r="G342" s="1674">
        <f>SUM(G330)</f>
        <v>5100</v>
      </c>
      <c r="H342" s="1674">
        <f>SUM(H330,H334,H340)</f>
        <v>0</v>
      </c>
      <c r="I342" s="1674">
        <f>SUM(I330)</f>
        <v>0</v>
      </c>
      <c r="J342" s="1674">
        <f>SUM(J330)</f>
        <v>0</v>
      </c>
      <c r="K342" s="1674">
        <f>SUM(K330,K334,K340)</f>
        <v>294028</v>
      </c>
      <c r="L342" s="1681">
        <f>SUM(L330,L334,L340,L341)</f>
        <v>485000</v>
      </c>
    </row>
    <row r="343" spans="1:14" ht="12.75" customHeight="1" thickTop="1" x14ac:dyDescent="0.2">
      <c r="A343" s="2276" t="s">
        <v>988</v>
      </c>
      <c r="B343" s="2277"/>
      <c r="C343" s="1673"/>
      <c r="D343" s="1673"/>
      <c r="E343" s="1673"/>
      <c r="F343" s="1673"/>
      <c r="G343" s="1673"/>
      <c r="H343" s="1673"/>
      <c r="I343" s="1673"/>
      <c r="J343" s="1673"/>
      <c r="K343" s="1689">
        <f>'Revenues 9-14'!J268-'Expenditures 15-22'!K342</f>
        <v>200484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959</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18226</v>
      </c>
      <c r="F349" s="1573"/>
      <c r="G349" s="1573">
        <v>183968</v>
      </c>
      <c r="H349" s="1573"/>
      <c r="I349" s="1574"/>
      <c r="J349" s="1574"/>
      <c r="K349" s="1672">
        <f>SUM(C349:J349)</f>
        <v>202194</v>
      </c>
      <c r="L349" s="1573"/>
    </row>
    <row r="350" spans="1:14" ht="12.75" customHeight="1" thickBot="1" x14ac:dyDescent="0.25">
      <c r="A350" s="1380" t="s">
        <v>713</v>
      </c>
      <c r="B350" s="1381" t="s">
        <v>35</v>
      </c>
      <c r="C350" s="1674">
        <f>SUM(C348:C349)</f>
        <v>0</v>
      </c>
      <c r="D350" s="1674">
        <f t="shared" ref="D350:L350" si="26">SUM(D348:D349)</f>
        <v>0</v>
      </c>
      <c r="E350" s="1674">
        <f t="shared" si="26"/>
        <v>18226</v>
      </c>
      <c r="F350" s="1674">
        <f t="shared" si="26"/>
        <v>0</v>
      </c>
      <c r="G350" s="1674">
        <f t="shared" si="26"/>
        <v>183968</v>
      </c>
      <c r="H350" s="1674">
        <f t="shared" si="26"/>
        <v>0</v>
      </c>
      <c r="I350" s="1674">
        <f t="shared" si="26"/>
        <v>0</v>
      </c>
      <c r="J350" s="1674">
        <f t="shared" si="26"/>
        <v>0</v>
      </c>
      <c r="K350" s="1674">
        <f t="shared" si="26"/>
        <v>202194</v>
      </c>
      <c r="L350" s="1674">
        <f t="shared" si="26"/>
        <v>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18226</v>
      </c>
      <c r="F352" s="1674">
        <f t="shared" si="27"/>
        <v>0</v>
      </c>
      <c r="G352" s="1674">
        <f t="shared" si="27"/>
        <v>183968</v>
      </c>
      <c r="H352" s="1674">
        <f t="shared" si="27"/>
        <v>0</v>
      </c>
      <c r="I352" s="1674">
        <f t="shared" si="27"/>
        <v>0</v>
      </c>
      <c r="J352" s="1674">
        <f t="shared" si="27"/>
        <v>0</v>
      </c>
      <c r="K352" s="1674">
        <f t="shared" si="27"/>
        <v>202194</v>
      </c>
      <c r="L352" s="1674">
        <f t="shared" si="27"/>
        <v>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c r="I354" s="1716"/>
      <c r="J354" s="1673"/>
      <c r="K354" s="1713">
        <f>H354</f>
        <v>0</v>
      </c>
      <c r="L354" s="1577"/>
    </row>
    <row r="355" spans="1:14" ht="12.75" customHeight="1" x14ac:dyDescent="0.2">
      <c r="A355" s="1283" t="s">
        <v>1821</v>
      </c>
      <c r="B355" s="562" t="s">
        <v>1814</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18226</v>
      </c>
      <c r="F367" s="1674">
        <f t="shared" si="28"/>
        <v>0</v>
      </c>
      <c r="G367" s="1674">
        <f t="shared" si="28"/>
        <v>183968</v>
      </c>
      <c r="H367" s="1674">
        <f t="shared" si="28"/>
        <v>0</v>
      </c>
      <c r="I367" s="1674">
        <f t="shared" si="28"/>
        <v>0</v>
      </c>
      <c r="J367" s="1674">
        <f t="shared" si="28"/>
        <v>0</v>
      </c>
      <c r="K367" s="1674">
        <f t="shared" si="28"/>
        <v>202194</v>
      </c>
      <c r="L367" s="1674">
        <f t="shared" si="28"/>
        <v>0</v>
      </c>
    </row>
    <row r="368" spans="1:14" ht="13.5" thickTop="1" x14ac:dyDescent="0.2">
      <c r="A368" s="2263" t="s">
        <v>988</v>
      </c>
      <c r="B368" s="2264"/>
      <c r="C368" s="1694"/>
      <c r="D368" s="1694"/>
      <c r="E368" s="1677"/>
      <c r="F368" s="1677"/>
      <c r="G368" s="1677"/>
      <c r="H368" s="1677"/>
      <c r="I368" s="1677"/>
      <c r="J368" s="1676"/>
      <c r="K368" s="1672">
        <f>'Revenues 9-14'!K268-'Expenditures 15-22'!K367</f>
        <v>-149376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purl.org/dc/dcmitype/"/>
    <ds:schemaRef ds:uri="http://www.w3.org/XML/1998/namespace"/>
    <ds:schemaRef ds:uri="http://purl.org/dc/elements/1.1/"/>
    <ds:schemaRef ds:uri="http://schemas.microsoft.com/sharepoint/v3"/>
    <ds:schemaRef ds:uri="http://schemas.microsoft.com/office/2006/metadata/properties"/>
    <ds:schemaRef ds:uri="6ce3111e-7420-4802-b50a-75d4e9a0b980"/>
    <ds:schemaRef ds:uri="http://schemas.microsoft.com/office/2006/documentManagement/types"/>
    <ds:schemaRef ds:uri="http://schemas.openxmlformats.org/package/2006/metadata/core-propertie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SF&amp;QC Sec-3 (2)</vt:lpstr>
      <vt:lpstr>SF&amp;QC Sec-3 (3)</vt:lpstr>
      <vt:lpstr>SF&amp;QC Sec-3 (4)</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Sec-3 (2)'!Print_Area</vt:lpstr>
      <vt:lpstr>'SF&amp;QC Sec-3 (3)'!Print_Area</vt:lpstr>
      <vt:lpstr>'SF&amp;QC Sec-3 (4)'!Print_Area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2020-11-11T17:48:42Z</cp:lastPrinted>
  <dcterms:created xsi:type="dcterms:W3CDTF">2003-10-29T19:06:34Z</dcterms:created>
  <dcterms:modified xsi:type="dcterms:W3CDTF">2020-12-09T23:02:22Z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