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5ED4BA48-65FB-45C8-B3ED-311C96D864F3}"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L22" i="37"/>
  <c r="D68" i="36" l="1"/>
  <c r="C129" i="29"/>
  <c r="H28" i="118"/>
  <c r="H33" i="118"/>
  <c r="H342" i="29"/>
  <c r="F67" i="34"/>
  <c r="G30" i="108"/>
  <c r="F64" i="34"/>
  <c r="B2836" i="106"/>
  <c r="D2836" i="106" s="1"/>
  <c r="F77" i="4"/>
  <c r="B3255" i="106" s="1"/>
  <c r="D3255" i="106" s="1"/>
  <c r="D69" i="36"/>
  <c r="D22" i="37"/>
  <c r="D24" i="37"/>
  <c r="B4270" i="106" s="1"/>
  <c r="D4270" i="106" s="1"/>
  <c r="F37" i="34"/>
  <c r="B7829" i="106" s="1"/>
  <c r="D7829" i="106" s="1"/>
  <c r="B1274" i="106"/>
  <c r="D1274" i="106" s="1"/>
  <c r="F70" i="34"/>
  <c r="B7696" i="106"/>
  <c r="D7696" i="106" s="1"/>
  <c r="E66" i="184"/>
  <c r="N66" i="184" s="1"/>
  <c r="B7171" i="106"/>
  <c r="D7171" i="106" s="1"/>
  <c r="E62" i="184"/>
  <c r="N62" i="184" s="1"/>
  <c r="B7126" i="106"/>
  <c r="D7126" i="106" s="1"/>
  <c r="E57" i="184"/>
  <c r="H12" i="184"/>
  <c r="F42" i="34"/>
  <c r="B7198" i="106"/>
  <c r="D7198" i="106" s="1"/>
  <c r="E65" i="184"/>
  <c r="N65" i="184" s="1"/>
  <c r="B7162" i="106"/>
  <c r="D7162" i="106" s="1"/>
  <c r="E61" i="184"/>
  <c r="N61" i="184" s="1"/>
  <c r="B7189" i="106"/>
  <c r="D7189" i="106" s="1"/>
  <c r="E64" i="184"/>
  <c r="N64" i="184" s="1"/>
  <c r="B7153" i="106"/>
  <c r="D7153" i="106" s="1"/>
  <c r="E60" i="184"/>
  <c r="N60" i="184" s="1"/>
  <c r="H15" i="184"/>
  <c r="B7135" i="106"/>
  <c r="D7135" i="106" s="1"/>
  <c r="E58" i="184"/>
  <c r="N58" i="184" s="1"/>
  <c r="F36" i="34"/>
  <c r="B7828" i="106" s="1"/>
  <c r="D7828" i="106" s="1"/>
  <c r="B7705" i="106"/>
  <c r="D7705" i="106" s="1"/>
  <c r="E67" i="184"/>
  <c r="N67" i="184" s="1"/>
  <c r="B7180" i="106"/>
  <c r="D7180" i="106" s="1"/>
  <c r="E63" i="184"/>
  <c r="N63" i="184" s="1"/>
  <c r="D31" i="108"/>
  <c r="E16" i="184"/>
  <c r="H16" i="184" s="1"/>
  <c r="G33" i="108"/>
  <c r="E17" i="184"/>
  <c r="H17" i="184" s="1"/>
  <c r="C342" i="29"/>
  <c r="B7216" i="106" s="1"/>
  <c r="D7216" i="106" s="1"/>
  <c r="J210" i="29"/>
  <c r="B7072" i="106" s="1"/>
  <c r="D7072" i="106" s="1"/>
  <c r="H365" i="29"/>
  <c r="B7242" i="106" s="1"/>
  <c r="D7242" i="106" s="1"/>
  <c r="I210" i="29"/>
  <c r="B7071" i="106" s="1"/>
  <c r="D7071" i="106" s="1"/>
  <c r="C352" i="29"/>
  <c r="B3621" i="106" s="1"/>
  <c r="D3621" i="106" s="1"/>
  <c r="H76" i="4"/>
  <c r="B3298" i="106" s="1"/>
  <c r="D3298" i="106" s="1"/>
  <c r="B6289" i="106"/>
  <c r="D6289"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77" i="4" l="1"/>
  <c r="B3587" i="106" s="1"/>
  <c r="D3587" i="106" s="1"/>
  <c r="N23" i="3"/>
  <c r="B284" i="106" s="1"/>
  <c r="D284" i="106" s="1"/>
  <c r="B6216" i="106"/>
  <c r="D6216" i="106" s="1"/>
  <c r="L16" i="11"/>
  <c r="B2061" i="106" s="1"/>
  <c r="D2061" i="106" s="1"/>
  <c r="B7235" i="106"/>
  <c r="D7235" i="106" s="1"/>
  <c r="E19" i="184"/>
  <c r="K342" i="29"/>
  <c r="F13" i="34" s="1"/>
  <c r="F66" i="34"/>
  <c r="B1328" i="106"/>
  <c r="D1328" i="106" s="1"/>
  <c r="B1381" i="106"/>
  <c r="D1381" i="106" s="1"/>
  <c r="F41" i="108"/>
  <c r="G43" i="108" s="1"/>
  <c r="L114" i="29"/>
  <c r="B7222" i="106"/>
  <c r="D7222" i="106" s="1"/>
  <c r="F76" i="34"/>
  <c r="B7887" i="106" s="1"/>
  <c r="D7887" i="106" s="1"/>
  <c r="H19" i="184"/>
  <c r="L20" i="184" s="1"/>
  <c r="E367" i="29"/>
  <c r="B3636" i="106" s="1"/>
  <c r="D3636" i="106" s="1"/>
  <c r="B3635" i="106"/>
  <c r="N57" i="184"/>
  <c r="N68" i="184" s="1"/>
  <c r="E68" i="184"/>
  <c r="J16" i="4"/>
  <c r="B6226" i="106" s="1"/>
  <c r="D6226" i="106" s="1"/>
  <c r="B7220" i="106"/>
  <c r="D7220" i="106" s="1"/>
  <c r="F75" i="34"/>
  <c r="B7886" i="106" s="1"/>
  <c r="D7886" i="106" s="1"/>
  <c r="B5770" i="106"/>
  <c r="D5770" i="106" s="1"/>
  <c r="K365" i="29"/>
  <c r="B7243" i="106" s="1"/>
  <c r="D7243"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K16" i="4" l="1"/>
  <c r="K367" i="29"/>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3" i="106"/>
  <c r="D6223" i="106" s="1"/>
  <c r="J20" i="4"/>
  <c r="B6227" i="106"/>
  <c r="D6227" i="106" s="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<sst xmlns="http://schemas.openxmlformats.org/spreadsheetml/2006/main" count="5174" uniqueCount="2073">
  <si>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</si>
  <si>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</si>
  <si>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</si>
  <si>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</si>
  <si>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</si>
  <si>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</si>
  <si>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</si>
  <si>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</si>
  <si>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</si>
  <si>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</si>
  <si>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</si>
  <si>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</si>
  <si>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</si>
  <si>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</si>
  <si>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</si>
  <si>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</si>
  <si>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</si>
  <si>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</si>
  <si>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</si>
  <si>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</si>
  <si>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</si>
  <si>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</si>
  <si>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</si>
  <si>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</si>
  <si>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</si>
  <si>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</si>
  <si>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</si>
  <si>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</si>
  <si>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</si>
  <si>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</si>
  <si>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</si>
  <si>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</si>
  <si>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</si>
  <si>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</si>
  <si>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</si>
  <si>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</si>
  <si>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</si>
  <si>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</si>
  <si>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</si>
  <si>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</si>
  <si>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</si>
  <si>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</si>
  <si>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</si>
  <si>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</si>
  <si>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</si>
  <si>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</si>
  <si>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</si>
  <si>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</si>
  <si>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</si>
  <si>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</si>
  <si>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</si>
  <si>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</si>
  <si>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</si>
  <si>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</si>
  <si>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</si>
  <si>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</si>
  <si>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</si>
  <si>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</si>
  <si>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</si>
  <si>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</si>
  <si>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</si>
  <si>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</si>
  <si>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</si>
  <si>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</si>
  <si>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</si>
  <si>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</si>
  <si>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</si>
  <si>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</si>
  <si>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</si>
  <si>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</si>
  <si>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</si>
  <si>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</si>
  <si>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</si>
  <si>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</si>
  <si>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</si>
  <si>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</si>
  <si>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</si>
  <si>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</si>
  <si>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</si>
  <si>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</si>
  <si>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</si>
  <si>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</si>
  <si>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</si>
  <si>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</si>
  <si>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</si>
  <si>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</si>
  <si>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</si>
  <si>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</si>
  <si>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</si>
  <si>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</si>
  <si>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</si>
  <si>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</si>
  <si>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</si>
  <si>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</si>
  <si>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</si>
  <si>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</si>
  <si>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</si>
  <si>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</si>
  <si>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</si>
  <si>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</si>
  <si>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</si>
  <si>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</si>
  <si>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</si>
  <si>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</si>
  <si>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</si>
  <si>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</si>
  <si>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</si>
  <si>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</si>
  <si>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</si>
  <si>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</si>
  <si>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</si>
  <si>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</si>
  <si>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</si>
  <si>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</si>
  <si>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</si>
  <si>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</si>
  <si>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</si>
  <si>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</si>
  <si>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</si>
  <si>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</si>
  <si>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</si>
  <si>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</si>
  <si>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</si>
  <si>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</si>
  <si>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</si>
  <si>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</si>
  <si>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</si>
  <si>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</si>
  <si>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</si>
  <si>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</si>
  <si>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</si>
  <si>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</si>
  <si>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</si>
  <si>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</si>
  <si>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</si>
  <si>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</si>
  <si>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</si>
  <si>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</si>
  <si>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</si>
  <si>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</si>
  <si>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</si>
  <si>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</si>
  <si>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</si>
  <si>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</si>
  <si>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</si>
  <si>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</si>
  <si>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</si>
  <si>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</si>
  <si>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</si>
  <si>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</si>
  <si>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</si>
  <si>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</si>
  <si>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</si>
  <si>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</si>
  <si>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</si>
  <si>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</si>
  <si>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</si>
  <si>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</si>
  <si>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</si>
  <si>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</si>
  <si>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</si>
  <si>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</si>
  <si>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</si>
  <si>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</si>
  <si>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</si>
  <si>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</si>
  <si>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</si>
  <si>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</si>
  <si>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</si>
  <si>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</si>
  <si>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</si>
  <si>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</si>
  <si>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</si>
  <si>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</si>
  <si>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</si>
  <si>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</si>
  <si>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</si>
  <si>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</si>
  <si>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</si>
  <si>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</si>
  <si>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</si>
  <si>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</si>
  <si>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</si>
  <si>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</si>
  <si>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</si>
  <si>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</si>
  <si>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</si>
  <si>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</si>
  <si>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</si>
  <si>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</si>
  <si>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</si>
  <si>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</si>
  <si>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</si>
  <si>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</si>
  <si>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</si>
  <si>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</si>
  <si>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</si>
  <si>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</si>
  <si>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</si>
  <si>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</si>
  <si>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</si>
  <si>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</si>
  <si>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</si>
  <si>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</si>
  <si>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</si>
  <si>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</si>
  <si>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</si>
  <si>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</si>
  <si>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</si>
  <si>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</si>
  <si>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</si>
  <si>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</si>
  <si>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</si>
  <si>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</si>
  <si>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</si>
  <si>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</si>
  <si>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</si>
  <si>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</si>
  <si>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</si>
  <si>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</si>
  <si>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</si>
  <si>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</si>
  <si>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</si>
  <si>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</si>
  <si>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</si>
  <si>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</si>
  <si>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</si>
  <si>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</si>
  <si>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</si>
  <si>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</si>
  <si>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</si>
  <si>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</si>
  <si>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</si>
  <si>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</si>
  <si>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</si>
  <si>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</si>
  <si>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</si>
  <si>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</si>
  <si>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</si>
  <si>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</si>
  <si>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</si>
  <si>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</si>
  <si>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</si>
  <si>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</si>
  <si>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</si>
  <si>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</si>
  <si>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</si>
  <si>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</si>
  <si>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</si>
  <si>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</si>
  <si>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</si>
  <si>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</si>
  <si>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</si>
  <si>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</si>
  <si>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</si>
  <si>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</si>
  <si>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</si>
  <si>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</si>
  <si>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</si>
  <si>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</si>
  <si>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</si>
  <si>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</si>
  <si>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</si>
  <si>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</si>
  <si>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</si>
  <si>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</si>
  <si>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</si>
  <si>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</si>
  <si>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</si>
  <si>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</si>
  <si>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</si>
  <si>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</si>
  <si>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</si>
  <si>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</si>
  <si>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</si>
  <si>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</si>
  <si>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</si>
  <si>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</si>
  <si>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</si>
  <si>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</si>
  <si>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</si>
  <si>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</si>
  <si>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</si>
  <si>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</si>
  <si>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</si>
  <si>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</si>
  <si>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</si>
  <si>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</si>
  <si>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</si>
  <si>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</si>
  <si>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</si>
  <si>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</si>
  <si>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</si>
  <si>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</si>
  <si>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</si>
  <si>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</si>
  <si>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</si>
  <si>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</si>
  <si>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</si>
  <si>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</si>
  <si>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</si>
  <si>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</si>
  <si>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</si>
  <si>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</si>
  <si>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</si>
  <si>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</si>
  <si>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</si>
  <si>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</si>
  <si>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</si>
  <si>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</si>
  <si>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</si>
  <si>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</si>
  <si>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</si>
  <si>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</si>
  <si>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</si>
  <si>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</si>
  <si>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</si>
  <si>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</si>
  <si>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</si>
  <si>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</si>
  <si>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</si>
  <si>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</si>
  <si>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</si>
  <si>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</si>
  <si>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</si>
  <si>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</si>
  <si>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</si>
  <si>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</si>
  <si>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</si>
  <si>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</si>
  <si>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</si>
  <si>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</si>
  <si>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</si>
  <si>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</si>
  <si>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</si>
  <si>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</si>
  <si>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</si>
  <si>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</si>
  <si>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</si>
  <si>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</si>
  <si>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</si>
  <si>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</si>
  <si>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</si>
  <si>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</si>
  <si>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</si>
  <si>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</si>
  <si>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</si>
  <si>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</si>
  <si>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</si>
  <si>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</si>
  <si>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</si>
  <si>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</si>
  <si>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</si>
  <si>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</si>
  <si>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</si>
  <si>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</si>
  <si>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</si>
  <si>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</si>
  <si>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</si>
  <si>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</si>
  <si>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</si>
  <si>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</si>
  <si>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</si>
  <si>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</si>
  <si>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</si>
  <si>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</si>
  <si>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</si>
  <si>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</si>
  <si>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</si>
  <si>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</si>
  <si>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</si>
  <si>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</si>
  <si>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</si>
  <si>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</si>
  <si>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</si>
  <si>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</si>
  <si>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</si>
  <si>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</si>
  <si>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</si>
  <si>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</si>
  <si>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</si>
  <si>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</si>
  <si>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</si>
  <si>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</si>
  <si>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</si>
  <si>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</si>
  <si>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</si>
  <si>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</si>
  <si>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</si>
  <si>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</si>
  <si>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</si>
  <si>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</si>
  <si>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</si>
  <si>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</si>
  <si>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</si>
  <si>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</si>
  <si>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</si>
  <si>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</si>
  <si>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</si>
  <si>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</si>
  <si>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</si>
  <si>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</si>
  <si>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</si>
  <si>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</si>
  <si>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</si>
  <si>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</si>
  <si>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</si>
  <si>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</si>
  <si>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</si>
  <si>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</si>
  <si>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</si>
  <si>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</si>
  <si>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</si>
  <si>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</si>
  <si>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</si>
  <si>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</si>
  <si>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</si>
  <si>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</si>
  <si>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</si>
  <si>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</si>
  <si>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</si>
  <si>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</si>
  <si>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</si>
  <si>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</si>
  <si>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</si>
  <si>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</si>
  <si>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</si>
  <si>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</si>
  <si>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</si>
  <si>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</si>
  <si>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</si>
  <si>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</si>
  <si>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</si>
  <si>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</si>
  <si>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</si>
  <si>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</si>
  <si>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</si>
  <si>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</si>
  <si>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</si>
  <si>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</si>
  <si>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</si>
  <si>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</si>
  <si>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</si>
  <si>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</si>
  <si>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</si>
  <si>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</si>
  <si>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</si>
  <si>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</si>
  <si>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</si>
  <si>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</si>
  <si>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</si>
  <si>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</si>
  <si>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</si>
  <si>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</si>
  <si>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</si>
  <si>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</si>
  <si>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</si>
  <si>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</si>
  <si>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</si>
  <si>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</si>
  <si>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</si>
  <si>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</si>
  <si>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</si>
  <si>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</si>
  <si>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</si>
  <si>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</si>
  <si>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</si>
  <si>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</si>
  <si>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</si>
  <si>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</si>
  <si>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</si>
  <si>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</si>
  <si>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</si>
  <si>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</si>
  <si>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</si>
  <si>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</si>
  <si>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</si>
  <si>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</si>
  <si>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</si>
  <si>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</si>
  <si>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</si>
  <si>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</si>
  <si>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</si>
  <si>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</si>
  <si>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</si>
  <si>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</si>
  <si>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</si>
  <si>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</si>
  <si>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</si>
  <si>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</si>
  <si>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</si>
  <si>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</si>
  <si>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</si>
  <si>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</si>
  <si>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</si>
  <si>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</si>
  <si>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</si>
  <si>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</si>
  <si>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</si>
  <si>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</si>
  <si>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</si>
  <si>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</si>
  <si>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</si>
  <si>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</si>
  <si>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</si>
  <si>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</si>
  <si>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</si>
  <si>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</si>
  <si>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</si>
  <si>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</si>
  <si>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</si>
  <si>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</si>
  <si>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</si>
  <si>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</si>
  <si>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</si>
  <si>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</si>
  <si>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</si>
  <si>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</si>
  <si>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</si>
  <si>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</si>
  <si>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</si>
  <si>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</si>
  <si>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</si>
  <si>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</si>
  <si>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</si>
  <si>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</si>
  <si>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</si>
  <si>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</si>
  <si>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</si>
  <si>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</si>
  <si>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</si>
  <si>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</si>
  <si>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</si>
  <si>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</si>
  <si>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</si>
  <si>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</si>
  <si>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</si>
  <si>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</si>
  <si>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</si>
  <si>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</si>
  <si>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</si>
  <si>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</si>
  <si>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</si>
  <si>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</si>
  <si>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</si>
  <si>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</si>
  <si>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</si>
  <si>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</si>
  <si>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</si>
  <si>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</si>
  <si>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</si>
  <si>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</si>
  <si>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</si>
  <si>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</si>
  <si>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</si>
  <si>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</si>
  <si>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</si>
  <si>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</si>
  <si>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</si>
  <si>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</si>
  <si>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</si>
  <si>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</si>
  <si>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</si>
  <si>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</si>
  <si>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</si>
  <si>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</si>
  <si>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</si>
  <si>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</si>
  <si>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</si>
  <si>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</si>
  <si>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</si>
  <si>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</si>
  <si>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</si>
  <si>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</si>
  <si>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</si>
  <si>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</si>
  <si>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</si>
  <si>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</si>
  <si>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</si>
  <si>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</si>
  <si>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</si>
  <si>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</si>
  <si>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</si>
  <si>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</si>
  <si>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</si>
  <si>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</si>
  <si>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</si>
  <si>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</si>
  <si>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</si>
  <si>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</si>
  <si>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</si>
  <si>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</si>
  <si>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</si>
  <si>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</si>
  <si>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</si>
  <si>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</si>
  <si>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</si>
  <si>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</si>
  <si>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</si>
  <si>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</si>
  <si>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</si>
  <si>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</si>
  <si>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</si>
  <si>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</si>
  <si>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</si>
  <si>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</si>
  <si>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</si>
  <si>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</si>
  <si>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</si>
  <si>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</si>
  <si>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</si>
  <si>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</si>
  <si>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</si>
  <si>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</si>
  <si>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</si>
  <si>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</si>
  <si>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</si>
  <si>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</si>
  <si>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</si>
  <si>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</si>
  <si>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</si>
  <si>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</si>
  <si>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</si>
  <si>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</si>
  <si>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</si>
  <si>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</si>
  <si>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</si>
  <si>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</si>
  <si>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</si>
  <si>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</si>
  <si>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</si>
  <si>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</si>
  <si>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</si>
  <si>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</si>
  <si>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</si>
  <si>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</si>
  <si>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</si>
  <si>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</si>
  <si>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</si>
  <si>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</si>
  <si>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</si>
  <si>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</si>
  <si>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</si>
  <si>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</si>
  <si>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</si>
  <si>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</si>
  <si>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</si>
  <si>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</si>
  <si>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</si>
  <si>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</si>
  <si>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</si>
  <si>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</si>
  <si>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</si>
  <si>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</si>
  <si>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</si>
  <si>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</si>
  <si>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</si>
  <si>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</si>
  <si>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</si>
  <si>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</si>
  <si>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</si>
  <si>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</si>
  <si>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</si>
  <si>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</si>
  <si>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</si>
  <si>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</si>
  <si>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</si>
  <si>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</si>
  <si>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</si>
  <si>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</si>
  <si>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</si>
  <si>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</si>
  <si>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</si>
  <si>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</si>
  <si>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</si>
  <si>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</si>
  <si>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</si>
  <si>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</si>
  <si>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</si>
  <si>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</si>
  <si>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</si>
  <si>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</si>
  <si>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</si>
  <si>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</si>
  <si>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</si>
  <si>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</si>
  <si>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</si>
  <si>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</si>
  <si>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</si>
  <si>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</si>
  <si>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</si>
  <si>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</si>
  <si>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</si>
  <si>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</si>
  <si>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</si>
  <si>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</si>
  <si>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</si>
  <si>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</si>
  <si>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</si>
  <si>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</si>
  <si>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</si>
  <si>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</si>
  <si>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</si>
  <si>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</si>
  <si>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</si>
  <si>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</si>
  <si>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</si>
  <si>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</si>
  <si>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</si>
  <si>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</si>
  <si>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</si>
  <si>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</si>
  <si>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</si>
  <si>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</si>
  <si>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</si>
  <si>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</si>
  <si>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</si>
  <si>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</si>
  <si>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</si>
  <si>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</si>
  <si>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</si>
  <si>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</si>
  <si>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</si>
  <si>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</si>
  <si>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</si>
  <si>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</si>
  <si>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</si>
  <si>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</si>
  <si>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</si>
  <si>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</si>
  <si>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</si>
  <si>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</si>
  <si>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</si>
  <si>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</si>
  <si>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</si>
  <si>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</si>
  <si>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</si>
  <si>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</si>
  <si>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</si>
  <si>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</si>
  <si>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</si>
  <si>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</si>
  <si>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</si>
  <si>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</si>
  <si>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</si>
  <si>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</si>
  <si>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</si>
  <si>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</si>
  <si>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</si>
  <si>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</si>
  <si>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</si>
  <si>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</si>
  <si>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</si>
  <si>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</si>
  <si>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</si>
  <si>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</si>
  <si>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</si>
  <si>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</si>
  <si>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</si>
  <si>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</si>
  <si>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</si>
  <si>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</si>
  <si>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</si>
  <si>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</si>
  <si>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</si>
  <si>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</si>
  <si>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</si>
  <si>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</si>
  <si>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</si>
  <si>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</si>
  <si>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</si>
  <si>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</si>
  <si>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</si>
  <si>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</si>
  <si>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</si>
  <si>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</si>
  <si>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</si>
  <si>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</si>
  <si>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</si>
  <si>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</si>
  <si>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</si>
  <si>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</si>
  <si>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</si>
  <si>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</si>
  <si>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</si>
  <si>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</si>
  <si>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</si>
  <si>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</si>
  <si>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</si>
  <si>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</si>
  <si>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</si>
  <si>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</si>
  <si>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</si>
  <si>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</si>
  <si>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</si>
  <si>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</si>
  <si>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</si>
  <si>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</si>
  <si>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</si>
  <si>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</si>
  <si>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</si>
  <si>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</si>
  <si>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</si>
  <si>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</si>
  <si>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</si>
  <si>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</si>
  <si>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</si>
  <si>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</si>
  <si>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</si>
  <si>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</si>
  <si>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</si>
  <si>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</si>
  <si>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</si>
  <si>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</si>
  <si>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</si>
  <si>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</si>
  <si>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</si>
  <si>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</si>
  <si>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</si>
  <si>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</si>
  <si>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</si>
  <si>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</si>
  <si>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</si>
  <si>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</si>
  <si>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</si>
  <si>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</si>
  <si>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</si>
  <si>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</si>
  <si>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</si>
  <si>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</si>
  <si>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</si>
  <si>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</si>
  <si>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</si>
  <si>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</si>
  <si>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</si>
  <si>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</si>
  <si>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</si>
  <si>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</si>
  <si>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</si>
  <si>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</si>
  <si>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</si>
  <si>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</si>
  <si>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</si>
  <si>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</si>
  <si>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</si>
  <si>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</si>
  <si>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</si>
  <si>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</si>
  <si>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</si>
  <si>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</si>
  <si>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</si>
  <si>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</si>
  <si>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</si>
  <si>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</si>
  <si>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</si>
  <si>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</si>
  <si>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</si>
  <si>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</si>
  <si>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</si>
  <si>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</si>
  <si>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</si>
  <si>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</si>
  <si>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</si>
  <si>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</si>
  <si>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</si>
  <si>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</si>
  <si>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</si>
  <si>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</si>
  <si>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</si>
  <si>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</si>
  <si>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</si>
  <si>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</si>
  <si>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</si>
  <si>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</si>
  <si>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</si>
  <si>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</si>
  <si>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</si>
  <si>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</si>
  <si>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</si>
  <si>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</si>
  <si>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</si>
  <si>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</si>
  <si>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</si>
  <si>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</si>
  <si>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</si>
  <si>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</si>
  <si>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</si>
  <si>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</si>
  <si>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</si>
  <si>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</si>
  <si>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</si>
  <si>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</si>
  <si>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</si>
  <si>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</si>
  <si>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</si>
  <si>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</si>
  <si>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</si>
  <si>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</si>
  <si>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</si>
  <si>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</si>
  <si>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</si>
  <si>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</si>
  <si>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</si>
  <si>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</si>
  <si>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</si>
  <si>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</si>
  <si>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</si>
  <si>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</si>
  <si>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</si>
  <si>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</si>
  <si>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</si>
  <si>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</si>
  <si>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</si>
  <si>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</si>
  <si>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</si>
  <si>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</si>
  <si>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</si>
  <si>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</si>
  <si>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</si>
  <si>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</si>
  <si>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</si>
  <si>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</si>
  <si>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</si>
  <si>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</si>
  <si>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</si>
  <si>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</si>
  <si>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</si>
  <si>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</si>
  <si>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</si>
  <si>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</si>
  <si>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</si>
  <si>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</si>
  <si>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</si>
  <si>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</si>
  <si>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</si>
  <si>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</si>
  <si>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</si>
  <si>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</si>
  <si>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</si>
  <si>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</si>
  <si>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</si>
  <si>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</si>
  <si>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</si>
  <si>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</si>
  <si>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</si>
  <si>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</si>
  <si>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</si>
  <si>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</si>
  <si>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</si>
  <si>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</si>
  <si>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</si>
  <si>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</si>
  <si>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</si>
  <si>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</si>
  <si>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</si>
  <si>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</si>
  <si>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</si>
  <si>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</si>
  <si>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</si>
  <si>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</si>
  <si>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</si>
  <si>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</si>
  <si>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</si>
  <si>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</si>
  <si>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</si>
  <si>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</si>
  <si>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</si>
  <si>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</si>
  <si>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</si>
  <si>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</si>
  <si>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</si>
  <si>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</si>
  <si>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</si>
  <si>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</si>
  <si>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</si>
  <si>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</si>
  <si>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</si>
  <si>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</si>
  <si>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</si>
  <si>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</si>
  <si>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</si>
  <si>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</si>
  <si>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</si>
  <si>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</si>
  <si>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</si>
  <si>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</si>
  <si>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</si>
  <si>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</si>
  <si>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</si>
  <si>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</si>
  <si>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</si>
  <si>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</si>
  <si>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</si>
  <si>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</si>
  <si>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</si>
  <si>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</si>
  <si>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</si>
  <si>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</si>
  <si>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</si>
  <si>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</si>
  <si>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</si>
  <si>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</si>
  <si>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</si>
  <si>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</si>
  <si>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</si>
  <si>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</si>
  <si>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</si>
  <si>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</si>
  <si>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</si>
  <si>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</si>
  <si>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</si>
  <si>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</si>
  <si>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</si>
  <si>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</si>
  <si>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</si>
  <si>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</si>
  <si>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</si>
  <si>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</si>
  <si>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</si>
  <si>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</si>
  <si>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</si>
  <si>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</si>
  <si>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</si>
  <si>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</si>
  <si>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</si>
  <si>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</si>
  <si>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</si>
  <si>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</si>
  <si>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</si>
  <si>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</si>
  <si>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</si>
  <si>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</si>
  <si>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</si>
  <si>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</si>
  <si>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</si>
  <si>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</si>
  <si>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</si>
  <si>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</si>
  <si>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</si>
  <si>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</si>
  <si>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</si>
  <si>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</si>
  <si>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</si>
  <si>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</si>
  <si>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</si>
  <si>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</si>
  <si>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</si>
  <si>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</si>
  <si>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</si>
  <si>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</si>
  <si>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</si>
  <si>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</si>
  <si>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</si>
  <si>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</si>
  <si>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</si>
  <si>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</si>
  <si>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</si>
  <si>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</si>
  <si>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</si>
  <si>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</si>
  <si>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</si>
  <si>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</si>
  <si>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</si>
  <si>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</si>
  <si>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</si>
  <si>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</si>
  <si>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</si>
  <si>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</si>
  <si>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</si>
  <si>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</si>
  <si>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</si>
  <si>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</si>
  <si>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</si>
  <si>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</si>
  <si>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</si>
  <si>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</si>
  <si>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</si>
  <si>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</si>
  <si>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</si>
  <si>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</si>
  <si>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</si>
  <si>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</si>
  <si>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</si>
  <si>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</si>
  <si>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</si>
  <si>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</si>
  <si>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</si>
  <si>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</si>
  <si>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</si>
  <si>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</si>
  <si>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</si>
  <si>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</si>
  <si>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</si>
  <si>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</si>
  <si>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</si>
  <si>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</si>
  <si>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</si>
  <si>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</si>
  <si>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</si>
  <si>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</si>
  <si>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</si>
  <si>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</si>
  <si>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</si>
  <si>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</si>
  <si>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</si>
  <si>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</si>
  <si>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</si>
  <si>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</si>
  <si>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</si>
  <si>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</si>
  <si>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</si>
  <si>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</si>
  <si>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</si>
  <si>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</si>
  <si>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</si>
  <si>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</si>
  <si>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</si>
  <si>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</si>
  <si>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</si>
  <si>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</si>
  <si>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</si>
  <si>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</si>
  <si>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</si>
  <si>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</si>
  <si>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</si>
  <si>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</si>
  <si>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</si>
  <si>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</si>
  <si>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</si>
  <si>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</si>
  <si>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</si>
  <si>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</si>
  <si>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</si>
  <si>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</si>
  <si>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</si>
  <si>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</si>
  <si>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</si>
  <si>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</si>
  <si>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</si>
  <si>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</si>
  <si>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</si>
  <si>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</si>
  <si>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</si>
  <si>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</si>
  <si>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</si>
  <si>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</si>
  <si>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</si>
  <si>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</si>
  <si>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</si>
  <si>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</si>
  <si>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</si>
  <si>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</si>
  <si>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</si>
  <si>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</si>
  <si>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</si>
  <si>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</si>
  <si>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</si>
  <si>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</si>
  <si>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</si>
  <si>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</si>
  <si>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</si>
  <si>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</si>
  <si>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</si>
  <si>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</si>
  <si>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</si>
  <si>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</si>
  <si>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</si>
  <si>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</si>
  <si>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</si>
  <si>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</si>
  <si>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</si>
  <si>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</si>
  <si>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</si>
  <si>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</si>
  <si>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</si>
  <si>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</si>
  <si>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</si>
  <si>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</si>
  <si>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</si>
  <si>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</si>
  <si>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</si>
  <si>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</si>
  <si>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</si>
  <si>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</si>
  <si>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</si>
  <si>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</si>
  <si>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</si>
  <si>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</si>
  <si>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</si>
  <si>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</si>
  <si>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</si>
  <si>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</si>
  <si>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</si>
  <si>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</si>
  <si>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</si>
  <si>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</si>
  <si>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</si>
  <si>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</si>
  <si>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</si>
  <si>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</si>
  <si>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</si>
  <si>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</si>
  <si>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</si>
  <si>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</si>
  <si>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</si>
  <si>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</si>
  <si>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</si>
  <si>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</si>
  <si>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</si>
  <si>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</si>
  <si>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</si>
  <si>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</si>
  <si>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</si>
  <si>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</si>
  <si>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</si>
  <si>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</si>
  <si>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</si>
  <si>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</si>
  <si>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</si>
  <si>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</si>
  <si>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</si>
  <si>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</si>
  <si>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</si>
  <si>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</si>
  <si>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</si>
  <si>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</si>
  <si>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</si>
  <si>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</si>
  <si>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</si>
  <si>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</si>
  <si>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</si>
  <si>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</si>
  <si>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</si>
  <si>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</si>
  <si>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</si>
  <si>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</si>
  <si>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</si>
  <si>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</si>
  <si>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</si>
  <si>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</si>
  <si>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</si>
  <si>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</si>
  <si>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</si>
  <si>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</si>
  <si>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</si>
  <si>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</si>
  <si>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</si>
  <si>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</si>
  <si>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</si>
  <si>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</si>
  <si>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</si>
  <si>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</si>
  <si>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</si>
  <si>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</si>
  <si>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</si>
  <si>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</si>
  <si>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</si>
  <si>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</si>
  <si>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</si>
  <si>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</si>
  <si>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</si>
  <si>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</si>
  <si>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</si>
  <si>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</si>
  <si>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</si>
  <si>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</si>
  <si>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</si>
  <si>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</si>
  <si>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</si>
  <si>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</si>
  <si>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</si>
  <si>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</si>
  <si>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</si>
  <si>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</si>
  <si>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</si>
  <si>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</si>
  <si>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</si>
  <si>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</si>
  <si>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</si>
  <si>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</si>
  <si>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</si>
  <si>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</si>
  <si>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</si>
  <si>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</si>
  <si>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</si>
  <si>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</si>
  <si>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</si>
  <si>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</si>
  <si>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</si>
  <si>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</si>
  <si>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</si>
  <si>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</si>
  <si>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</si>
  <si>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</si>
  <si>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</si>
  <si>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</si>
  <si>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</si>
  <si>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</si>
  <si>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</si>
  <si>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</si>
  <si>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</si>
  <si>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</si>
  <si>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</si>
  <si>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</si>
  <si>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</si>
  <si>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</si>
  <si>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</si>
  <si>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</si>
  <si>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</si>
  <si>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</si>
  <si>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</si>
  <si>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</si>
  <si>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</si>
  <si>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</si>
  <si>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</si>
  <si>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</si>
  <si>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</si>
  <si>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</si>
  <si>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</si>
  <si>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</si>
  <si>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</si>
  <si>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</si>
  <si>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</si>
  <si>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</si>
  <si>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</si>
  <si>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</si>
  <si>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</si>
  <si>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</si>
  <si>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</si>
  <si>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</si>
  <si>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</si>
  <si>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</si>
  <si>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</si>
  <si>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</si>
  <si>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</si>
  <si>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</si>
  <si>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</si>
  <si>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</si>
  <si>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</si>
  <si>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</si>
  <si>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</si>
  <si>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</si>
  <si>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</si>
  <si>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</si>
  <si>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</si>
  <si>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</si>
  <si>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</si>
  <si>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</si>
  <si>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</si>
  <si>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</si>
  <si>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</si>
  <si>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</si>
  <si>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</si>
  <si>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</si>
  <si>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</si>
  <si>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</si>
  <si>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</si>
  <si>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</si>
  <si>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</si>
  <si>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</si>
  <si>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</si>
  <si>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</si>
  <si>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</si>
  <si>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</si>
  <si>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</si>
  <si>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</si>
  <si>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</si>
  <si>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</si>
  <si>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</si>
  <si>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</si>
  <si>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</si>
  <si>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</si>
  <si>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</si>
  <si>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</si>
  <si>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</si>
  <si>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</si>
  <si>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</si>
  <si>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</si>
  <si>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</si>
  <si>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</si>
  <si>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</si>
  <si>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</si>
  <si>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</si>
  <si>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</si>
  <si>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</si>
  <si>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</si>
  <si>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</si>
  <si>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</si>
  <si>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</si>
  <si>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</si>
  <si>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</si>
  <si>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</si>
  <si>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</si>
  <si>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</si>
  <si>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</si>
  <si>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</si>
  <si>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</si>
  <si>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</si>
  <si>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</si>
  <si>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</si>
  <si>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</si>
  <si>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</si>
  <si>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</si>
  <si>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</si>
  <si>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</si>
  <si>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</si>
  <si>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</si>
  <si>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</si>
  <si>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</si>
  <si>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</si>
  <si>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</si>
  <si>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</si>
  <si>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</si>
  <si>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</si>
  <si>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</si>
  <si>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</si>
  <si>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</si>
  <si>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</si>
  <si>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</si>
  <si>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</si>
  <si>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</si>
  <si>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</si>
  <si>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</si>
  <si>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</si>
  <si>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</si>
  <si>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</si>
  <si>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</si>
  <si>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</si>
  <si>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</si>
  <si>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</si>
  <si>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</si>
  <si>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</si>
  <si>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</si>
  <si>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</si>
  <si>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</si>
  <si>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</si>
  <si>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</si>
  <si>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</si>
  <si>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</si>
  <si>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</si>
  <si>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</si>
  <si>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</si>
  <si>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</si>
  <si>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</si>
  <si>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</si>
  <si>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</si>
  <si>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</si>
  <si>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</si>
  <si>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</si>
  <si>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</si>
  <si>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</si>
  <si>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</si>
  <si>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</si>
  <si>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</si>
  <si>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</si>
  <si>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</si>
  <si>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</si>
  <si>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</si>
  <si>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</si>
  <si>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</si>
  <si>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</si>
  <si>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</si>
  <si>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</si>
  <si>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</si>
  <si>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</si>
  <si>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</si>
  <si>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</si>
  <si>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</si>
  <si>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</si>
  <si>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</si>
  <si>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</si>
  <si>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</si>
  <si>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</si>
  <si>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</si>
  <si>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</si>
  <si>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</si>
  <si>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</si>
  <si>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</si>
  <si>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</si>
  <si>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</si>
  <si>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</si>
  <si>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</si>
  <si>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</si>
  <si>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</si>
  <si>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</si>
  <si>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</si>
  <si>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</si>
  <si>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</si>
  <si>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</si>
  <si>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</si>
  <si>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</si>
  <si>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</si>
  <si>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</si>
  <si>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</si>
  <si>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</si>
  <si>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</si>
  <si>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</si>
  <si>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</si>
  <si>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</si>
  <si>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</si>
  <si>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</si>
  <si>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</si>
  <si>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</si>
  <si>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</si>
  <si>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</si>
  <si>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</si>
  <si>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</si>
  <si>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</si>
  <si>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</si>
  <si>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</si>
  <si>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</si>
  <si>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</si>
  <si>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</si>
  <si>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</si>
  <si>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</si>
  <si>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</si>
  <si>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</si>
  <si>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</si>
  <si>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</si>
  <si>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</si>
  <si>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</si>
  <si>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</si>
  <si>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</si>
  <si>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</si>
  <si>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</si>
  <si>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</si>
  <si>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</si>
  <si>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</si>
  <si>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</si>
  <si>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</si>
  <si>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</si>
  <si>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</si>
  <si>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</si>
  <si>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</si>
  <si>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</si>
  <si>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</si>
  <si>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</si>
  <si>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</si>
  <si>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</si>
  <si>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</si>
  <si>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</si>
  <si>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</si>
  <si>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</si>
  <si>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</si>
  <si>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</si>
  <si>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</si>
  <si>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</si>
  <si>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</si>
  <si>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</si>
  <si>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</si>
  <si>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</si>
  <si>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</si>
  <si>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</si>
  <si>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</si>
  <si>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</si>
  <si>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</si>
  <si>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</si>
  <si>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</si>
  <si>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</si>
  <si>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</si>
  <si>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</si>
  <si>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</si>
  <si>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</si>
  <si>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</si>
  <si>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</si>
  <si>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</si>
  <si>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</si>
  <si>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</si>
  <si>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</si>
  <si>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</si>
  <si>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</si>
  <si>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</si>
  <si>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</si>
  <si>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</si>
  <si>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</si>
  <si>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</si>
  <si>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</si>
  <si>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</si>
  <si>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</si>
  <si>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</si>
  <si>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</si>
  <si>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</si>
  <si>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</si>
  <si>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</si>
  <si>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</si>
  <si>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</si>
  <si>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</si>
  <si>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</si>
  <si>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</si>
  <si>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</si>
  <si>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</si>
  <si>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</si>
  <si>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</si>
  <si>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</si>
  <si>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</si>
  <si>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</si>
  <si>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</si>
  <si>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</si>
  <si>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</si>
  <si>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</si>
  <si>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</si>
  <si>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</si>
  <si>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</si>
  <si>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</si>
  <si>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</si>
  <si>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</si>
  <si>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</si>
  <si>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</si>
  <si>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</si>
  <si>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</si>
  <si>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</si>
  <si>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</si>
  <si>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</si>
  <si>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</si>
  <si>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</si>
  <si>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</si>
  <si>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</si>
  <si>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</si>
  <si>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</si>
  <si>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</si>
  <si>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</si>
  <si>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</si>
  <si>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</si>
  <si>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</si>
  <si>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</si>
  <si>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</si>
  <si>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</si>
  <si>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</si>
  <si>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</si>
  <si>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</si>
  <si>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</si>
  <si>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</si>
  <si>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</si>
  <si>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</si>
  <si>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</si>
  <si>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</si>
  <si>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</si>
  <si>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</si>
  <si>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</si>
  <si>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</si>
  <si>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</si>
  <si>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</si>
  <si>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</si>
  <si>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</si>
  <si>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</si>
  <si>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</si>
  <si>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</si>
  <si>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</si>
  <si>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</si>
  <si>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</si>
  <si>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</si>
  <si>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</si>
  <si>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</si>
  <si>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</si>
  <si>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</si>
  <si>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</si>
  <si>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</si>
  <si>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</si>
  <si>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</si>
  <si>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</si>
  <si>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</si>
  <si>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</si>
  <si>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</si>
  <si>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</si>
  <si>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</si>
  <si>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</si>
  <si>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</si>
  <si>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</si>
  <si>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</si>
  <si>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</si>
  <si>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</si>
  <si>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</si>
  <si>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</si>
  <si>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</si>
  <si>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</si>
  <si>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</si>
  <si>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</si>
  <si>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</si>
  <si>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</si>
  <si>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</si>
  <si>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</si>
  <si>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</si>
  <si>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</si>
  <si>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</si>
  <si>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</si>
  <si>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</si>
  <si>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</si>
  <si>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</si>
  <si>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</si>
  <si>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</si>
  <si>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</si>
  <si>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</si>
  <si>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</si>
  <si>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</si>
  <si>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</si>
  <si>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</si>
  <si>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</si>
  <si>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</si>
  <si>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</si>
  <si>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</si>
  <si>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</si>
  <si>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</si>
  <si>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</si>
  <si>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</si>
  <si>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</si>
  <si>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</si>
  <si>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</si>
  <si>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</si>
  <si>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</si>
  <si>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</si>
  <si>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</si>
  <si>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</si>
  <si>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</si>
  <si>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</si>
  <si>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</si>
  <si>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</si>
  <si>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</si>
  <si>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</si>
  <si>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</si>
  <si>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</si>
  <si>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</si>
  <si>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</si>
  <si>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</si>
  <si>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</si>
  <si>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</si>
  <si>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</si>
  <si>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</si>
  <si>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</si>
  <si>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</si>
  <si>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</si>
  <si>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</si>
  <si>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</si>
  <si>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</si>
  <si>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</si>
  <si>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</si>
  <si>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</si>
  <si>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</si>
  <si>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</si>
  <si>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</si>
  <si>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</si>
  <si>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</si>
  <si>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</si>
  <si>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</si>
  <si>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</si>
  <si>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</si>
  <si>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</si>
  <si>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</si>
  <si>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</si>
  <si>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</si>
  <si>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</si>
  <si>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</si>
  <si>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</si>
  <si>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</si>
  <si>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</si>
  <si>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</si>
  <si>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</si>
  <si>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</si>
  <si>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</si>
  <si>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</si>
  <si>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</si>
  <si>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</si>
  <si>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</si>
  <si>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</si>
  <si>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</si>
  <si>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</si>
  <si>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</si>
  <si>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</si>
  <si>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</si>
  <si>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</si>
  <si>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</si>
  <si>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</si>
  <si>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</si>
  <si>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</si>
  <si>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</si>
  <si>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</si>
  <si>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</si>
  <si>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</si>
  <si>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</si>
  <si>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</si>
  <si>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</si>
  <si>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</si>
  <si>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</si>
  <si>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</si>
  <si>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</si>
  <si>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</si>
  <si>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</si>
  <si>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</si>
  <si>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</si>
  <si>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</si>
  <si>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</si>
  <si>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</si>
  <si>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</si>
  <si>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</si>
  <si>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</si>
  <si>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</si>
  <si>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</si>
  <si>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</si>
  <si>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</si>
  <si>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</si>
  <si>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</si>
  <si>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</si>
  <si>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</si>
  <si>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</si>
  <si>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</si>
  <si>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</si>
  <si>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</si>
  <si>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</si>
  <si>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</si>
  <si>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</si>
  <si>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</si>
  <si>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</si>
  <si>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</si>
  <si>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</si>
  <si>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</si>
  <si>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</si>
  <si>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</si>
  <si>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</si>
  <si>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</si>
  <si>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</si>
  <si>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</si>
  <si>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</si>
  <si>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</si>
  <si>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</si>
  <si>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</si>
  <si>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</si>
  <si>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</si>
  <si>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</si>
  <si>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</si>
  <si>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</si>
  <si>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</si>
  <si>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</si>
  <si>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</si>
  <si>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</si>
  <si>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</si>
  <si>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</si>
  <si>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</si>
  <si>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</si>
  <si>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</si>
  <si>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</si>
  <si>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</si>
  <si>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</si>
  <si>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</si>
  <si>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</si>
  <si>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</si>
  <si>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</si>
  <si>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</si>
  <si>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</si>
  <si>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</si>
  <si>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</si>
  <si>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</si>
  <si>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</si>
  <si>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</si>
  <si>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</si>
  <si>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</si>
  <si>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</si>
  <si>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</si>
  <si>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</si>
  <si>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</si>
  <si>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</si>
  <si>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</si>
  <si>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</si>
  <si>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</si>
  <si>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</si>
  <si>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</si>
  <si>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</si>
  <si>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</si>
  <si>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</si>
  <si>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</si>
  <si>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</si>
  <si>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</si>
  <si>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</si>
  <si>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</si>
  <si>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</si>
  <si>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</si>
  <si>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</si>
  <si>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</si>
  <si>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</si>
  <si>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</si>
  <si>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</si>
  <si>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</si>
  <si>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</si>
  <si>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</si>
  <si>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</si>
  <si>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</si>
  <si>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</si>
  <si>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</si>
  <si>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</si>
  <si>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</si>
  <si>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</si>
  <si>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</si>
  <si>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</si>
  <si>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</si>
  <si>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</si>
  <si>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</si>
  <si>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</si>
  <si>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</si>
  <si>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</si>
  <si>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</si>
  <si>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</si>
  <si>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</si>
  <si>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</si>
  <si>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</si>
  <si>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</si>
  <si>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</si>
  <si>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</si>
  <si>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</si>
  <si>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</si>
  <si>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</si>
  <si>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</si>
  <si>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</si>
  <si>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</si>
  <si>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</si>
  <si>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</si>
  <si>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</si>
  <si>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</si>
  <si>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</si>
  <si>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</si>
  <si>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</si>
  <si>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</si>
  <si>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</si>
  <si>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</si>
  <si>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</si>
  <si>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</si>
  <si>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</si>
  <si>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</si>
  <si>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</si>
  <si>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</si>
  <si>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</si>
  <si>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</si>
  <si>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</si>
  <si>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</si>
  <si>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</si>
  <si>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</si>
  <si>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</si>
  <si>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</si>
  <si>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</si>
  <si>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</si>
  <si>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</si>
  <si>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</si>
  <si>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</si>
  <si>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</si>
  <si>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</si>
  <si>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</si>
  <si>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</si>
  <si>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</si>
  <si>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</si>
  <si>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</si>
  <si>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</si>
  <si>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</si>
  <si>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</si>
  <si>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</si>
  <si>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</si>
  <si>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</si>
  <si>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</si>
  <si>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</si>
  <si>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</si>
  <si>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</si>
  <si>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</si>
  <si>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</si>
  <si>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</si>
  <si>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</si>
  <si>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</si>
  <si>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</si>
  <si>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</si>
  <si>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</si>
  <si>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</si>
  <si>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</si>
  <si>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</si>
  <si>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</si>
  <si>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</si>
  <si>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</si>
  <si>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</si>
  <si>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</si>
  <si>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</si>
  <si>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</si>
  <si>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</si>
  <si>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</si>
  <si>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</si>
  <si>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</si>
  <si>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</si>
  <si>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</si>
  <si>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</si>
  <si>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</si>
  <si>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</si>
  <si>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</si>
  <si>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</si>
  <si>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</si>
  <si>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</si>
  <si>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</si>
  <si>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</si>
  <si>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</si>
  <si>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</si>
  <si>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</si>
  <si>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</si>
  <si>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</si>
  <si>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</si>
  <si>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</si>
  <si>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</si>
  <si>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</si>
  <si>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</si>
  <si>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</si>
  <si>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</si>
  <si>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</si>
  <si>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</si>
  <si>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</si>
  <si>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</si>
  <si>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</si>
  <si>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</si>
  <si>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</si>
  <si>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</si>
  <si>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</si>
  <si>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</si>
  <si>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</si>
  <si>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</si>
  <si>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</si>
  <si>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</si>
  <si>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</si>
  <si>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</si>
  <si>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</si>
  <si>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</si>
  <si>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</si>
  <si>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</si>
  <si>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</si>
  <si>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</si>
  <si>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</si>
  <si>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</si>
  <si>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</si>
  <si>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</si>
  <si>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</si>
  <si>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</si>
  <si>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</si>
  <si>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</si>
  <si>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</si>
  <si>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</si>
  <si>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</si>
  <si>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</si>
  <si>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</si>
  <si>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</si>
  <si>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</si>
  <si>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</si>
  <si>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</si>
  <si>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</si>
  <si>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</si>
  <si>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</si>
  <si>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</si>
  <si>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</si>
  <si>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</si>
  <si>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</si>
  <si>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</si>
  <si>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</si>
  <si>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</si>
  <si>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</si>
  <si>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Will</t>
  </si>
  <si>
    <t>Evans, Marshall and Pease, PC</t>
  </si>
  <si>
    <t>Jeffery M. Rollefson, CPA</t>
  </si>
  <si>
    <t>1875 Hicks Road</t>
  </si>
  <si>
    <t>601 Willow Street</t>
  </si>
  <si>
    <t>Rolling Meadows</t>
  </si>
  <si>
    <t>Illinois</t>
  </si>
  <si>
    <t>Frankfort</t>
  </si>
  <si>
    <t>847-221-5700</t>
  </si>
  <si>
    <t>847-221-5701</t>
  </si>
  <si>
    <t>sfritzgerald@lwase843.org</t>
  </si>
  <si>
    <t>jeff@empcpa.com</t>
  </si>
  <si>
    <t>SERIES 2006</t>
  </si>
  <si>
    <t>Cooperative member districts are listed in line 41 below</t>
  </si>
  <si>
    <t>x</t>
  </si>
  <si>
    <t>Manhattan School District 114, Frankfort School District 157C, Mokena School District 159, Summit Hill School District 161, and Lincoln-Way High School District 210</t>
  </si>
  <si>
    <t>DIRECT ENERGY</t>
  </si>
  <si>
    <t>OPERATIONS AND MAINTENANCE PLANT SERVICE</t>
  </si>
  <si>
    <t>066-005340</t>
  </si>
  <si>
    <t>EVANS, MARSHALL, &amp; PEASE</t>
  </si>
  <si>
    <t xml:space="preserve">   Lincoln Way Area Spec Ed Joint Agreement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</si>
</sst>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1514475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142875</xdr:colOff>
          <xdr:row>7</xdr:row>
          <xdr:rowOff>0</xdr:rowOff>
        </xdr:from>
        <xdr:to>
          <xdr:col>5</xdr:col>
          <xdr:colOff>447675</xdr:colOff>
          <xdr:row>11</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304800</xdr:colOff>
          <xdr:row>11</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2051</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56099843060</v>
      </c>
      <c r="B13" s="2101"/>
      <c r="C13" s="2101"/>
      <c r="D13" s="2101"/>
      <c r="E13" s="2101"/>
      <c r="F13" s="2101"/>
      <c r="G13" s="2101"/>
      <c r="H13" s="2102"/>
      <c r="I13" s="31"/>
      <c r="J13" s="30"/>
      <c r="K13" s="28"/>
      <c r="L13" s="30"/>
      <c r="M13" s="30"/>
      <c r="N13" s="30"/>
      <c r="O13" s="30"/>
      <c r="P13" s="30"/>
      <c r="Q13" s="30"/>
      <c r="R13" s="30"/>
      <c r="S13" s="30"/>
      <c r="T13" s="2106" t="s">
        <v>2053</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2054</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2072</v>
      </c>
      <c r="B17" s="2074"/>
      <c r="C17" s="2074"/>
      <c r="D17" s="2074"/>
      <c r="E17" s="2074"/>
      <c r="F17" s="2074"/>
      <c r="G17" s="2074"/>
      <c r="H17" s="2099"/>
      <c r="T17" s="2117" t="s">
        <v>2055</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2056</v>
      </c>
      <c r="B19" s="2059"/>
      <c r="C19" s="2059"/>
      <c r="D19" s="2059"/>
      <c r="E19" s="2059"/>
      <c r="F19" s="2059"/>
      <c r="G19" s="2059"/>
      <c r="H19" s="2039"/>
      <c r="I19" s="30"/>
      <c r="J19" s="96"/>
      <c r="K19" s="40"/>
      <c r="L19" s="38"/>
      <c r="M19" s="109" t="s">
        <v>312</v>
      </c>
      <c r="P19" s="27"/>
      <c r="Q19" s="27"/>
      <c r="R19" s="27"/>
      <c r="S19" s="31"/>
      <c r="T19" s="2103" t="s">
        <v>2057</v>
      </c>
      <c r="U19" s="2038"/>
      <c r="V19" s="2038"/>
      <c r="W19" s="2039"/>
      <c r="X19" s="2115" t="s">
        <v>2058</v>
      </c>
      <c r="Y19" s="2116"/>
      <c r="Z19" s="2113">
        <v>60008</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2059</v>
      </c>
      <c r="B21" s="2038"/>
      <c r="C21" s="2038"/>
      <c r="D21" s="2038"/>
      <c r="E21" s="2038"/>
      <c r="F21" s="2038"/>
      <c r="G21" s="2038"/>
      <c r="H21" s="2039"/>
      <c r="I21" s="2093" t="s">
        <v>673</v>
      </c>
      <c r="J21" s="2088"/>
      <c r="K21" s="2088"/>
      <c r="L21" s="2088"/>
      <c r="M21" s="2088"/>
      <c r="N21" s="2088"/>
      <c r="O21" s="2088"/>
      <c r="P21" s="2088"/>
      <c r="Q21" s="2088"/>
      <c r="R21" s="2088"/>
      <c r="S21" s="2094"/>
      <c r="T21" s="2128" t="s">
        <v>2060</v>
      </c>
      <c r="U21" s="2129"/>
      <c r="V21" s="2129"/>
      <c r="W21" s="2129"/>
      <c r="X21" s="2134" t="s">
        <v>2061</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2062</v>
      </c>
      <c r="B23" s="2091"/>
      <c r="C23" s="2091"/>
      <c r="D23" s="2091"/>
      <c r="E23" s="2091"/>
      <c r="F23" s="2091"/>
      <c r="G23" s="2091"/>
      <c r="H23" s="2092"/>
      <c r="T23" s="2073" t="s">
        <v>2070</v>
      </c>
      <c r="U23" s="2127"/>
      <c r="V23" s="2127"/>
      <c r="W23" s="2127"/>
      <c r="X23" s="2131">
        <v>44530</v>
      </c>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60423</v>
      </c>
      <c r="B25" s="2038"/>
      <c r="C25" s="2038"/>
      <c r="D25" s="2038"/>
      <c r="E25" s="2038"/>
      <c r="F25" s="2038"/>
      <c r="G25" s="2038"/>
      <c r="H25" s="2039"/>
      <c r="I25" s="110"/>
      <c r="J25" s="2062"/>
      <c r="K25" s="2062"/>
      <c r="L25" s="2062"/>
      <c r="M25" s="2062"/>
      <c r="N25" s="2062"/>
      <c r="O25" s="2062"/>
      <c r="P25" s="2062"/>
      <c r="Q25" s="2062"/>
      <c r="R25" s="2062"/>
      <c r="S25" s="2063"/>
      <c r="T25" s="2124" t="s">
        <v>2063</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c r="B42" s="2057"/>
      <c r="C42" s="2058"/>
      <c r="D42" s="2056"/>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38" sqref="A38:H3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1" colorId="8" zoomScale="110" zoomScaleNormal="110" workbookViewId="0">
      <selection activeCell="A38" sqref="A38:H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2064</v>
      </c>
      <c r="B31" s="595">
        <v>38869</v>
      </c>
      <c r="C31" s="1734">
        <v>2000000</v>
      </c>
      <c r="D31" s="1735">
        <v>6</v>
      </c>
      <c r="E31" s="1734">
        <v>350000</v>
      </c>
      <c r="F31" s="1734"/>
      <c r="G31" s="1734"/>
      <c r="H31" s="1734">
        <v>170000</v>
      </c>
      <c r="I31" s="1736">
        <f>((E31+F31)-H31)+G31</f>
        <v>180000</v>
      </c>
      <c r="J31" s="1734">
        <v>180000</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2000000</v>
      </c>
      <c r="D49" s="1742"/>
      <c r="E49" s="1736">
        <f t="shared" ref="E49:J49" si="2">SUM(E31:E48)</f>
        <v>350000</v>
      </c>
      <c r="F49" s="1736">
        <f t="shared" si="2"/>
        <v>0</v>
      </c>
      <c r="G49" s="1736">
        <f t="shared" si="2"/>
        <v>0</v>
      </c>
      <c r="H49" s="1736">
        <f t="shared" si="2"/>
        <v>170000</v>
      </c>
      <c r="I49" s="1736">
        <f t="shared" si="2"/>
        <v>180000</v>
      </c>
      <c r="J49" s="1736">
        <f t="shared" si="2"/>
        <v>180000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38" sqref="A38:H3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38" sqref="A38:H3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513028</v>
      </c>
      <c r="D5" s="1770"/>
      <c r="E5" s="1770"/>
      <c r="F5" s="1765">
        <f>(C5+D5)-E5</f>
        <v>513028</v>
      </c>
      <c r="G5" s="676"/>
      <c r="H5" s="680"/>
      <c r="I5" s="680"/>
      <c r="J5" s="680"/>
      <c r="K5" s="637"/>
      <c r="L5" s="1442">
        <f>F5-K5</f>
        <v>513028</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4780013</v>
      </c>
      <c r="D8" s="1771"/>
      <c r="E8" s="1771"/>
      <c r="F8" s="1765">
        <f>(C8+D8)-E8</f>
        <v>4780013</v>
      </c>
      <c r="G8" s="681">
        <v>50</v>
      </c>
      <c r="H8" s="619">
        <v>1070966</v>
      </c>
      <c r="I8" s="619">
        <v>95600</v>
      </c>
      <c r="J8" s="619"/>
      <c r="K8" s="1442">
        <f>(H8+I8)-J8</f>
        <v>1166566</v>
      </c>
      <c r="L8" s="1442">
        <f>F8-K8</f>
        <v>3613447</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1379024</v>
      </c>
      <c r="D10" s="1772"/>
      <c r="E10" s="1772"/>
      <c r="F10" s="1773">
        <f>(C10+D10)-E10</f>
        <v>1379024</v>
      </c>
      <c r="G10" s="681">
        <v>20</v>
      </c>
      <c r="H10" s="683">
        <v>1031404</v>
      </c>
      <c r="I10" s="683">
        <v>68951</v>
      </c>
      <c r="J10" s="683"/>
      <c r="K10" s="1442">
        <f>(H10+I10)-J10</f>
        <v>1100355</v>
      </c>
      <c r="L10" s="1442">
        <f>F10-K10</f>
        <v>278669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3105166</v>
      </c>
      <c r="D12" s="1771">
        <v>71671</v>
      </c>
      <c r="E12" s="1771"/>
      <c r="F12" s="1765">
        <f>(C12+D12)-E12</f>
        <v>3176837</v>
      </c>
      <c r="G12" s="681">
        <v>10</v>
      </c>
      <c r="H12" s="619">
        <v>2704697</v>
      </c>
      <c r="I12" s="619">
        <v>314101</v>
      </c>
      <c r="J12" s="619"/>
      <c r="K12" s="1442">
        <f>(H12+I12)-J12</f>
        <v>3018798</v>
      </c>
      <c r="L12" s="1442">
        <f>F12-K12</f>
        <v>158039</v>
      </c>
    </row>
    <row r="13" spans="1:14" ht="14.25" thickTop="1" thickBot="1" x14ac:dyDescent="0.25">
      <c r="A13" s="684" t="s">
        <v>1112</v>
      </c>
      <c r="B13" s="679">
        <v>252</v>
      </c>
      <c r="C13" s="1771">
        <v>3178026</v>
      </c>
      <c r="D13" s="1771"/>
      <c r="E13" s="1771"/>
      <c r="F13" s="1765">
        <f>(C13+D13)-E13</f>
        <v>3178026</v>
      </c>
      <c r="G13" s="681">
        <v>5</v>
      </c>
      <c r="H13" s="619">
        <v>2913528</v>
      </c>
      <c r="I13" s="619">
        <v>264498</v>
      </c>
      <c r="J13" s="619"/>
      <c r="K13" s="1442">
        <f>(H13+I13)-J13</f>
        <v>3178026</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12955257</v>
      </c>
      <c r="D16" s="1765">
        <f>SUM(D3,D5:D6,D8:D10,D12:D15)</f>
        <v>71671</v>
      </c>
      <c r="E16" s="1765">
        <f>SUM(E3,E5:E6,E8:E10,E12:E15)</f>
        <v>0</v>
      </c>
      <c r="F16" s="1765">
        <f>SUM(F3,F5:F6,F8:F10,F12:F15)</f>
        <v>13026928</v>
      </c>
      <c r="G16" s="681"/>
      <c r="H16" s="1435">
        <f>SUM(H3,H6,H8:H10,H12:H14,)</f>
        <v>7720595</v>
      </c>
      <c r="I16" s="1435">
        <f>SUM(I3,I6,I8:I10,I12:I14,)</f>
        <v>743150</v>
      </c>
      <c r="J16" s="1435">
        <f>SUM(J3,J6,J8:J10,J12:J14,)</f>
        <v>0</v>
      </c>
      <c r="K16" s="1435">
        <f>(H16+I16)-J16</f>
        <v>8463745</v>
      </c>
      <c r="L16" s="1435">
        <f>F16-K16</f>
        <v>4563183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743150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A38" sqref="A38:H3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9300294</v>
      </c>
      <c r="G8" s="701"/>
    </row>
    <row r="9" spans="1:9" x14ac:dyDescent="0.2">
      <c r="A9" s="705" t="s">
        <v>457</v>
      </c>
      <c r="B9" s="706" t="s">
        <v>1848</v>
      </c>
      <c r="C9" s="707"/>
      <c r="D9" s="705" t="s">
        <v>498</v>
      </c>
      <c r="E9" s="704"/>
      <c r="F9" s="1775">
        <f>'Expenditures 15-22'!K151</f>
        <v>406680</v>
      </c>
      <c r="G9" s="708"/>
    </row>
    <row r="10" spans="1:9" x14ac:dyDescent="0.2">
      <c r="A10" s="705" t="s">
        <v>496</v>
      </c>
      <c r="B10" s="706" t="s">
        <v>1849</v>
      </c>
      <c r="C10" s="707"/>
      <c r="D10" s="705" t="s">
        <v>498</v>
      </c>
      <c r="E10" s="704"/>
      <c r="F10" s="1775">
        <f>'Expenditures 15-22'!K174</f>
        <v>184575</v>
      </c>
      <c r="G10" s="708"/>
    </row>
    <row r="11" spans="1:9" x14ac:dyDescent="0.2">
      <c r="A11" s="705" t="s">
        <v>458</v>
      </c>
      <c r="B11" s="706" t="s">
        <v>1850</v>
      </c>
      <c r="C11" s="707"/>
      <c r="D11" s="705" t="s">
        <v>498</v>
      </c>
      <c r="E11" s="704"/>
      <c r="F11" s="1775">
        <f>'Expenditures 15-22'!K210</f>
        <v>3516908</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13408457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213608</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1406504</v>
      </c>
      <c r="G53" s="701"/>
    </row>
    <row r="54" spans="1:7" x14ac:dyDescent="0.2">
      <c r="A54" s="705" t="s">
        <v>456</v>
      </c>
      <c r="B54" s="705" t="s">
        <v>1459</v>
      </c>
      <c r="C54" s="724" t="s">
        <v>975</v>
      </c>
      <c r="D54" s="720" t="s">
        <v>1086</v>
      </c>
      <c r="E54" s="704"/>
      <c r="F54" s="1782">
        <f>'Expenditures 15-22'!G114</f>
        <v>71670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8725</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170000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318168</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2188675</v>
      </c>
      <c r="G77" s="701"/>
    </row>
    <row r="78" spans="1:9" s="728" customFormat="1" ht="12" customHeight="1" thickTop="1" thickBot="1" x14ac:dyDescent="0.25">
      <c r="A78" s="1450"/>
      <c r="B78" s="1448"/>
      <c r="C78" s="1445"/>
      <c r="D78" s="1449" t="s">
        <v>2012</v>
      </c>
      <c r="E78" s="1447"/>
      <c r="F78" s="1788">
        <f>(F14-F77)</f>
        <v>11219782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3567</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4368587</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767627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588970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21936</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1058</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5801745</v>
      </c>
    </row>
    <row r="176" spans="1:7" ht="12" customHeight="1" x14ac:dyDescent="0.2">
      <c r="A176" s="1443"/>
      <c r="B176" s="1453"/>
      <c r="C176" s="1454"/>
      <c r="D176" s="1455" t="s">
        <v>2014</v>
      </c>
      <c r="E176" s="1456"/>
      <c r="F176" s="1793">
        <f>'PCTC-OEPP 27-28'!F78-F175</f>
        <v>5418037</v>
      </c>
    </row>
    <row r="177" spans="1:9" ht="12" customHeight="1" x14ac:dyDescent="0.2">
      <c r="A177" s="1443"/>
      <c r="B177" s="1453"/>
      <c r="C177" s="1454"/>
      <c r="D177" s="1455" t="s">
        <v>1794</v>
      </c>
      <c r="E177" s="1456"/>
      <c r="F177" s="1793">
        <f>'Cap Outlay Deprec 26'!I18</f>
        <v>743150</v>
      </c>
    </row>
    <row r="178" spans="1:9" ht="12" customHeight="1" x14ac:dyDescent="0.2">
      <c r="A178" s="1443"/>
      <c r="B178" s="1453"/>
      <c r="C178" s="1454"/>
      <c r="D178" s="1455" t="s">
        <v>2015</v>
      </c>
      <c r="E178" s="1456"/>
      <c r="F178" s="1793">
        <f>F176+F177</f>
        <v>6161187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38" sqref="A38:H3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2069</v>
      </c>
      <c r="B18" s="1908">
        <v>202540400</v>
      </c>
      <c r="C18" s="2035" t="s">
        <v>2068</v>
      </c>
      <c r="D18" s="1886">
        <v>10986</v>
      </c>
      <c r="E18" s="1906">
        <f t="shared" ref="E18:E81" si="0">IF(D18&lt;25000,D18,"25,000")</f>
        <v>10986</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10986</v>
      </c>
      <c r="E142" s="1893">
        <f>SUM(E18:E141)</f>
        <v>10986</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1514475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38" sqref="A38:H3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4203440</v>
      </c>
      <c r="F19" s="1802"/>
      <c r="G19" s="1804">
        <f>'Expenditures 15-22'!K33-SUM('Expenditures 15-22'!G33,'Expenditures 15-22'!I33)+'Expenditures 15-22'!D229</f>
        <v>4203440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1567702</v>
      </c>
      <c r="F21" s="1805"/>
      <c r="G21" s="1808">
        <f>'Expenditures 15-22'!K42-SUM('Expenditures 15-22'!G42,'Expenditures 15-22'!I42)+'Expenditures 15-22'!K120-SUM('Expenditures 15-22'!G120,'Expenditures 15-22'!I120)+'Expenditures 15-22'!K180-SUM('Expenditures 15-22'!G180,'Expenditures 15-22'!I180)+'Expenditures 15-22'!D238</f>
        <v>1567702</v>
      </c>
      <c r="H21" s="817"/>
      <c r="I21" s="157"/>
    </row>
    <row r="22" spans="1:9" s="542" customFormat="1" ht="12" customHeight="1" x14ac:dyDescent="0.2">
      <c r="A22" s="824" t="s">
        <v>560</v>
      </c>
      <c r="B22" s="825"/>
      <c r="C22" s="823">
        <v>2200</v>
      </c>
      <c r="D22" s="1805"/>
      <c r="E22" s="1807">
        <f>'Expenditures 15-22'!K47-SUM('Expenditures 15-22'!G47,'Expenditures 15-22'!I47)+'Expenditures 15-22'!D243</f>
        <v>126487</v>
      </c>
      <c r="F22" s="1805"/>
      <c r="G22" s="1808">
        <f>'Expenditures 15-22'!K47-SUM('Expenditures 15-22'!G47,'Expenditures 15-22'!I47)+'Expenditures 15-22'!D243</f>
        <v>126487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978167</v>
      </c>
      <c r="F23" s="1805"/>
      <c r="G23" s="1807">
        <f>'Expenditures 15-22'!K53-SUM('Expenditures 15-22'!G53,'Expenditures 15-22'!I53)+'Expenditures 15-22'!D257+'Expenditures 15-22'!K330-SUM('Expenditures 15-22'!G330,'Expenditures 15-22'!I330)</f>
        <v>978167</v>
      </c>
      <c r="H23" s="817"/>
      <c r="I23" s="157"/>
    </row>
    <row r="24" spans="1:9" s="542" customFormat="1" ht="12" customHeight="1" x14ac:dyDescent="0.2">
      <c r="A24" s="824" t="s">
        <v>562</v>
      </c>
      <c r="B24" s="825"/>
      <c r="C24" s="823">
        <v>2400</v>
      </c>
      <c r="D24" s="1805"/>
      <c r="E24" s="1807">
        <f>'Expenditures 15-22'!K57-SUM('Expenditures 15-22'!G57,'Expenditures 15-22'!I57)+'Expenditures 15-22'!D261</f>
        <v>348367</v>
      </c>
      <c r="F24" s="1805"/>
      <c r="G24" s="1808">
        <f>'Expenditures 15-22'!K57-SUM('Expenditures 15-22'!G57,'Expenditures 15-22'!I57)+'Expenditures 15-22'!D261</f>
        <v>348367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169427</v>
      </c>
      <c r="E27" s="1807">
        <f>E8</f>
        <v>0</v>
      </c>
      <c r="F27" s="1807">
        <f>'Expenditures 15-22'!K60-SUM('Expenditures 15-22'!G60,'Expenditures 15-22'!I60)+'Expenditures 15-22'!D264-E8</f>
        <v>169427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397955</v>
      </c>
      <c r="F28" s="1809">
        <f>'Expenditures 15-22'!K61-SUM('Expenditures 15-22'!G61,'Expenditures 15-22'!I61)+'Expenditures 15-22'!K124-SUM('Expenditures 15-22'!G124,'Expenditures 15-22'!I124)+'Expenditures 15-22'!D266-E9</f>
        <v>397955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3627270</v>
      </c>
      <c r="F29" s="1805"/>
      <c r="G29" s="1808">
        <f>'Expenditures 15-22'!K62-SUM('Expenditures 15-22'!G62,'Expenditures 15-22'!I62)+'Expenditures 15-22'!K125-SUM('Expenditures 15-22'!G125,'Expenditures 15-22'!I125)+'Expenditures 15-22'!K182-SUM('Expenditures 15-22'!G182,'Expenditures 15-22'!I182)+'Expenditures 15-22'!D267</f>
        <v>3627270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169427</v>
      </c>
      <c r="E41" s="1809">
        <f>SUM(E19:E40)</f>
        <v>11249388</v>
      </c>
      <c r="F41" s="1809">
        <f>SUM(F19:F39)</f>
        <v>567382</v>
      </c>
      <c r="G41" s="1809">
        <f>SUM(G19:G40)</f>
        <v>10851433</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169427</v>
      </c>
      <c r="F43" s="1458" t="s">
        <v>470</v>
      </c>
      <c r="G43" s="1810">
        <f>F41</f>
        <v>567382</v>
      </c>
    </row>
    <row r="44" spans="1:7" ht="12" customHeight="1" x14ac:dyDescent="0.2">
      <c r="A44" s="817"/>
      <c r="B44" s="157"/>
      <c r="C44" s="831"/>
      <c r="D44" s="1458" t="s">
        <v>471</v>
      </c>
      <c r="E44" s="1810">
        <f>E41</f>
        <v>11249388</v>
      </c>
      <c r="F44" s="1458" t="s">
        <v>471</v>
      </c>
      <c r="G44" s="1810">
        <f>G41</f>
        <v>10851433</v>
      </c>
    </row>
    <row r="45" spans="1:7" ht="12" customHeight="1" x14ac:dyDescent="0.2">
      <c r="A45" s="817"/>
      <c r="B45" s="157"/>
      <c r="C45" s="157"/>
      <c r="D45" s="1459" t="s">
        <v>999</v>
      </c>
      <c r="E45" s="1811">
        <f>(E43/E44)</f>
        <v>1.5060997096019801E-2</v>
      </c>
      <c r="F45" s="1459" t="s">
        <v>999</v>
      </c>
      <c r="G45" s="1811">
        <f>(G43/G44)</f>
        <v>5.2286366233842113E-2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3" zoomScale="110" zoomScaleNormal="110" workbookViewId="0">
      <selection activeCell="A47" sqref="A4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Lincoln Way Area Spec Ed Joint Agreement</v>
      </c>
      <c r="D6" s="2415"/>
      <c r="E6" s="2415"/>
      <c r="F6" s="1482"/>
      <c r="G6" s="1507"/>
      <c r="L6" s="1507"/>
      <c r="M6" s="1855"/>
      <c r="N6" s="1855"/>
      <c r="O6" s="1855"/>
    </row>
    <row r="7" spans="1:15" ht="11.25" customHeight="1" thickBot="1" x14ac:dyDescent="0.3">
      <c r="A7" s="1480"/>
      <c r="B7" s="1481"/>
      <c r="C7" s="2416">
        <f>COVER!A13</f>
        <v>56099843060</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2066</v>
      </c>
      <c r="D11" s="1495" t="s">
        <v>2066</v>
      </c>
      <c r="E11" s="1496"/>
      <c r="F11" s="1497" t="s">
        <v>2065</v>
      </c>
      <c r="G11" s="1507"/>
      <c r="H11" s="1507">
        <f>IF(C11="X",5,0)</f>
        <v>5</v>
      </c>
      <c r="I11" s="1507">
        <f>IF(D11="X",5,0)</f>
        <v>5</v>
      </c>
      <c r="J11" s="1507">
        <f>IF(E11="X",5,0)</f>
        <v>0</v>
      </c>
      <c r="L11" s="1507"/>
      <c r="M11" s="1855"/>
      <c r="N11" s="1855"/>
      <c r="O11" s="1855"/>
    </row>
    <row r="12" spans="1:15" ht="12" customHeight="1" x14ac:dyDescent="0.2">
      <c r="A12" s="1493" t="s">
        <v>1368</v>
      </c>
      <c r="B12" s="1494"/>
      <c r="C12" s="1495" t="s">
        <v>2066</v>
      </c>
      <c r="D12" s="1495" t="s">
        <v>2066</v>
      </c>
      <c r="E12" s="1498"/>
      <c r="F12" s="1497"/>
      <c r="G12" s="1507"/>
      <c r="H12" s="1507">
        <f t="shared" ref="H12:H33" si="0">IF(C12="X",5,0)</f>
        <v>5</v>
      </c>
      <c r="I12" s="1507">
        <f t="shared" ref="I12:I33" si="1">IF(D12="X",5,0)</f>
        <v>5</v>
      </c>
      <c r="J12" s="1507">
        <f t="shared" ref="J12:J33" si="2">IF(E12="X",5,0)</f>
        <v>0</v>
      </c>
      <c r="L12" s="1507"/>
      <c r="M12" s="1855"/>
      <c r="N12" s="1855"/>
      <c r="O12" s="1855"/>
    </row>
    <row r="13" spans="1:15" ht="12" customHeight="1" x14ac:dyDescent="0.2">
      <c r="A13" s="1493" t="s">
        <v>1369</v>
      </c>
      <c r="B13" s="1494"/>
      <c r="C13" s="1495" t="s">
        <v>2066</v>
      </c>
      <c r="D13" s="1495" t="s">
        <v>2066</v>
      </c>
      <c r="E13" s="1498"/>
      <c r="F13" s="1497"/>
      <c r="G13" s="1507"/>
      <c r="H13" s="1507">
        <f t="shared" si="0"/>
        <v>5</v>
      </c>
      <c r="I13" s="1507">
        <f t="shared" si="1"/>
        <v>5</v>
      </c>
      <c r="J13" s="1507">
        <f t="shared" si="2"/>
        <v>0</v>
      </c>
      <c r="L13" s="1507"/>
      <c r="M13" s="1855"/>
      <c r="N13" s="1855"/>
      <c r="O13" s="1855"/>
    </row>
    <row r="14" spans="1:15" ht="12" customHeight="1" x14ac:dyDescent="0.2">
      <c r="A14" s="1493" t="s">
        <v>1370</v>
      </c>
      <c r="B14" s="1494"/>
      <c r="C14" s="1495" t="s">
        <v>2066</v>
      </c>
      <c r="D14" s="1495" t="s">
        <v>2066</v>
      </c>
      <c r="E14" s="1498"/>
      <c r="F14" s="1497"/>
      <c r="G14" s="1507"/>
      <c r="H14" s="1507">
        <f t="shared" si="0"/>
        <v>5</v>
      </c>
      <c r="I14" s="1507">
        <f t="shared" si="1"/>
        <v>5</v>
      </c>
      <c r="J14" s="1507">
        <f t="shared" si="2"/>
        <v>0</v>
      </c>
      <c r="L14" s="1507"/>
      <c r="M14" s="1855"/>
      <c r="N14" s="1855"/>
      <c r="O14" s="1855"/>
    </row>
    <row r="15" spans="1:15" ht="12" customHeight="1" x14ac:dyDescent="0.2">
      <c r="A15" s="1493" t="s">
        <v>1371</v>
      </c>
      <c r="B15" s="1494"/>
      <c r="C15" s="1495" t="s">
        <v>2066</v>
      </c>
      <c r="D15" s="1495" t="s">
        <v>2066</v>
      </c>
      <c r="E15" s="1498"/>
      <c r="F15" s="1497"/>
      <c r="G15" s="1507"/>
      <c r="H15" s="1507">
        <f t="shared" si="0"/>
        <v>5</v>
      </c>
      <c r="I15" s="1507">
        <f t="shared" si="1"/>
        <v>5</v>
      </c>
      <c r="J15" s="1507">
        <f t="shared" si="2"/>
        <v>0</v>
      </c>
      <c r="L15" s="1507"/>
      <c r="M15" s="1855"/>
      <c r="N15" s="1855"/>
      <c r="O15" s="1855"/>
    </row>
    <row r="16" spans="1:15" ht="12" customHeight="1" x14ac:dyDescent="0.2">
      <c r="A16" s="1493" t="s">
        <v>1372</v>
      </c>
      <c r="B16" s="1494"/>
      <c r="C16" s="1495" t="s">
        <v>2066</v>
      </c>
      <c r="D16" s="1495" t="s">
        <v>2066</v>
      </c>
      <c r="E16" s="1498"/>
      <c r="F16" s="1497"/>
      <c r="G16" s="1507"/>
      <c r="H16" s="1507">
        <f t="shared" si="0"/>
        <v>5</v>
      </c>
      <c r="I16" s="1507">
        <f t="shared" si="1"/>
        <v>5</v>
      </c>
      <c r="J16" s="1507">
        <f t="shared" si="2"/>
        <v>0</v>
      </c>
      <c r="L16" s="1507"/>
      <c r="M16" s="1855"/>
      <c r="N16" s="1855"/>
      <c r="O16" s="1855"/>
    </row>
    <row r="17" spans="1:15" ht="12" customHeight="1" x14ac:dyDescent="0.2">
      <c r="A17" s="1493" t="s">
        <v>1373</v>
      </c>
      <c r="B17" s="1494"/>
      <c r="C17" s="1495" t="s">
        <v>2066</v>
      </c>
      <c r="D17" s="1495" t="s">
        <v>2066</v>
      </c>
      <c r="E17" s="1498"/>
      <c r="F17" s="1497"/>
      <c r="G17" s="1507"/>
      <c r="H17" s="1507">
        <f t="shared" si="0"/>
        <v>5</v>
      </c>
      <c r="I17" s="1507">
        <f t="shared" si="1"/>
        <v>5</v>
      </c>
      <c r="J17" s="1507">
        <f t="shared" si="2"/>
        <v>0</v>
      </c>
      <c r="L17" s="1507"/>
      <c r="M17" s="1855"/>
      <c r="N17" s="1855"/>
      <c r="O17" s="1855"/>
    </row>
    <row r="18" spans="1:15" ht="12" customHeight="1" x14ac:dyDescent="0.2">
      <c r="A18" s="1493" t="s">
        <v>1374</v>
      </c>
      <c r="B18" s="1494"/>
      <c r="C18" s="1495" t="s">
        <v>2066</v>
      </c>
      <c r="D18" s="1495" t="s">
        <v>2066</v>
      </c>
      <c r="E18" s="1498"/>
      <c r="F18" s="1497"/>
      <c r="G18" s="1507"/>
      <c r="H18" s="1507">
        <f t="shared" si="0"/>
        <v>5</v>
      </c>
      <c r="I18" s="1507">
        <f t="shared" si="1"/>
        <v>5</v>
      </c>
      <c r="J18" s="1507">
        <f t="shared" si="2"/>
        <v>0</v>
      </c>
      <c r="L18" s="1507"/>
      <c r="M18" s="1855"/>
      <c r="N18" s="1855"/>
      <c r="O18" s="1855"/>
    </row>
    <row r="19" spans="1:15" ht="12" customHeight="1" x14ac:dyDescent="0.2">
      <c r="A19" s="1493" t="s">
        <v>1510</v>
      </c>
      <c r="B19" s="1494"/>
      <c r="C19" s="1495" t="s">
        <v>2066</v>
      </c>
      <c r="D19" s="1495" t="s">
        <v>2066</v>
      </c>
      <c r="E19" s="1498"/>
      <c r="F19" s="1497"/>
      <c r="G19" s="1507"/>
      <c r="H19" s="1507">
        <f t="shared" si="0"/>
        <v>5</v>
      </c>
      <c r="I19" s="1507">
        <f t="shared" si="1"/>
        <v>5</v>
      </c>
      <c r="J19" s="1507">
        <f t="shared" si="2"/>
        <v>0</v>
      </c>
      <c r="L19" s="1507"/>
      <c r="M19" s="1855"/>
      <c r="N19" s="1855"/>
      <c r="O19" s="1855"/>
    </row>
    <row r="20" spans="1:15" ht="12" customHeight="1" x14ac:dyDescent="0.2">
      <c r="A20" s="1493" t="s">
        <v>1511</v>
      </c>
      <c r="B20" s="1494"/>
      <c r="C20" s="1495" t="s">
        <v>2066</v>
      </c>
      <c r="D20" s="1495" t="s">
        <v>2066</v>
      </c>
      <c r="E20" s="1498"/>
      <c r="F20" s="1497"/>
      <c r="G20" s="1507"/>
      <c r="H20" s="1507">
        <f t="shared" si="0"/>
        <v>5</v>
      </c>
      <c r="I20" s="1507">
        <f t="shared" si="1"/>
        <v>5</v>
      </c>
      <c r="J20" s="1507">
        <f t="shared" si="2"/>
        <v>0</v>
      </c>
      <c r="L20" s="1507"/>
      <c r="M20" s="1855"/>
      <c r="N20" s="1855"/>
      <c r="O20" s="1855"/>
    </row>
    <row r="21" spans="1:15" ht="12" customHeight="1" x14ac:dyDescent="0.2">
      <c r="A21" s="1493" t="s">
        <v>1512</v>
      </c>
      <c r="B21" s="1494"/>
      <c r="C21" s="1495" t="s">
        <v>2066</v>
      </c>
      <c r="D21" s="1495" t="s">
        <v>2066</v>
      </c>
      <c r="E21" s="1498"/>
      <c r="F21" s="1497"/>
      <c r="G21" s="1507"/>
      <c r="H21" s="1507">
        <f t="shared" si="0"/>
        <v>5</v>
      </c>
      <c r="I21" s="1507">
        <f t="shared" si="1"/>
        <v>5</v>
      </c>
      <c r="J21" s="1507">
        <f t="shared" si="2"/>
        <v>0</v>
      </c>
      <c r="L21" s="1507"/>
      <c r="M21" s="1855"/>
      <c r="N21" s="1855"/>
      <c r="O21" s="1855"/>
    </row>
    <row r="22" spans="1:15" ht="12" customHeight="1" x14ac:dyDescent="0.2">
      <c r="A22" s="1493" t="s">
        <v>1513</v>
      </c>
      <c r="B22" s="1494"/>
      <c r="C22" s="1495" t="s">
        <v>2066</v>
      </c>
      <c r="D22" s="1495" t="s">
        <v>2066</v>
      </c>
      <c r="E22" s="1498"/>
      <c r="F22" s="1497"/>
      <c r="G22" s="1507"/>
      <c r="H22" s="1507">
        <f t="shared" si="0"/>
        <v>5</v>
      </c>
      <c r="I22" s="1507">
        <f t="shared" si="1"/>
        <v>5</v>
      </c>
      <c r="J22" s="1507">
        <f t="shared" si="2"/>
        <v>0</v>
      </c>
      <c r="L22" s="1507"/>
      <c r="M22" s="1855"/>
      <c r="N22" s="1855"/>
      <c r="O22" s="1855"/>
    </row>
    <row r="23" spans="1:15" ht="12" customHeight="1" x14ac:dyDescent="0.2">
      <c r="A23" s="1493" t="s">
        <v>1514</v>
      </c>
      <c r="B23" s="1494"/>
      <c r="C23" s="1495" t="s">
        <v>2066</v>
      </c>
      <c r="D23" s="1495" t="s">
        <v>2066</v>
      </c>
      <c r="E23" s="1498"/>
      <c r="F23" s="1497"/>
      <c r="G23" s="1507"/>
      <c r="H23" s="1507">
        <f t="shared" si="0"/>
        <v>5</v>
      </c>
      <c r="I23" s="1507">
        <f t="shared" si="1"/>
        <v>5</v>
      </c>
      <c r="J23" s="1507">
        <f t="shared" si="2"/>
        <v>0</v>
      </c>
      <c r="L23" s="1507"/>
      <c r="M23" s="1855"/>
      <c r="N23" s="1855"/>
      <c r="O23" s="1855"/>
    </row>
    <row r="24" spans="1:15" ht="12" customHeight="1" x14ac:dyDescent="0.2">
      <c r="A24" s="1493" t="s">
        <v>1515</v>
      </c>
      <c r="B24" s="1494"/>
      <c r="C24" s="1495" t="s">
        <v>2066</v>
      </c>
      <c r="D24" s="1495" t="s">
        <v>2066</v>
      </c>
      <c r="E24" s="1498"/>
      <c r="F24" s="1497"/>
      <c r="G24" s="1507"/>
      <c r="H24" s="1507">
        <f t="shared" si="0"/>
        <v>5</v>
      </c>
      <c r="I24" s="1507">
        <f t="shared" si="1"/>
        <v>5</v>
      </c>
      <c r="J24" s="1507">
        <f t="shared" si="2"/>
        <v>0</v>
      </c>
      <c r="L24" s="1507"/>
      <c r="M24" s="1855"/>
      <c r="N24" s="1855"/>
      <c r="O24" s="1855"/>
    </row>
    <row r="25" spans="1:15" ht="12" customHeight="1" x14ac:dyDescent="0.2">
      <c r="A25" s="1493" t="s">
        <v>1516</v>
      </c>
      <c r="B25" s="1494"/>
      <c r="C25" s="1495" t="s">
        <v>2066</v>
      </c>
      <c r="D25" s="1495" t="s">
        <v>2066</v>
      </c>
      <c r="E25" s="1498"/>
      <c r="F25" s="1497"/>
      <c r="G25" s="1507"/>
      <c r="H25" s="1507">
        <f t="shared" si="0"/>
        <v>5</v>
      </c>
      <c r="I25" s="1507">
        <f t="shared" si="1"/>
        <v>5</v>
      </c>
      <c r="J25" s="1507">
        <f t="shared" si="2"/>
        <v>0</v>
      </c>
      <c r="L25" s="1507"/>
      <c r="M25" s="1855"/>
      <c r="N25" s="1855"/>
      <c r="O25" s="1855"/>
    </row>
    <row r="26" spans="1:15" ht="12" customHeight="1" x14ac:dyDescent="0.2">
      <c r="A26" s="1493" t="s">
        <v>1517</v>
      </c>
      <c r="B26" s="1494"/>
      <c r="C26" s="1495" t="s">
        <v>2066</v>
      </c>
      <c r="D26" s="1495" t="s">
        <v>2066</v>
      </c>
      <c r="E26" s="1498"/>
      <c r="F26" s="1497"/>
      <c r="G26" s="1507"/>
      <c r="H26" s="1507">
        <f t="shared" si="0"/>
        <v>5</v>
      </c>
      <c r="I26" s="1507">
        <f t="shared" si="1"/>
        <v>5</v>
      </c>
      <c r="J26" s="1507">
        <f t="shared" si="2"/>
        <v>0</v>
      </c>
      <c r="L26" s="1507"/>
      <c r="M26" s="1855"/>
      <c r="N26" s="1855"/>
      <c r="O26" s="1855"/>
    </row>
    <row r="27" spans="1:15" ht="18.75" x14ac:dyDescent="0.2">
      <c r="A27" s="1493" t="s">
        <v>1518</v>
      </c>
      <c r="B27" s="1494"/>
      <c r="C27" s="1495" t="s">
        <v>2066</v>
      </c>
      <c r="D27" s="1495" t="s">
        <v>2066</v>
      </c>
      <c r="E27" s="1498"/>
      <c r="F27" s="1497"/>
      <c r="G27" s="1507"/>
      <c r="H27" s="1507">
        <f t="shared" si="0"/>
        <v>5</v>
      </c>
      <c r="I27" s="1507">
        <f t="shared" si="1"/>
        <v>5</v>
      </c>
      <c r="J27" s="1507">
        <f t="shared" si="2"/>
        <v>0</v>
      </c>
      <c r="L27" s="1507"/>
      <c r="M27" s="1855"/>
      <c r="N27" s="1855"/>
      <c r="O27" s="1855"/>
    </row>
    <row r="28" spans="1:15" ht="12" customHeight="1" x14ac:dyDescent="0.2">
      <c r="A28" s="1493" t="s">
        <v>1519</v>
      </c>
      <c r="B28" s="1494"/>
      <c r="C28" s="1495" t="s">
        <v>2066</v>
      </c>
      <c r="D28" s="1495" t="s">
        <v>2066</v>
      </c>
      <c r="E28" s="1498"/>
      <c r="F28" s="1497"/>
      <c r="G28" s="1507"/>
      <c r="H28" s="1507">
        <f t="shared" si="0"/>
        <v>5</v>
      </c>
      <c r="I28" s="1507">
        <f t="shared" si="1"/>
        <v>5</v>
      </c>
      <c r="J28" s="1507">
        <f t="shared" si="2"/>
        <v>0</v>
      </c>
      <c r="L28" s="1507"/>
      <c r="M28" s="1855"/>
      <c r="N28" s="1855"/>
      <c r="O28" s="1855"/>
    </row>
    <row r="29" spans="1:15" ht="12" customHeight="1" x14ac:dyDescent="0.2">
      <c r="A29" s="1493" t="s">
        <v>1520</v>
      </c>
      <c r="B29" s="1494"/>
      <c r="C29" s="1495" t="s">
        <v>2066</v>
      </c>
      <c r="D29" s="1495" t="s">
        <v>2066</v>
      </c>
      <c r="E29" s="1498"/>
      <c r="F29" s="1497"/>
      <c r="G29" s="1507"/>
      <c r="H29" s="1507">
        <f t="shared" si="0"/>
        <v>5</v>
      </c>
      <c r="I29" s="1507">
        <f t="shared" si="1"/>
        <v>5</v>
      </c>
      <c r="J29" s="1507">
        <f t="shared" si="2"/>
        <v>0</v>
      </c>
      <c r="L29" s="1507"/>
      <c r="M29" s="1855"/>
      <c r="N29" s="1855"/>
      <c r="O29" s="1855"/>
    </row>
    <row r="30" spans="1:15" ht="12" customHeight="1" x14ac:dyDescent="0.2">
      <c r="A30" s="1493" t="s">
        <v>1521</v>
      </c>
      <c r="B30" s="1494"/>
      <c r="C30" s="1495" t="s">
        <v>2066</v>
      </c>
      <c r="D30" s="1495" t="s">
        <v>2066</v>
      </c>
      <c r="E30" s="1498"/>
      <c r="F30" s="1497"/>
      <c r="G30" s="1507"/>
      <c r="H30" s="1507">
        <f t="shared" si="0"/>
        <v>5</v>
      </c>
      <c r="I30" s="1507">
        <f t="shared" si="1"/>
        <v>5</v>
      </c>
      <c r="J30" s="1507">
        <f t="shared" si="2"/>
        <v>0</v>
      </c>
      <c r="L30" s="1507"/>
      <c r="M30" s="1855"/>
      <c r="N30" s="1855"/>
      <c r="O30" s="1855"/>
    </row>
    <row r="31" spans="1:15" ht="12" customHeight="1" x14ac:dyDescent="0.2">
      <c r="A31" s="1493" t="s">
        <v>1522</v>
      </c>
      <c r="B31" s="1494"/>
      <c r="C31" s="1495" t="s">
        <v>2066</v>
      </c>
      <c r="D31" s="1495" t="s">
        <v>2066</v>
      </c>
      <c r="E31" s="1498"/>
      <c r="F31" s="1497"/>
      <c r="G31" s="1507"/>
      <c r="H31" s="1507">
        <f t="shared" si="0"/>
        <v>5</v>
      </c>
      <c r="I31" s="1507">
        <f t="shared" si="1"/>
        <v>5</v>
      </c>
      <c r="J31" s="1507">
        <f t="shared" si="2"/>
        <v>0</v>
      </c>
      <c r="L31" s="1856"/>
      <c r="M31" s="1855"/>
      <c r="N31" s="1855"/>
      <c r="O31" s="1855"/>
    </row>
    <row r="32" spans="1:15" ht="12" customHeight="1" x14ac:dyDescent="0.2">
      <c r="A32" s="1493" t="s">
        <v>1523</v>
      </c>
      <c r="B32" s="1494"/>
      <c r="C32" s="1495" t="s">
        <v>2066</v>
      </c>
      <c r="D32" s="1495" t="s">
        <v>2066</v>
      </c>
      <c r="E32" s="1498"/>
      <c r="F32" s="1497"/>
      <c r="G32" s="1507"/>
      <c r="H32" s="1507">
        <f t="shared" si="0"/>
        <v>5</v>
      </c>
      <c r="I32" s="1507">
        <f t="shared" si="1"/>
        <v>5</v>
      </c>
      <c r="J32" s="1507">
        <f t="shared" si="2"/>
        <v>0</v>
      </c>
      <c r="L32" s="1507"/>
      <c r="M32" s="1855"/>
      <c r="N32" s="1855"/>
      <c r="O32" s="1855"/>
    </row>
    <row r="33" spans="1:15" ht="12" customHeight="1" x14ac:dyDescent="0.2">
      <c r="A33" s="1493" t="s">
        <v>1524</v>
      </c>
      <c r="B33" s="1494"/>
      <c r="C33" s="1495" t="s">
        <v>2066</v>
      </c>
      <c r="D33" s="1495" t="s">
        <v>2066</v>
      </c>
      <c r="E33" s="1498"/>
      <c r="F33" s="1497"/>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110</v>
      </c>
      <c r="I34" s="1507">
        <f>SUM(I11:I32)</f>
        <v>110</v>
      </c>
      <c r="J34" s="1507">
        <f>SUM(J11:J32)</f>
        <v>0</v>
      </c>
      <c r="K34" s="1507">
        <f>SUM(H34:J34)</f>
        <v>220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t="s">
        <v>2067</v>
      </c>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4" sqref="I14"/>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Lincoln Way Area Spec Ed Joint Agreement</v>
      </c>
      <c r="K6" s="2437"/>
      <c r="L6" s="2451"/>
      <c r="M6" s="838"/>
      <c r="N6" s="1998"/>
    </row>
    <row r="7" spans="1:14" x14ac:dyDescent="0.2">
      <c r="A7" s="2452" t="s">
        <v>864</v>
      </c>
      <c r="B7" s="2453"/>
      <c r="C7" s="2453"/>
      <c r="D7" s="2453"/>
      <c r="E7" s="2454"/>
      <c r="F7" s="839"/>
      <c r="G7" s="838"/>
      <c r="H7" s="838"/>
      <c r="I7" s="1924" t="s">
        <v>369</v>
      </c>
      <c r="J7" s="2439">
        <f>COVER!A13</f>
        <v>56099843060</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800477</v>
      </c>
      <c r="F12" s="1942"/>
      <c r="G12" s="1968">
        <f>G68</f>
        <v>0</v>
      </c>
      <c r="H12" s="1944">
        <f t="shared" ref="H12:H18" si="0">SUM(E12:G12)</f>
        <v>800477</v>
      </c>
      <c r="I12" s="1943">
        <v>0</v>
      </c>
      <c r="J12" s="1942"/>
      <c r="K12" s="1943"/>
      <c r="L12" s="1944">
        <f t="shared" ref="L12:L18" si="1">SUM(I12:K12)</f>
        <v>0</v>
      </c>
      <c r="M12" s="838"/>
      <c r="N12" s="1998"/>
    </row>
    <row r="13" spans="1:14" x14ac:dyDescent="0.2">
      <c r="A13" s="2003">
        <v>2</v>
      </c>
      <c r="B13" s="1940" t="s">
        <v>42</v>
      </c>
      <c r="C13" s="842"/>
      <c r="D13" s="1941">
        <v>2330</v>
      </c>
      <c r="E13" s="1944">
        <f>'Expenditures 15-22'!K51</f>
        <v>178568</v>
      </c>
      <c r="F13" s="1942"/>
      <c r="G13" s="1968">
        <f>H68</f>
        <v>0</v>
      </c>
      <c r="H13" s="1944">
        <f t="shared" si="0"/>
        <v>178568</v>
      </c>
      <c r="I13" s="1943">
        <v>0</v>
      </c>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979045</v>
      </c>
      <c r="F19" s="1950">
        <f t="shared" si="2"/>
        <v>0</v>
      </c>
      <c r="G19" s="1950">
        <f t="shared" ref="G19" si="3">SUM(G12:G17)-G18</f>
        <v>0</v>
      </c>
      <c r="H19" s="1950">
        <f t="shared" si="2"/>
        <v>979045</v>
      </c>
      <c r="I19" s="1950">
        <f t="shared" si="2"/>
        <v>0</v>
      </c>
      <c r="J19" s="1950">
        <f t="shared" si="2"/>
        <v>0</v>
      </c>
      <c r="K19" s="1950">
        <f t="shared" si="2"/>
        <v>0</v>
      </c>
      <c r="L19" s="1950">
        <f t="shared" si="2"/>
        <v>0</v>
      </c>
      <c r="M19" s="838"/>
      <c r="N19" s="1998"/>
    </row>
    <row r="20" spans="1:14" ht="13.5" thickTop="1" x14ac:dyDescent="0.2">
      <c r="A20" s="2003">
        <v>9</v>
      </c>
      <c r="B20" s="2461" t="s">
        <v>2021</v>
      </c>
      <c r="C20" s="2461"/>
      <c r="D20" s="2462"/>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Lincoln Way Area Spec Ed Joint Agreement</v>
      </c>
      <c r="M52" s="2437"/>
      <c r="N52" s="2438"/>
    </row>
    <row r="53" spans="1:14" x14ac:dyDescent="0.2">
      <c r="A53" s="1982"/>
      <c r="B53" s="1983"/>
      <c r="C53" s="1983"/>
      <c r="D53" s="1983"/>
      <c r="E53" s="1983"/>
      <c r="F53" s="1983"/>
      <c r="G53" s="1983"/>
      <c r="H53" s="1983"/>
      <c r="I53" s="1983"/>
      <c r="J53" s="1983"/>
      <c r="K53" s="1924" t="s">
        <v>369</v>
      </c>
      <c r="L53" s="2439">
        <f>J7</f>
        <v>56099843060</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19" t="s">
        <v>297</v>
      </c>
      <c r="B59" s="2420"/>
      <c r="C59" s="242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19" t="s">
        <v>236</v>
      </c>
      <c r="B60" s="2420"/>
      <c r="C60" s="2420"/>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0</v>
      </c>
      <c r="F63" s="1972"/>
      <c r="G63" s="2031"/>
      <c r="H63" s="2032"/>
      <c r="I63" s="2032"/>
      <c r="J63" s="2032"/>
      <c r="K63" s="2032"/>
      <c r="L63" s="2032"/>
      <c r="M63" s="2032"/>
      <c r="N63" s="1975">
        <f t="shared" si="4"/>
        <v>0</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0</v>
      </c>
      <c r="F65" s="1972"/>
      <c r="G65" s="2031"/>
      <c r="H65" s="2032"/>
      <c r="I65" s="2032"/>
      <c r="J65" s="2032"/>
      <c r="K65" s="2032"/>
      <c r="L65" s="2032"/>
      <c r="M65" s="2032"/>
      <c r="N65" s="1975">
        <f t="shared" si="4"/>
        <v>0</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2042</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38" sqref="A38:H3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Lincoln Way Area Spec Ed Joint Agreement</v>
      </c>
    </row>
    <row r="65" spans="2:2" x14ac:dyDescent="0.2">
      <c r="B65" s="849">
        <f>COVER!A13</f>
        <v>56099843060</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3" zoomScale="110" zoomScaleNormal="110" workbookViewId="0">
      <selection activeCell="A38" sqref="A38:H3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38" sqref="A38:H3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5" sqref="F1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4</xdr:col>
                <xdr:colOff>142875</xdr:colOff>
                <xdr:row>7</xdr:row>
                <xdr:rowOff>0</xdr:rowOff>
              </from>
              <to>
                <xdr:col>5</xdr:col>
                <xdr:colOff>447675</xdr:colOff>
                <xdr:row>11</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7</xdr:row>
                <xdr:rowOff>0</xdr:rowOff>
              </from>
              <to>
                <xdr:col>3</xdr:col>
                <xdr:colOff>304800</xdr:colOff>
                <xdr:row>11</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38" sqref="A38:H3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8885194</v>
      </c>
      <c r="C8" s="1813">
        <f>'Acct Summary 7-8'!D8</f>
        <v>737818</v>
      </c>
      <c r="D8" s="1813">
        <f>'Acct Summary 7-8'!F8</f>
        <v>3704979</v>
      </c>
      <c r="E8" s="1813">
        <f>'Acct Summary 7-8'!I8</f>
        <v>0</v>
      </c>
      <c r="F8" s="1813">
        <f>SUM(B8:E8)</f>
        <v>13327991</v>
      </c>
    </row>
    <row r="9" spans="1:8" s="858" customFormat="1" ht="14.25" customHeight="1" thickBot="1" x14ac:dyDescent="0.25">
      <c r="A9" s="857" t="s">
        <v>1353</v>
      </c>
      <c r="B9" s="1814">
        <f>'Acct Summary 7-8'!C17</f>
        <v>9300294</v>
      </c>
      <c r="C9" s="1814">
        <f>'Acct Summary 7-8'!D17</f>
        <v>406680</v>
      </c>
      <c r="D9" s="1814">
        <f>'Acct Summary 7-8'!F17</f>
        <v>3516908</v>
      </c>
      <c r="E9" s="1813"/>
      <c r="F9" s="1813">
        <f>SUM(B9:E9)</f>
        <v>13223882</v>
      </c>
    </row>
    <row r="10" spans="1:8" s="858" customFormat="1" ht="14.25" thickTop="1" thickBot="1" x14ac:dyDescent="0.25">
      <c r="A10" s="859" t="s">
        <v>1354</v>
      </c>
      <c r="B10" s="1815">
        <f>(B8-B9)</f>
        <v>-415100</v>
      </c>
      <c r="C10" s="1815">
        <f>(C8-C9)</f>
        <v>331138</v>
      </c>
      <c r="D10" s="1815">
        <f>(D8-D9)</f>
        <v>188071</v>
      </c>
      <c r="E10" s="1814">
        <f>(E8-E9)</f>
        <v>0</v>
      </c>
      <c r="F10" s="1816">
        <f>SUM(F8-F9)</f>
        <v>104109</v>
      </c>
    </row>
    <row r="11" spans="1:8" s="858" customFormat="1" ht="14.25" thickTop="1" thickBot="1" x14ac:dyDescent="0.25">
      <c r="A11" s="860" t="s">
        <v>1903</v>
      </c>
      <c r="B11" s="1817">
        <f>'Acct Summary 7-8'!C81</f>
        <v>2263793</v>
      </c>
      <c r="C11" s="1817">
        <f>'Acct Summary 7-8'!D81</f>
        <v>283197</v>
      </c>
      <c r="D11" s="1817">
        <f>'Acct Summary 7-8'!F81</f>
        <v>577682</v>
      </c>
      <c r="E11" s="1817">
        <f>'Acct Summary 7-8'!I81</f>
        <v>0</v>
      </c>
      <c r="F11" s="1818">
        <f>SUM(B11:E11)</f>
        <v>3124672</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pageSetUpPr fitToPage="1"/>
  </sheetPr>
  <dimension ref="A1:L84"/>
  <sheetViews>
    <sheetView showGridLines="0" defaultGridColor="0" topLeftCell="A26" colorId="8" zoomScale="110" zoomScaleNormal="110" workbookViewId="0">
      <selection activeCell="A38" sqref="A38:H3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7"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56099843060</v>
      </c>
      <c r="E2" s="1542">
        <v>2020</v>
      </c>
      <c r="F2" s="1542">
        <v>1</v>
      </c>
      <c r="G2" s="1899">
        <v>101000300</v>
      </c>
    </row>
    <row r="3" spans="1:7" ht="15" x14ac:dyDescent="0.25">
      <c r="A3" t="s">
        <v>950</v>
      </c>
      <c r="B3" s="135" t="str">
        <f>COVER!A15</f>
        <v>Will</v>
      </c>
      <c r="E3" s="1830" t="s">
        <v>1971</v>
      </c>
      <c r="F3" s="1830" t="s">
        <v>1970</v>
      </c>
      <c r="G3" s="1899">
        <v>101000400</v>
      </c>
    </row>
    <row r="4" spans="1:7" ht="15" x14ac:dyDescent="0.25">
      <c r="A4" t="s">
        <v>1000</v>
      </c>
      <c r="B4" s="135" t="str">
        <f>COVER!A17</f>
        <v xml:space="preserve">   Lincoln Way Area Spec Ed Joint Agreement</v>
      </c>
      <c r="E4" s="1828">
        <v>44119</v>
      </c>
      <c r="F4" s="1829">
        <v>44151</v>
      </c>
      <c r="G4" s="1899">
        <v>101000600</v>
      </c>
    </row>
    <row r="5" spans="1:7" ht="15" x14ac:dyDescent="0.25">
      <c r="A5" t="s">
        <v>699</v>
      </c>
      <c r="B5" s="135">
        <f>COVER!A38</f>
        <v>0</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066-005340</v>
      </c>
      <c r="G15" s="1899">
        <v>402100400</v>
      </c>
    </row>
    <row r="16" spans="1:7" ht="15" x14ac:dyDescent="0.25">
      <c r="A16" t="s">
        <v>419</v>
      </c>
      <c r="B16" s="135" t="str">
        <f>COVER!T13</f>
        <v>Evans, Marshall and Pease, PC</v>
      </c>
      <c r="G16" s="1899">
        <v>402100600</v>
      </c>
    </row>
    <row r="17" spans="1:7" ht="15" x14ac:dyDescent="0.25">
      <c r="A17" t="s">
        <v>878</v>
      </c>
      <c r="B17" s="135" t="str">
        <f>COVER!T15</f>
        <v>Jeffery M. Rollefson, CPA</v>
      </c>
      <c r="G17" s="1899">
        <v>402100800</v>
      </c>
    </row>
    <row r="18" spans="1:7" ht="15" x14ac:dyDescent="0.25">
      <c r="A18" t="s">
        <v>1140</v>
      </c>
      <c r="B18" s="135" t="str">
        <f>COVER!T17</f>
        <v>1875 Hicks Road</v>
      </c>
      <c r="G18" s="1899">
        <v>102200300</v>
      </c>
    </row>
    <row r="19" spans="1:7" ht="15" x14ac:dyDescent="0.25">
      <c r="A19" t="s">
        <v>880</v>
      </c>
      <c r="B19" s="135" t="str">
        <f>COVER!T25</f>
        <v>jeff@empcpa.com</v>
      </c>
      <c r="G19" s="1899">
        <v>102200400</v>
      </c>
    </row>
    <row r="20" spans="1:7" ht="15" x14ac:dyDescent="0.25">
      <c r="A20" t="s">
        <v>881</v>
      </c>
      <c r="B20" s="135" t="str">
        <f>COVER!T19</f>
        <v>Rolling Meadows</v>
      </c>
      <c r="G20" s="1899">
        <v>102200600</v>
      </c>
    </row>
    <row r="21" spans="1:7" ht="15" x14ac:dyDescent="0.25">
      <c r="A21" t="s">
        <v>476</v>
      </c>
      <c r="B21" s="135" t="str">
        <f>COVER!X19</f>
        <v>Illinois</v>
      </c>
      <c r="G21" s="1899">
        <v>102200800</v>
      </c>
    </row>
    <row r="22" spans="1:7" ht="15" x14ac:dyDescent="0.25">
      <c r="A22" t="s">
        <v>882</v>
      </c>
      <c r="B22" s="135">
        <f>COVER!Z19</f>
        <v>60008</v>
      </c>
      <c r="G22" s="1899">
        <v>102300300</v>
      </c>
    </row>
    <row r="23" spans="1:7" ht="15" x14ac:dyDescent="0.25">
      <c r="A23" t="s">
        <v>1142</v>
      </c>
      <c r="B23" s="135" t="str">
        <f>COVER!T21</f>
        <v>847-221-5700</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2263793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2263793</v>
      </c>
      <c r="D92" s="2" t="str">
        <f t="shared" si="0"/>
        <v>Error?</v>
      </c>
      <c r="G92" s="1899">
        <v>102640600</v>
      </c>
    </row>
    <row r="93" spans="1:7" ht="15" x14ac:dyDescent="0.25">
      <c r="A93" s="5">
        <v>32</v>
      </c>
      <c r="B93" s="1832">
        <f>'Assets-Liab 5-6'!C41</f>
        <v>2263793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283197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283197</v>
      </c>
      <c r="D123" s="2" t="str">
        <f t="shared" si="0"/>
        <v>Error?</v>
      </c>
      <c r="G123" s="1899">
        <v>203000400</v>
      </c>
    </row>
    <row r="124" spans="1:7" ht="15" x14ac:dyDescent="0.25">
      <c r="A124" s="5">
        <v>63</v>
      </c>
      <c r="B124" s="1832">
        <f>'Assets-Liab 5-6'!D41</f>
        <v>283197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577682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577682</v>
      </c>
      <c r="D170" s="2" t="str">
        <f t="shared" si="1"/>
        <v>Error?</v>
      </c>
    </row>
    <row r="171" spans="1:4" x14ac:dyDescent="0.2">
      <c r="A171" s="5">
        <v>110</v>
      </c>
      <c r="B171" s="1832">
        <f>'Assets-Liab 5-6'!F41</f>
        <v>577682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513028</v>
      </c>
      <c r="D273" s="2" t="str">
        <f t="shared" si="3"/>
        <v>Error?</v>
      </c>
    </row>
    <row r="274" spans="1:4" x14ac:dyDescent="0.2">
      <c r="A274" s="5">
        <v>213</v>
      </c>
      <c r="B274" s="1832">
        <f>'Assets-Liab 5-6'!M17</f>
        <v>4780013</v>
      </c>
      <c r="D274" s="2" t="str">
        <f t="shared" si="3"/>
        <v>Error?</v>
      </c>
    </row>
    <row r="275" spans="1:4" x14ac:dyDescent="0.2">
      <c r="A275" s="5">
        <v>214</v>
      </c>
      <c r="B275" s="1832">
        <f>'Assets-Liab 5-6'!M18</f>
        <v>1379024</v>
      </c>
      <c r="D275" s="2" t="str">
        <f t="shared" si="3"/>
        <v>Error?</v>
      </c>
    </row>
    <row r="276" spans="1:4" x14ac:dyDescent="0.2">
      <c r="A276" s="5">
        <v>215</v>
      </c>
      <c r="B276" s="1832">
        <f>'Assets-Liab 5-6'!M19</f>
        <v>6354863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13026928</v>
      </c>
      <c r="C279" s="2" t="s">
        <v>569</v>
      </c>
      <c r="D279" s="2" t="str">
        <f t="shared" si="3"/>
        <v>Error?</v>
      </c>
    </row>
    <row r="280" spans="1:4" x14ac:dyDescent="0.2">
      <c r="A280" s="5">
        <v>219</v>
      </c>
      <c r="B280" s="1832">
        <f>'Assets-Liab 5-6'!M40</f>
        <v>13026928</v>
      </c>
      <c r="D280" s="2" t="str">
        <f t="shared" si="3"/>
        <v>Error?</v>
      </c>
    </row>
    <row r="281" spans="1:4" x14ac:dyDescent="0.2">
      <c r="A281" s="5">
        <v>220</v>
      </c>
      <c r="B281" s="1832">
        <f>'Assets-Liab 5-6'!M41</f>
        <v>13026928</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180000</v>
      </c>
      <c r="D283" s="2" t="str">
        <f t="shared" si="3"/>
        <v>Error?</v>
      </c>
    </row>
    <row r="284" spans="1:4" x14ac:dyDescent="0.2">
      <c r="A284" s="5">
        <v>223</v>
      </c>
      <c r="B284" s="1832">
        <f>'Assets-Liab 5-6'!N23</f>
        <v>180000</v>
      </c>
      <c r="C284" s="2" t="s">
        <v>569</v>
      </c>
      <c r="D284" s="2" t="str">
        <f t="shared" si="3"/>
        <v>Error?</v>
      </c>
    </row>
    <row r="285" spans="1:4" x14ac:dyDescent="0.2">
      <c r="A285" s="5">
        <v>224</v>
      </c>
      <c r="B285" s="1832">
        <f>'Assets-Liab 5-6'!N36</f>
        <v>180000</v>
      </c>
      <c r="D285" s="2" t="str">
        <f t="shared" si="3"/>
        <v>Error?</v>
      </c>
    </row>
    <row r="286" spans="1:4" x14ac:dyDescent="0.2">
      <c r="A286" s="10">
        <v>225</v>
      </c>
      <c r="B286" s="1832"/>
      <c r="D286" s="2" t="str">
        <f t="shared" si="3"/>
        <v>OK</v>
      </c>
    </row>
    <row r="287" spans="1:4" x14ac:dyDescent="0.2">
      <c r="A287" s="5">
        <v>226</v>
      </c>
      <c r="B287" s="1832">
        <f>'Assets-Liab 5-6'!N37</f>
        <v>180000</v>
      </c>
      <c r="C287" s="2" t="s">
        <v>569</v>
      </c>
      <c r="D287" s="2" t="str">
        <f t="shared" si="3"/>
        <v>Error?</v>
      </c>
    </row>
    <row r="288" spans="1:4" x14ac:dyDescent="0.2">
      <c r="A288" s="5">
        <v>227</v>
      </c>
      <c r="B288" s="1832">
        <f>'Assets-Liab 5-6'!N41</f>
        <v>180000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151239</v>
      </c>
      <c r="D719" s="2" t="str">
        <f t="shared" si="10"/>
        <v>Error?</v>
      </c>
    </row>
    <row r="720" spans="1:4" x14ac:dyDescent="0.2">
      <c r="A720" s="5">
        <v>659</v>
      </c>
      <c r="B720" s="1832">
        <f>'Expenditures 15-22'!C33</f>
        <v>2997963</v>
      </c>
      <c r="C720" s="2" t="s">
        <v>569</v>
      </c>
      <c r="D720" s="2" t="str">
        <f t="shared" si="10"/>
        <v>Error?</v>
      </c>
    </row>
    <row r="721" spans="1:4" x14ac:dyDescent="0.2">
      <c r="A721" s="5">
        <v>660</v>
      </c>
      <c r="B721" s="1832">
        <f>'Expenditures 15-22'!C36</f>
        <v>363061</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327069</v>
      </c>
      <c r="D723" s="2" t="str">
        <f t="shared" si="10"/>
        <v>Error?</v>
      </c>
    </row>
    <row r="724" spans="1:4" x14ac:dyDescent="0.2">
      <c r="A724" s="5">
        <v>663</v>
      </c>
      <c r="B724" s="1832">
        <f>'Expenditures 15-22'!C39</f>
        <v>56895</v>
      </c>
      <c r="D724" s="2" t="str">
        <f t="shared" si="10"/>
        <v>Error?</v>
      </c>
    </row>
    <row r="725" spans="1:4" x14ac:dyDescent="0.2">
      <c r="A725" s="5">
        <v>664</v>
      </c>
      <c r="B725" s="1832">
        <f>'Expenditures 15-22'!C40</f>
        <v>498189</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1245214</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70269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70269</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271058</v>
      </c>
      <c r="D733" s="2" t="str">
        <f t="shared" si="10"/>
        <v>Error?</v>
      </c>
    </row>
    <row r="734" spans="1:4" x14ac:dyDescent="0.2">
      <c r="A734" s="5">
        <v>673</v>
      </c>
      <c r="B734" s="1832">
        <f>'Expenditures 15-22'!C53</f>
        <v>410095</v>
      </c>
      <c r="C734" s="2" t="s">
        <v>569</v>
      </c>
      <c r="D734" s="2" t="str">
        <f t="shared" si="10"/>
        <v>Error?</v>
      </c>
    </row>
    <row r="735" spans="1:4" x14ac:dyDescent="0.2">
      <c r="A735" s="5">
        <v>674</v>
      </c>
      <c r="B735" s="1832">
        <f>'Expenditures 15-22'!C55</f>
        <v>267455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267455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113494</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262593</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376087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2369120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5367083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16397</v>
      </c>
      <c r="D777" s="2" t="str">
        <f t="shared" si="11"/>
        <v>Error?</v>
      </c>
    </row>
    <row r="778" spans="1:4" x14ac:dyDescent="0.2">
      <c r="A778" s="5">
        <v>717</v>
      </c>
      <c r="B778" s="1832">
        <f>'Expenditures 15-22'!D33</f>
        <v>927479</v>
      </c>
      <c r="C778" s="2" t="s">
        <v>569</v>
      </c>
      <c r="D778" s="2" t="str">
        <f t="shared" si="11"/>
        <v>Error?</v>
      </c>
    </row>
    <row r="779" spans="1:4" x14ac:dyDescent="0.2">
      <c r="A779" s="5">
        <v>718</v>
      </c>
      <c r="B779" s="1832">
        <f>'Expenditures 15-22'!D36</f>
        <v>87154</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61330</v>
      </c>
      <c r="D781" s="2" t="str">
        <f t="shared" si="11"/>
        <v>Error?</v>
      </c>
    </row>
    <row r="782" spans="1:4" x14ac:dyDescent="0.2">
      <c r="A782" s="5">
        <v>721</v>
      </c>
      <c r="B782" s="1832">
        <f>'Expenditures 15-22'!D39</f>
        <v>21012</v>
      </c>
      <c r="D782" s="2" t="str">
        <f t="shared" si="11"/>
        <v>Error?</v>
      </c>
    </row>
    <row r="783" spans="1:4" x14ac:dyDescent="0.2">
      <c r="A783" s="5">
        <v>722</v>
      </c>
      <c r="B783" s="1832">
        <f>'Expenditures 15-22'!D40</f>
        <v>97917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267413</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18637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18637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94693</v>
      </c>
      <c r="D791" s="2" t="str">
        <f t="shared" si="11"/>
        <v>Error?</v>
      </c>
    </row>
    <row r="792" spans="1:4" x14ac:dyDescent="0.2">
      <c r="A792" s="5">
        <v>731</v>
      </c>
      <c r="B792" s="1832">
        <f>'Expenditures 15-22'!D53</f>
        <v>132420</v>
      </c>
      <c r="C792" s="2" t="s">
        <v>569</v>
      </c>
      <c r="D792" s="2" t="str">
        <f t="shared" si="11"/>
        <v>Error?</v>
      </c>
    </row>
    <row r="793" spans="1:4" x14ac:dyDescent="0.2">
      <c r="A793" s="5">
        <v>732</v>
      </c>
      <c r="B793" s="1832">
        <f>'Expenditures 15-22'!D55</f>
        <v>75307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75307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33261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165937</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199198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692975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1620454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45827</v>
      </c>
      <c r="D835" s="2" t="str">
        <f t="shared" si="12"/>
        <v>Error?</v>
      </c>
    </row>
    <row r="836" spans="1:4" x14ac:dyDescent="0.2">
      <c r="A836" s="5">
        <v>775</v>
      </c>
      <c r="B836" s="1832">
        <f>'Expenditures 15-22'!E33</f>
        <v>224105</v>
      </c>
      <c r="C836" s="2" t="s">
        <v>569</v>
      </c>
      <c r="D836" s="2" t="str">
        <f t="shared" si="12"/>
        <v>Error?</v>
      </c>
    </row>
    <row r="837" spans="1:4" x14ac:dyDescent="0.2">
      <c r="A837" s="5">
        <v>776</v>
      </c>
      <c r="B837" s="1832">
        <f>'Expenditures 15-22'!E36</f>
        <v>809</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48621</v>
      </c>
      <c r="D839" s="2" t="str">
        <f t="shared" si="12"/>
        <v>Error?</v>
      </c>
    </row>
    <row r="840" spans="1:4" x14ac:dyDescent="0.2">
      <c r="A840" s="5">
        <v>779</v>
      </c>
      <c r="B840" s="1832">
        <f>'Expenditures 15-22'!E39</f>
        <v>736</v>
      </c>
      <c r="D840" s="2" t="str">
        <f t="shared" si="12"/>
        <v>Error?</v>
      </c>
    </row>
    <row r="841" spans="1:4" x14ac:dyDescent="0.2">
      <c r="A841" s="5">
        <v>780</v>
      </c>
      <c r="B841" s="1832">
        <f>'Expenditures 15-22'!E40</f>
        <v>1332</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51498</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29692</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29692</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398507</v>
      </c>
      <c r="D849" s="2" t="str">
        <f t="shared" si="12"/>
        <v>Error?</v>
      </c>
    </row>
    <row r="850" spans="1:4" x14ac:dyDescent="0.2">
      <c r="A850" s="5">
        <v>789</v>
      </c>
      <c r="B850" s="1832">
        <f>'Expenditures 15-22'!E53</f>
        <v>399529</v>
      </c>
      <c r="C850" s="2" t="s">
        <v>569</v>
      </c>
      <c r="D850" s="2" t="str">
        <f t="shared" si="12"/>
        <v>Error?</v>
      </c>
    </row>
    <row r="851" spans="1:4" x14ac:dyDescent="0.2">
      <c r="A851" s="5">
        <v>790</v>
      </c>
      <c r="B851" s="1832">
        <f>'Expenditures 15-22'!E55</f>
        <v>2794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2794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18341</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18341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501854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725959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145</v>
      </c>
      <c r="D893" s="2" t="str">
        <f t="shared" si="12"/>
        <v>Error?</v>
      </c>
    </row>
    <row r="894" spans="1:4" x14ac:dyDescent="0.2">
      <c r="A894" s="5">
        <v>833</v>
      </c>
      <c r="B894" s="1832">
        <f>'Expenditures 15-22'!F33</f>
        <v>53698</v>
      </c>
      <c r="C894" s="2" t="s">
        <v>569</v>
      </c>
      <c r="D894" s="2" t="str">
        <f t="shared" si="12"/>
        <v>Error?</v>
      </c>
    </row>
    <row r="895" spans="1:4" x14ac:dyDescent="0.2">
      <c r="A895" s="5">
        <v>834</v>
      </c>
      <c r="B895" s="1832">
        <f>'Expenditures 15-22'!F36</f>
        <v>338</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708</v>
      </c>
      <c r="D897" s="2" t="str">
        <f t="shared" si="13"/>
        <v>Error?</v>
      </c>
    </row>
    <row r="898" spans="1:4" x14ac:dyDescent="0.2">
      <c r="A898" s="5">
        <v>837</v>
      </c>
      <c r="B898" s="1832">
        <f>'Expenditures 15-22'!F39</f>
        <v>121</v>
      </c>
      <c r="D898" s="2" t="str">
        <f t="shared" si="13"/>
        <v>Error?</v>
      </c>
    </row>
    <row r="899" spans="1:4" x14ac:dyDescent="0.2">
      <c r="A899" s="5">
        <v>838</v>
      </c>
      <c r="B899" s="1832">
        <f>'Expenditures 15-22'!F40</f>
        <v>1299</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2466</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7889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7889</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33108</v>
      </c>
      <c r="D907" s="2" t="str">
        <f t="shared" si="13"/>
        <v>Error?</v>
      </c>
    </row>
    <row r="908" spans="1:4" x14ac:dyDescent="0.2">
      <c r="A908" s="5">
        <v>847</v>
      </c>
      <c r="B908" s="1832">
        <f>'Expenditures 15-22'!F53</f>
        <v>33890</v>
      </c>
      <c r="C908" s="2" t="s">
        <v>569</v>
      </c>
      <c r="D908" s="2" t="str">
        <f t="shared" si="13"/>
        <v>Error?</v>
      </c>
    </row>
    <row r="909" spans="1:4" x14ac:dyDescent="0.2">
      <c r="A909" s="5">
        <v>848</v>
      </c>
      <c r="B909" s="1832">
        <f>'Expenditures 15-22'!F55</f>
        <v>2811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2811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4331</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4331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51387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105085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6679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64113</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64113</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878</v>
      </c>
      <c r="D965" s="2" t="str">
        <f t="shared" si="14"/>
        <v>Error?</v>
      </c>
    </row>
    <row r="966" spans="1:4" x14ac:dyDescent="0.2">
      <c r="A966" s="5">
        <v>905</v>
      </c>
      <c r="B966" s="1832">
        <f>'Expenditures 15-22'!G53</f>
        <v>878</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64991</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71670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195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1111</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1111</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2233</v>
      </c>
      <c r="D1023" s="2" t="str">
        <f t="shared" ref="D1023:D1086" si="15">IF(ISBLANK(B1023),"OK",IF(A1023-B1023=0,"OK","Error?"))</f>
        <v>Error?</v>
      </c>
    </row>
    <row r="1024" spans="1:4" x14ac:dyDescent="0.2">
      <c r="A1024" s="5">
        <v>963</v>
      </c>
      <c r="B1024" s="1832">
        <f>'Expenditures 15-22'!H53</f>
        <v>2233</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3344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1406504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1410043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213608</v>
      </c>
      <c r="C1107" s="2" t="s">
        <v>569</v>
      </c>
      <c r="D1107" s="2" t="str">
        <f t="shared" si="16"/>
        <v>Error?</v>
      </c>
    </row>
    <row r="1108" spans="1:4" x14ac:dyDescent="0.2">
      <c r="A1108" s="5">
        <v>1047</v>
      </c>
      <c r="B1108" s="1832">
        <f>'Expenditures 15-22'!K33</f>
        <v>4210119</v>
      </c>
      <c r="C1108" s="2" t="s">
        <v>569</v>
      </c>
      <c r="D1108" s="2" t="str">
        <f t="shared" si="16"/>
        <v>Error?</v>
      </c>
    </row>
    <row r="1109" spans="1:4" x14ac:dyDescent="0.2">
      <c r="A1109" s="5">
        <v>1048</v>
      </c>
      <c r="B1109" s="1832">
        <f>'Expenditures 15-22'!K36</f>
        <v>451362</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437728</v>
      </c>
      <c r="C1111" s="2" t="s">
        <v>569</v>
      </c>
      <c r="D1111" s="2" t="str">
        <f t="shared" si="16"/>
        <v>Error?</v>
      </c>
    </row>
    <row r="1112" spans="1:4" x14ac:dyDescent="0.2">
      <c r="A1112" s="5">
        <v>1051</v>
      </c>
      <c r="B1112" s="1832">
        <f>'Expenditures 15-22'!K39</f>
        <v>78764</v>
      </c>
      <c r="C1112" s="2" t="s">
        <v>569</v>
      </c>
      <c r="D1112" s="2" t="str">
        <f t="shared" si="16"/>
        <v>Error?</v>
      </c>
    </row>
    <row r="1113" spans="1:4" x14ac:dyDescent="0.2">
      <c r="A1113" s="5">
        <v>1052</v>
      </c>
      <c r="B1113" s="1832">
        <f>'Expenditures 15-22'!K40</f>
        <v>599848</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1567702</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190600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190600</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800477</v>
      </c>
      <c r="C1121" s="2" t="s">
        <v>569</v>
      </c>
      <c r="D1121" s="2" t="str">
        <f t="shared" si="16"/>
        <v>Error?</v>
      </c>
    </row>
    <row r="1122" spans="1:4" x14ac:dyDescent="0.2">
      <c r="A1122" s="5">
        <v>1061</v>
      </c>
      <c r="B1122" s="1832">
        <f>'Expenditures 15-22'!K53</f>
        <v>979045</v>
      </c>
      <c r="C1122" s="2" t="s">
        <v>569</v>
      </c>
      <c r="D1122" s="2" t="str">
        <f t="shared" si="16"/>
        <v>Error?</v>
      </c>
    </row>
    <row r="1123" spans="1:4" x14ac:dyDescent="0.2">
      <c r="A1123" s="5">
        <v>1062</v>
      </c>
      <c r="B1123" s="1832">
        <f>'Expenditures 15-22'!K55</f>
        <v>348367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348367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169427</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428530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597957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3683671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1406504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9300294</v>
      </c>
      <c r="C1152" s="2" t="s">
        <v>569</v>
      </c>
      <c r="D1152" s="2" t="str">
        <f t="shared" si="17"/>
        <v>Error?</v>
      </c>
    </row>
    <row r="1153" spans="1:4" x14ac:dyDescent="0.2">
      <c r="A1153" s="5">
        <v>1092</v>
      </c>
      <c r="B1153" s="1832">
        <f>'Expenditures 15-22'!K115</f>
        <v>-415100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337385</v>
      </c>
      <c r="D1237" s="2" t="str">
        <f t="shared" si="18"/>
        <v>Error?</v>
      </c>
    </row>
    <row r="1238" spans="1:4" x14ac:dyDescent="0.2">
      <c r="A1238" s="10">
        <v>1177</v>
      </c>
      <c r="B1238" s="1832"/>
      <c r="D1238" s="2" t="str">
        <f t="shared" si="18"/>
        <v>OK</v>
      </c>
    </row>
    <row r="1239" spans="1:4" x14ac:dyDescent="0.2">
      <c r="A1239" s="5">
        <v>1178</v>
      </c>
      <c r="B1239" s="1832">
        <f>'Expenditures 15-22'!E127</f>
        <v>337385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337385</v>
      </c>
      <c r="C1241" s="2" t="s">
        <v>569</v>
      </c>
      <c r="D1241" s="2" t="str">
        <f t="shared" si="18"/>
        <v>Error?</v>
      </c>
    </row>
    <row r="1242" spans="1:4" x14ac:dyDescent="0.2">
      <c r="A1242" s="5">
        <v>1181</v>
      </c>
      <c r="B1242" s="1832">
        <f>'Expenditures 15-22'!E151</f>
        <v>337385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60570</v>
      </c>
      <c r="D1245" s="2" t="str">
        <f t="shared" si="18"/>
        <v>Error?</v>
      </c>
    </row>
    <row r="1246" spans="1:4" x14ac:dyDescent="0.2">
      <c r="A1246" s="10">
        <v>1185</v>
      </c>
      <c r="B1246" s="1832"/>
      <c r="D1246" s="2" t="str">
        <f t="shared" si="18"/>
        <v>OK</v>
      </c>
    </row>
    <row r="1247" spans="1:4" x14ac:dyDescent="0.2">
      <c r="A1247" s="5">
        <v>1186</v>
      </c>
      <c r="B1247" s="1832">
        <f>'Expenditures 15-22'!F127</f>
        <v>60570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60570</v>
      </c>
      <c r="C1249" s="2" t="s">
        <v>569</v>
      </c>
      <c r="D1249" s="2" t="str">
        <f t="shared" si="18"/>
        <v>Error?</v>
      </c>
    </row>
    <row r="1250" spans="1:4" x14ac:dyDescent="0.2">
      <c r="A1250" s="5">
        <v>1189</v>
      </c>
      <c r="B1250" s="1832">
        <f>'Expenditures 15-22'!F151</f>
        <v>60570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8725</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8725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397955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397955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397955</v>
      </c>
      <c r="C1281" s="2" t="s">
        <v>569</v>
      </c>
      <c r="D1281" s="2" t="str">
        <f t="shared" si="19"/>
        <v>Error?</v>
      </c>
    </row>
    <row r="1282" spans="1:4" x14ac:dyDescent="0.2">
      <c r="A1282" s="5">
        <v>1221</v>
      </c>
      <c r="B1282" s="1832">
        <f>'Expenditures 15-22'!K139</f>
        <v>8725</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406680</v>
      </c>
      <c r="C1288" s="2" t="s">
        <v>569</v>
      </c>
      <c r="D1288" s="2" t="str">
        <f t="shared" si="19"/>
        <v>Error?</v>
      </c>
    </row>
    <row r="1289" spans="1:4" x14ac:dyDescent="0.2">
      <c r="A1289" s="5">
        <v>1228</v>
      </c>
      <c r="B1289" s="1832">
        <f>'Expenditures 15-22'!K152</f>
        <v>331138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14575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170000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184575</v>
      </c>
      <c r="C1317" s="2" t="s">
        <v>569</v>
      </c>
      <c r="D1317" s="2" t="str">
        <f t="shared" si="19"/>
        <v>Error?</v>
      </c>
    </row>
    <row r="1318" spans="1:4" x14ac:dyDescent="0.2">
      <c r="A1318" s="5">
        <v>1257</v>
      </c>
      <c r="B1318" s="1832">
        <f>'Expenditures 15-22'!H174</f>
        <v>184575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14575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170000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184575</v>
      </c>
      <c r="C1331" s="2" t="s">
        <v>569</v>
      </c>
      <c r="D1331" s="2" t="str">
        <f t="shared" si="19"/>
        <v>Error?</v>
      </c>
    </row>
    <row r="1332" spans="1:4" x14ac:dyDescent="0.2">
      <c r="A1332" s="5">
        <v>1271</v>
      </c>
      <c r="B1332" s="1832">
        <f>'Expenditures 15-22'!K174</f>
        <v>184575</v>
      </c>
      <c r="C1332" s="2" t="s">
        <v>569</v>
      </c>
      <c r="D1332" s="2" t="str">
        <f t="shared" si="19"/>
        <v>Error?</v>
      </c>
    </row>
    <row r="1333" spans="1:4" x14ac:dyDescent="0.2">
      <c r="A1333" s="5">
        <v>1272</v>
      </c>
      <c r="B1333" s="1832">
        <f>'Expenditures 15-22'!K175</f>
        <v>-184575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1409502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1409502</v>
      </c>
      <c r="C1339" s="2" t="s">
        <v>569</v>
      </c>
      <c r="D1339" s="2" t="str">
        <f t="shared" si="19"/>
        <v>Error?</v>
      </c>
    </row>
    <row r="1340" spans="1:4" x14ac:dyDescent="0.2">
      <c r="A1340" s="5">
        <v>1279</v>
      </c>
      <c r="B1340" s="1832">
        <f>'Expenditures 15-22'!C210</f>
        <v>1409502</v>
      </c>
      <c r="C1340" s="2" t="s">
        <v>569</v>
      </c>
      <c r="D1340" s="2" t="str">
        <f t="shared" si="19"/>
        <v>Error?</v>
      </c>
    </row>
    <row r="1341" spans="1:4" x14ac:dyDescent="0.2">
      <c r="A1341" s="5">
        <v>1280</v>
      </c>
      <c r="B1341" s="1832">
        <f>'Expenditures 15-22'!D182</f>
        <v>642089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642089</v>
      </c>
      <c r="C1345" s="2" t="s">
        <v>569</v>
      </c>
      <c r="D1345" s="2" t="str">
        <f t="shared" si="20"/>
        <v>Error?</v>
      </c>
    </row>
    <row r="1346" spans="1:4" x14ac:dyDescent="0.2">
      <c r="A1346" s="5">
        <v>1285</v>
      </c>
      <c r="B1346" s="1832">
        <f>'Expenditures 15-22'!D210</f>
        <v>642089</v>
      </c>
      <c r="C1346" s="2" t="s">
        <v>569</v>
      </c>
      <c r="D1346" s="2" t="str">
        <f t="shared" si="20"/>
        <v>Error?</v>
      </c>
    </row>
    <row r="1347" spans="1:4" x14ac:dyDescent="0.2">
      <c r="A1347" s="5">
        <v>1286</v>
      </c>
      <c r="B1347" s="1832">
        <f>'Expenditures 15-22'!E182</f>
        <v>999822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999822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999822</v>
      </c>
      <c r="C1353" s="2" t="s">
        <v>569</v>
      </c>
      <c r="D1353" s="2" t="str">
        <f t="shared" si="20"/>
        <v>Error?</v>
      </c>
    </row>
    <row r="1354" spans="1:4" x14ac:dyDescent="0.2">
      <c r="A1354" s="5">
        <v>1293</v>
      </c>
      <c r="B1354" s="1832">
        <f>'Expenditures 15-22'!F182</f>
        <v>147327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147327</v>
      </c>
      <c r="C1358" s="2" t="s">
        <v>569</v>
      </c>
      <c r="D1358" s="2" t="str">
        <f t="shared" si="20"/>
        <v>Error?</v>
      </c>
    </row>
    <row r="1359" spans="1:4" x14ac:dyDescent="0.2">
      <c r="A1359" s="5">
        <v>1298</v>
      </c>
      <c r="B1359" s="1832">
        <f>'Expenditures 15-22'!F210</f>
        <v>147327</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318168</v>
      </c>
      <c r="C1376" s="2" t="s">
        <v>569</v>
      </c>
      <c r="D1376" s="2" t="str">
        <f t="shared" si="20"/>
        <v>Error?</v>
      </c>
    </row>
    <row r="1377" spans="1:4" x14ac:dyDescent="0.2">
      <c r="A1377" s="5">
        <v>1316</v>
      </c>
      <c r="B1377" s="1832">
        <f>'Expenditures 15-22'!K182</f>
        <v>3198740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3198740</v>
      </c>
      <c r="C1381" s="2" t="s">
        <v>569</v>
      </c>
      <c r="D1381" s="2" t="str">
        <f t="shared" si="20"/>
        <v>Error?</v>
      </c>
    </row>
    <row r="1382" spans="1:4" x14ac:dyDescent="0.2">
      <c r="A1382" s="5">
        <v>1321</v>
      </c>
      <c r="B1382" s="1832">
        <f>'Expenditures 15-22'!K196</f>
        <v>318168</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3516908</v>
      </c>
      <c r="C1388" s="2" t="s">
        <v>569</v>
      </c>
      <c r="D1388" s="2" t="str">
        <f t="shared" si="20"/>
        <v>Error?</v>
      </c>
    </row>
    <row r="1389" spans="1:4" x14ac:dyDescent="0.2">
      <c r="A1389" s="5">
        <v>1328</v>
      </c>
      <c r="B1389" s="1832">
        <f>'Expenditures 15-22'!K211</f>
        <v>188071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2678893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2263793</v>
      </c>
      <c r="C1630" s="2" t="s">
        <v>569</v>
      </c>
      <c r="D1630" s="2" t="str">
        <f t="shared" si="24"/>
        <v>Error?</v>
      </c>
    </row>
    <row r="1631" spans="1:4" x14ac:dyDescent="0.2">
      <c r="A1631" s="5">
        <v>1570</v>
      </c>
      <c r="B1631" s="1832">
        <f>'Acct Summary 7-8'!D79</f>
        <v>136634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283197</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389611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577682</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350000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513028</v>
      </c>
      <c r="D2008" s="2" t="str">
        <f t="shared" si="30"/>
        <v>Error?</v>
      </c>
    </row>
    <row r="2009" spans="1:4" x14ac:dyDescent="0.2">
      <c r="A2009" s="5">
        <v>1948</v>
      </c>
      <c r="B2009" s="1832">
        <f>'Cap Outlay Deprec 26'!C8</f>
        <v>4780013</v>
      </c>
      <c r="D2009" s="2" t="str">
        <f t="shared" si="30"/>
        <v>Error?</v>
      </c>
    </row>
    <row r="2010" spans="1:4" x14ac:dyDescent="0.2">
      <c r="A2010" s="5">
        <v>1949</v>
      </c>
      <c r="B2010" s="1832">
        <f>'Cap Outlay Deprec 26'!C10</f>
        <v>1379024</v>
      </c>
      <c r="D2010" s="2" t="str">
        <f t="shared" si="30"/>
        <v>Error?</v>
      </c>
    </row>
    <row r="2011" spans="1:4" x14ac:dyDescent="0.2">
      <c r="A2011" s="5">
        <v>1950</v>
      </c>
      <c r="B2011" s="1832">
        <f>'Cap Outlay Deprec 26'!C12</f>
        <v>3105166</v>
      </c>
      <c r="D2011" s="2" t="str">
        <f t="shared" si="30"/>
        <v>Error?</v>
      </c>
    </row>
    <row r="2012" spans="1:4" x14ac:dyDescent="0.2">
      <c r="A2012" s="5">
        <v>1951</v>
      </c>
      <c r="B2012" s="1832">
        <f>'Cap Outlay Deprec 26'!C13</f>
        <v>3178026</v>
      </c>
      <c r="D2012" s="2" t="str">
        <f t="shared" si="30"/>
        <v>Error?</v>
      </c>
    </row>
    <row r="2013" spans="1:4" x14ac:dyDescent="0.2">
      <c r="A2013" s="5">
        <v>1952</v>
      </c>
      <c r="B2013" s="1832">
        <f>'Cap Outlay Deprec 26'!C16</f>
        <v>12955257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71671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71671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513028</v>
      </c>
      <c r="C2026" s="2" t="s">
        <v>569</v>
      </c>
      <c r="D2026" s="2" t="str">
        <f t="shared" si="30"/>
        <v>Error?</v>
      </c>
    </row>
    <row r="2027" spans="1:4" x14ac:dyDescent="0.2">
      <c r="A2027" s="5">
        <v>1966</v>
      </c>
      <c r="B2027" s="1832">
        <f>'Cap Outlay Deprec 26'!F8</f>
        <v>4780013</v>
      </c>
      <c r="C2027" s="2" t="s">
        <v>569</v>
      </c>
      <c r="D2027" s="2" t="str">
        <f t="shared" si="30"/>
        <v>Error?</v>
      </c>
    </row>
    <row r="2028" spans="1:4" x14ac:dyDescent="0.2">
      <c r="A2028" s="5">
        <v>1967</v>
      </c>
      <c r="B2028" s="1832">
        <f>'Cap Outlay Deprec 26'!F10</f>
        <v>1379024</v>
      </c>
      <c r="C2028" s="2" t="s">
        <v>569</v>
      </c>
      <c r="D2028" s="2" t="str">
        <f t="shared" si="30"/>
        <v>Error?</v>
      </c>
    </row>
    <row r="2029" spans="1:4" x14ac:dyDescent="0.2">
      <c r="A2029" s="5">
        <v>1968</v>
      </c>
      <c r="B2029" s="1832">
        <f>'Cap Outlay Deprec 26'!F12</f>
        <v>3176837</v>
      </c>
      <c r="C2029" s="2" t="s">
        <v>569</v>
      </c>
      <c r="D2029" s="2" t="str">
        <f t="shared" si="30"/>
        <v>Error?</v>
      </c>
    </row>
    <row r="2030" spans="1:4" x14ac:dyDescent="0.2">
      <c r="A2030" s="5">
        <v>1969</v>
      </c>
      <c r="B2030" s="1832">
        <f>'Cap Outlay Deprec 26'!F13</f>
        <v>3178026</v>
      </c>
      <c r="C2030" s="2" t="s">
        <v>569</v>
      </c>
      <c r="D2030" s="2" t="str">
        <f t="shared" si="30"/>
        <v>Error?</v>
      </c>
    </row>
    <row r="2031" spans="1:4" x14ac:dyDescent="0.2">
      <c r="A2031" s="5">
        <v>1970</v>
      </c>
      <c r="B2031" s="1832">
        <f>'Cap Outlay Deprec 26'!F16</f>
        <v>13026928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1070966</v>
      </c>
      <c r="D2033" s="2" t="str">
        <f t="shared" si="30"/>
        <v>Error?</v>
      </c>
    </row>
    <row r="2034" spans="1:4" x14ac:dyDescent="0.2">
      <c r="A2034" s="5">
        <v>1973</v>
      </c>
      <c r="B2034" s="1832">
        <f>'Cap Outlay Deprec 26'!H10</f>
        <v>1031404</v>
      </c>
      <c r="D2034" s="2" t="str">
        <f t="shared" si="30"/>
        <v>Error?</v>
      </c>
    </row>
    <row r="2035" spans="1:4" x14ac:dyDescent="0.2">
      <c r="A2035" s="5">
        <v>1974</v>
      </c>
      <c r="B2035" s="1832">
        <f>'Cap Outlay Deprec 26'!H12</f>
        <v>2704697</v>
      </c>
      <c r="D2035" s="2" t="str">
        <f t="shared" si="30"/>
        <v>Error?</v>
      </c>
    </row>
    <row r="2036" spans="1:4" x14ac:dyDescent="0.2">
      <c r="A2036" s="5">
        <v>1975</v>
      </c>
      <c r="B2036" s="1832">
        <f>'Cap Outlay Deprec 26'!H13</f>
        <v>2913528</v>
      </c>
      <c r="D2036" s="2" t="str">
        <f t="shared" si="30"/>
        <v>Error?</v>
      </c>
    </row>
    <row r="2037" spans="1:4" x14ac:dyDescent="0.2">
      <c r="A2037" s="5">
        <v>1976</v>
      </c>
      <c r="B2037" s="1832">
        <f>'Cap Outlay Deprec 26'!H16</f>
        <v>7720595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95600</v>
      </c>
      <c r="D2039" s="2" t="str">
        <f t="shared" si="30"/>
        <v>Error?</v>
      </c>
    </row>
    <row r="2040" spans="1:4" x14ac:dyDescent="0.2">
      <c r="A2040" s="5">
        <v>1979</v>
      </c>
      <c r="B2040" s="1832">
        <f>'Cap Outlay Deprec 26'!I10</f>
        <v>68951</v>
      </c>
      <c r="D2040" s="2" t="str">
        <f t="shared" si="30"/>
        <v>Error?</v>
      </c>
    </row>
    <row r="2041" spans="1:4" x14ac:dyDescent="0.2">
      <c r="A2041" s="5">
        <v>1980</v>
      </c>
      <c r="B2041" s="1832">
        <f>'Cap Outlay Deprec 26'!I12</f>
        <v>314101</v>
      </c>
      <c r="D2041" s="2" t="str">
        <f t="shared" si="30"/>
        <v>Error?</v>
      </c>
    </row>
    <row r="2042" spans="1:4" x14ac:dyDescent="0.2">
      <c r="A2042" s="5">
        <v>1981</v>
      </c>
      <c r="B2042" s="1832">
        <f>'Cap Outlay Deprec 26'!I13</f>
        <v>264498</v>
      </c>
      <c r="D2042" s="2" t="str">
        <f t="shared" si="30"/>
        <v>Error?</v>
      </c>
    </row>
    <row r="2043" spans="1:4" x14ac:dyDescent="0.2">
      <c r="A2043" s="5">
        <v>1982</v>
      </c>
      <c r="B2043" s="1832">
        <f>'Cap Outlay Deprec 26'!I16</f>
        <v>743150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1166566</v>
      </c>
      <c r="C2051" s="2" t="s">
        <v>569</v>
      </c>
      <c r="D2051" s="2" t="str">
        <f t="shared" si="31"/>
        <v>Error?</v>
      </c>
    </row>
    <row r="2052" spans="1:4" x14ac:dyDescent="0.2">
      <c r="A2052" s="5">
        <v>1991</v>
      </c>
      <c r="B2052" s="1832">
        <f>'Cap Outlay Deprec 26'!K10</f>
        <v>1100355</v>
      </c>
      <c r="C2052" s="2" t="s">
        <v>569</v>
      </c>
      <c r="D2052" s="2" t="str">
        <f t="shared" si="31"/>
        <v>Error?</v>
      </c>
    </row>
    <row r="2053" spans="1:4" x14ac:dyDescent="0.2">
      <c r="A2053" s="5">
        <v>1992</v>
      </c>
      <c r="B2053" s="1832">
        <f>'Cap Outlay Deprec 26'!K12</f>
        <v>3018798</v>
      </c>
      <c r="C2053" s="2" t="s">
        <v>569</v>
      </c>
      <c r="D2053" s="2" t="str">
        <f t="shared" si="31"/>
        <v>Error?</v>
      </c>
    </row>
    <row r="2054" spans="1:4" x14ac:dyDescent="0.2">
      <c r="A2054" s="5">
        <v>1993</v>
      </c>
      <c r="B2054" s="1832">
        <f>'Cap Outlay Deprec 26'!K13</f>
        <v>3178026</v>
      </c>
      <c r="C2054" s="2" t="s">
        <v>569</v>
      </c>
      <c r="D2054" s="2" t="str">
        <f t="shared" si="31"/>
        <v>Error?</v>
      </c>
    </row>
    <row r="2055" spans="1:4" x14ac:dyDescent="0.2">
      <c r="A2055" s="5">
        <v>1994</v>
      </c>
      <c r="B2055" s="1832">
        <f>'Cap Outlay Deprec 26'!K16</f>
        <v>8463745</v>
      </c>
      <c r="C2055" s="2" t="s">
        <v>569</v>
      </c>
      <c r="D2055" s="2" t="str">
        <f t="shared" si="31"/>
        <v>Error?</v>
      </c>
    </row>
    <row r="2056" spans="1:4" x14ac:dyDescent="0.2">
      <c r="A2056" s="5">
        <v>1995</v>
      </c>
      <c r="B2056" s="1832">
        <f>'Cap Outlay Deprec 26'!L5</f>
        <v>513028</v>
      </c>
      <c r="C2056" s="2" t="s">
        <v>569</v>
      </c>
      <c r="D2056" s="2" t="str">
        <f t="shared" si="31"/>
        <v>Error?</v>
      </c>
    </row>
    <row r="2057" spans="1:4" x14ac:dyDescent="0.2">
      <c r="A2057" s="5">
        <v>1996</v>
      </c>
      <c r="B2057" s="1832">
        <f>'Cap Outlay Deprec 26'!L8</f>
        <v>3613447</v>
      </c>
      <c r="C2057" s="2" t="s">
        <v>569</v>
      </c>
      <c r="D2057" s="2" t="str">
        <f t="shared" si="31"/>
        <v>Error?</v>
      </c>
    </row>
    <row r="2058" spans="1:4" x14ac:dyDescent="0.2">
      <c r="A2058" s="5">
        <v>1997</v>
      </c>
      <c r="B2058" s="1832">
        <f>'Cap Outlay Deprec 26'!L10</f>
        <v>278669</v>
      </c>
      <c r="C2058" s="2" t="s">
        <v>569</v>
      </c>
      <c r="D2058" s="2" t="str">
        <f t="shared" si="31"/>
        <v>Error?</v>
      </c>
    </row>
    <row r="2059" spans="1:4" x14ac:dyDescent="0.2">
      <c r="A2059" s="5">
        <v>1998</v>
      </c>
      <c r="B2059" s="1832">
        <f>'Cap Outlay Deprec 26'!L12</f>
        <v>158039</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4563183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1406504</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1406504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8725</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8725</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7493225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767627</v>
      </c>
      <c r="C2553" s="2" t="s">
        <v>569</v>
      </c>
      <c r="D2553" s="2" t="str">
        <f t="shared" si="38"/>
        <v>Error?</v>
      </c>
    </row>
    <row r="2554" spans="1:4" x14ac:dyDescent="0.2">
      <c r="A2554" s="5">
        <v>2493</v>
      </c>
      <c r="B2554" s="1832">
        <f>'Acct Summary 7-8'!C7</f>
        <v>624342</v>
      </c>
      <c r="C2554" s="2" t="s">
        <v>569</v>
      </c>
      <c r="D2554" s="2" t="str">
        <f t="shared" si="38"/>
        <v>Error?</v>
      </c>
    </row>
    <row r="2555" spans="1:4" x14ac:dyDescent="0.2">
      <c r="A2555" s="5">
        <v>2494</v>
      </c>
      <c r="B2555" s="1832">
        <f>'Acct Summary 7-8'!C8</f>
        <v>8885194</v>
      </c>
      <c r="C2555" s="2" t="s">
        <v>569</v>
      </c>
      <c r="D2555" s="2" t="str">
        <f t="shared" si="38"/>
        <v>Error?</v>
      </c>
    </row>
    <row r="2556" spans="1:4" x14ac:dyDescent="0.2">
      <c r="A2556" s="5">
        <v>2495</v>
      </c>
      <c r="B2556" s="1832">
        <f>'Acct Summary 7-8'!C12</f>
        <v>4210119</v>
      </c>
      <c r="C2556" s="2" t="s">
        <v>569</v>
      </c>
      <c r="D2556" s="2" t="str">
        <f t="shared" si="38"/>
        <v>Error?</v>
      </c>
    </row>
    <row r="2557" spans="1:4" x14ac:dyDescent="0.2">
      <c r="A2557" s="5">
        <v>2496</v>
      </c>
      <c r="B2557" s="1832">
        <f>'Acct Summary 7-8'!C13</f>
        <v>3683671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1406504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9300294</v>
      </c>
      <c r="C2561" s="2" t="s">
        <v>569</v>
      </c>
      <c r="D2561" s="2" t="str">
        <f t="shared" si="39"/>
        <v>Error?</v>
      </c>
    </row>
    <row r="2562" spans="1:4" x14ac:dyDescent="0.2">
      <c r="A2562" s="5">
        <v>2501</v>
      </c>
      <c r="B2562" s="1832">
        <f>'Acct Summary 7-8'!C20</f>
        <v>-415100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687818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737818</v>
      </c>
      <c r="C2568" s="2" t="s">
        <v>569</v>
      </c>
      <c r="D2568" s="2" t="str">
        <f t="shared" si="39"/>
        <v>Error?</v>
      </c>
    </row>
    <row r="2569" spans="1:4" x14ac:dyDescent="0.2">
      <c r="A2569" s="5">
        <v>2508</v>
      </c>
      <c r="B2569" s="1832">
        <f>'Acct Summary 7-8'!D13</f>
        <v>397955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8725</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406680</v>
      </c>
      <c r="C2573" s="2" t="s">
        <v>569</v>
      </c>
      <c r="D2573" s="2" t="str">
        <f t="shared" si="39"/>
        <v>Error?</v>
      </c>
    </row>
    <row r="2574" spans="1:4" x14ac:dyDescent="0.2">
      <c r="A2574" s="5">
        <v>2513</v>
      </c>
      <c r="B2574" s="1832">
        <f>'Acct Summary 7-8'!D20</f>
        <v>331138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3704979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3704979</v>
      </c>
      <c r="C2595" s="2" t="s">
        <v>569</v>
      </c>
      <c r="D2595" s="2" t="str">
        <f t="shared" si="39"/>
        <v>Error?</v>
      </c>
    </row>
    <row r="2596" spans="1:4" x14ac:dyDescent="0.2">
      <c r="A2596" s="5">
        <v>2535</v>
      </c>
      <c r="B2596" s="1832">
        <f>'Acct Summary 7-8'!F13</f>
        <v>3198740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318168</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3516908</v>
      </c>
      <c r="C2600" s="2" t="s">
        <v>569</v>
      </c>
      <c r="D2600" s="2" t="str">
        <f t="shared" si="39"/>
        <v>Error?</v>
      </c>
    </row>
    <row r="2601" spans="1:4" x14ac:dyDescent="0.2">
      <c r="A2601" s="5">
        <v>2540</v>
      </c>
      <c r="B2601" s="1832">
        <f>'Acct Summary 7-8'!F20</f>
        <v>188071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184575</v>
      </c>
      <c r="C2634" s="2" t="s">
        <v>569</v>
      </c>
      <c r="D2634" s="2" t="str">
        <f t="shared" si="40"/>
        <v>Error?</v>
      </c>
    </row>
    <row r="2635" spans="1:4" x14ac:dyDescent="0.2">
      <c r="A2635" s="5">
        <v>2574</v>
      </c>
      <c r="B2635" s="1832">
        <f>'Acct Summary 7-8'!E17</f>
        <v>184575</v>
      </c>
      <c r="C2635" s="2" t="s">
        <v>569</v>
      </c>
      <c r="D2635" s="2" t="str">
        <f t="shared" si="40"/>
        <v>Error?</v>
      </c>
    </row>
    <row r="2636" spans="1:4" x14ac:dyDescent="0.2">
      <c r="A2636" s="5">
        <v>2575</v>
      </c>
      <c r="B2636" s="1832">
        <f>'Acct Summary 7-8'!E20</f>
        <v>-184575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139037</v>
      </c>
      <c r="D2718" s="2" t="str">
        <f t="shared" si="41"/>
        <v>Error?</v>
      </c>
    </row>
    <row r="2719" spans="1:4" x14ac:dyDescent="0.2">
      <c r="A2719" s="5">
        <v>2658</v>
      </c>
      <c r="B2719" s="1832">
        <f>'Expenditures 15-22'!D51</f>
        <v>37727</v>
      </c>
      <c r="D2719" s="2" t="str">
        <f t="shared" si="41"/>
        <v>Error?</v>
      </c>
    </row>
    <row r="2720" spans="1:4" x14ac:dyDescent="0.2">
      <c r="A2720" s="5">
        <v>2659</v>
      </c>
      <c r="B2720" s="1832">
        <f>'Expenditures 15-22'!E51</f>
        <v>1022</v>
      </c>
      <c r="D2720" s="2" t="str">
        <f t="shared" si="41"/>
        <v>Error?</v>
      </c>
    </row>
    <row r="2721" spans="1:4" x14ac:dyDescent="0.2">
      <c r="A2721" s="5">
        <v>2660</v>
      </c>
      <c r="B2721" s="1832">
        <f>'Expenditures 15-22'!F51</f>
        <v>782</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178568</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318168</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318168</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318168</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25065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25065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1406504</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1406504</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8725</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8725</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318168</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318168</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25065</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-415100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184575</v>
      </c>
      <c r="C3237" s="2" t="s">
        <v>569</v>
      </c>
      <c r="D3237" s="2" t="str">
        <f t="shared" si="49"/>
        <v>Error?</v>
      </c>
    </row>
    <row r="3238" spans="1:4" x14ac:dyDescent="0.2">
      <c r="A3238" s="5">
        <v>3177</v>
      </c>
      <c r="B3238" s="1832">
        <f>'Acct Summary 7-8'!D77</f>
        <v>-184575</v>
      </c>
      <c r="C3238" s="2" t="s">
        <v>569</v>
      </c>
      <c r="D3238" s="2" t="str">
        <f t="shared" si="49"/>
        <v>Error?</v>
      </c>
    </row>
    <row r="3239" spans="1:4" x14ac:dyDescent="0.2">
      <c r="A3239" s="5">
        <v>3178</v>
      </c>
      <c r="B3239" s="1832">
        <f>'Acct Summary 7-8'!D78</f>
        <v>146563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188071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184575</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184575</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2846724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911082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178278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53553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6679</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195</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3996511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2263793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283197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577682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25065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3056066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11941260</v>
      </c>
      <c r="C4122" s="2" t="s">
        <v>569</v>
      </c>
      <c r="D4122" s="2" t="str">
        <f t="shared" si="63"/>
        <v>Error?</v>
      </c>
    </row>
    <row r="4123" spans="1:4" x14ac:dyDescent="0.2">
      <c r="A4123" s="5">
        <v>4062</v>
      </c>
      <c r="B4123" s="1832">
        <f>'Acct Summary 7-8'!D10</f>
        <v>737818</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3704979</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3056066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12356360</v>
      </c>
      <c r="C4136" s="2" t="s">
        <v>569</v>
      </c>
      <c r="D4136" s="2" t="str">
        <f t="shared" si="63"/>
        <v>Error?</v>
      </c>
    </row>
    <row r="4137" spans="1:4" x14ac:dyDescent="0.2">
      <c r="A4137" s="5">
        <v>4076</v>
      </c>
      <c r="B4137" s="1832">
        <f>'Acct Summary 7-8'!D19</f>
        <v>406680</v>
      </c>
      <c r="C4137" s="2" t="s">
        <v>569</v>
      </c>
      <c r="D4137" s="2" t="str">
        <f t="shared" si="63"/>
        <v>Error?</v>
      </c>
    </row>
    <row r="4138" spans="1:4" x14ac:dyDescent="0.2">
      <c r="A4138" s="5">
        <v>4077</v>
      </c>
      <c r="B4138" s="1832">
        <f>'Acct Summary 7-8'!E19</f>
        <v>184575</v>
      </c>
      <c r="C4138" s="2" t="s">
        <v>569</v>
      </c>
      <c r="D4138" s="2" t="str">
        <f t="shared" si="63"/>
        <v>Error?</v>
      </c>
    </row>
    <row r="4139" spans="1:4" x14ac:dyDescent="0.2">
      <c r="A4139" s="5">
        <v>4078</v>
      </c>
      <c r="B4139" s="1832">
        <f>'Acct Summary 7-8'!F19</f>
        <v>3516908</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180000</v>
      </c>
      <c r="C4171" s="2" t="s">
        <v>569</v>
      </c>
      <c r="D4171" s="2" t="str">
        <f t="shared" si="64"/>
        <v>Error?</v>
      </c>
    </row>
    <row r="4172" spans="1:4" x14ac:dyDescent="0.2">
      <c r="A4172" s="5">
        <v>4111</v>
      </c>
      <c r="B4172" s="1832">
        <f>'Short-Term Long-Term Debt 24'!J49</f>
        <v>180000</v>
      </c>
      <c r="C4172" s="2" t="s">
        <v>569</v>
      </c>
      <c r="D4172" s="2" t="str">
        <f t="shared" si="64"/>
        <v>Error?</v>
      </c>
    </row>
    <row r="4173" spans="1:4" x14ac:dyDescent="0.2">
      <c r="A4173" s="5">
        <v>4112</v>
      </c>
      <c r="B4173" s="1832">
        <f>'Short-Term Long-Term Debt 24'!H49</f>
        <v>170000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3124672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21936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1058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180000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3695366</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7451206</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7451206</v>
      </c>
      <c r="C5087" s="2" t="s">
        <v>569</v>
      </c>
      <c r="D5087" s="2" t="str">
        <f t="shared" si="78"/>
        <v>Error?</v>
      </c>
    </row>
    <row r="5088" spans="1:4" x14ac:dyDescent="0.2">
      <c r="A5088" s="5">
        <v>5027</v>
      </c>
      <c r="B5088" s="1832">
        <f>'Revenues 9-14'!C65</f>
        <v>8466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8466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3567</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22219</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7767</v>
      </c>
      <c r="D5119" s="2" t="str">
        <f t="shared" ref="D5119:D5182" si="79">IF(ISBLANK(B5119),"OK",IF(A5119-B5119=0,"OK","Error?"))</f>
        <v>Error?</v>
      </c>
    </row>
    <row r="5120" spans="1:4" x14ac:dyDescent="0.2">
      <c r="A5120" s="5">
        <v>5059</v>
      </c>
      <c r="B5120" s="1832">
        <f>'Revenues 9-14'!C108</f>
        <v>29986</v>
      </c>
      <c r="C5120" s="2" t="s">
        <v>569</v>
      </c>
      <c r="D5120" s="2" t="str">
        <f t="shared" si="79"/>
        <v>Error?</v>
      </c>
    </row>
    <row r="5121" spans="1:4" x14ac:dyDescent="0.2">
      <c r="A5121" s="5">
        <v>5060</v>
      </c>
      <c r="B5121" s="1832">
        <f>'Revenues 9-14'!C109</f>
        <v>7493225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767627</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767627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767627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767627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12378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588970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601348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624342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624342</v>
      </c>
      <c r="C5326" s="2" t="s">
        <v>569</v>
      </c>
      <c r="D5326" s="2" t="str">
        <f t="shared" si="82"/>
        <v>Error?</v>
      </c>
    </row>
    <row r="5327" spans="1:5" x14ac:dyDescent="0.2">
      <c r="A5327" s="5">
        <v>5266</v>
      </c>
      <c r="B5327" s="1832">
        <f>'Revenues 9-14'!C268</f>
        <v>8885194</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978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978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13619</v>
      </c>
      <c r="D5352" s="2" t="str">
        <f t="shared" si="82"/>
        <v>Error?</v>
      </c>
    </row>
    <row r="5353" spans="1:4" x14ac:dyDescent="0.2">
      <c r="A5353" s="5">
        <v>5292</v>
      </c>
      <c r="B5353" s="1832">
        <f>'Revenues 9-14'!D104</f>
        <v>673221</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686840</v>
      </c>
      <c r="C5355" s="2" t="s">
        <v>569</v>
      </c>
      <c r="D5355" s="2" t="str">
        <f t="shared" si="82"/>
        <v>Error?</v>
      </c>
    </row>
    <row r="5356" spans="1:4" x14ac:dyDescent="0.2">
      <c r="A5356" s="5">
        <v>5295</v>
      </c>
      <c r="B5356" s="1832">
        <f>'Revenues 9-14'!D109</f>
        <v>687818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737818</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3768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3768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5845</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3701211</v>
      </c>
      <c r="C5587" s="2" t="s">
        <v>569</v>
      </c>
      <c r="D5587" s="2" t="str">
        <f t="shared" si="86"/>
        <v>Error?</v>
      </c>
    </row>
    <row r="5588" spans="1:4" x14ac:dyDescent="0.2">
      <c r="A5588" s="5">
        <v>5527</v>
      </c>
      <c r="B5588" s="1832">
        <f>'Revenues 9-14'!F109</f>
        <v>3704979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3704979</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3567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-415100</v>
      </c>
      <c r="D6267" s="2" t="str">
        <f t="shared" si="96"/>
        <v>Error?</v>
      </c>
      <c r="E6267" s="2" t="s">
        <v>189</v>
      </c>
    </row>
    <row r="6268" spans="1:5" x14ac:dyDescent="0.2">
      <c r="A6268">
        <v>6207</v>
      </c>
      <c r="B6268" s="1832">
        <f>'Acct Summary 7-8'!D82</f>
        <v>146563</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188071</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-0.18336482178361715</v>
      </c>
      <c r="D6276" s="2" t="str">
        <f t="shared" si="97"/>
        <v>Error?</v>
      </c>
      <c r="E6276" s="2" t="s">
        <v>189</v>
      </c>
    </row>
    <row r="6277" spans="1:5" x14ac:dyDescent="0.2">
      <c r="A6277">
        <v>6216</v>
      </c>
      <c r="B6277" s="1832">
        <f>'Acct Summary 7-8'!D83</f>
        <v>0.51753019982556314</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0.32556146807413078</v>
      </c>
      <c r="D6279" s="2" t="str">
        <f t="shared" si="97"/>
        <v>Error?</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170000</v>
      </c>
      <c r="D6287" s="2" t="str">
        <f t="shared" si="97"/>
        <v>Error?</v>
      </c>
      <c r="E6287" s="2" t="s">
        <v>189</v>
      </c>
    </row>
    <row r="6288" spans="1:5" x14ac:dyDescent="0.2">
      <c r="A6288">
        <v>6227</v>
      </c>
      <c r="B6288" s="1832">
        <f>'Acct Summary 7-8'!E40</f>
        <v>14575</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743150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170000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14575</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2000000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13408457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213608</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2188675</v>
      </c>
      <c r="D7834" s="2" t="str">
        <f t="shared" si="129"/>
        <v>Error?</v>
      </c>
      <c r="E7834" s="4" t="s">
        <v>1998</v>
      </c>
    </row>
    <row r="7835" spans="1:5" x14ac:dyDescent="0.2">
      <c r="A7835">
        <v>7774</v>
      </c>
      <c r="B7835" s="1832">
        <f>'PCTC-OEPP 27-28'!F78</f>
        <v>11219782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4368587</v>
      </c>
      <c r="D7841" s="2" t="str">
        <f t="shared" si="129"/>
        <v>Error?</v>
      </c>
      <c r="E7841" s="4" t="s">
        <v>1998</v>
      </c>
    </row>
    <row r="7842" spans="1:5" x14ac:dyDescent="0.2">
      <c r="A7842">
        <v>7781</v>
      </c>
      <c r="B7842" s="1832">
        <f>'PCTC-OEPP 27-28'!F106</f>
        <v>767627</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588970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21936</v>
      </c>
      <c r="D7874" s="2" t="str">
        <f t="shared" si="129"/>
        <v>Error?</v>
      </c>
      <c r="E7874" s="4" t="s">
        <v>1998</v>
      </c>
    </row>
    <row r="7875" spans="1:5" x14ac:dyDescent="0.2">
      <c r="A7875">
        <v>7814</v>
      </c>
      <c r="B7875" s="1832">
        <f>'PCTC-OEPP 27-28'!F170</f>
        <v>1058</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5801745</v>
      </c>
      <c r="D7877" s="2" t="str">
        <f t="shared" si="129"/>
        <v>Error?</v>
      </c>
      <c r="E7877" s="4" t="s">
        <v>1998</v>
      </c>
    </row>
    <row r="7878" spans="1:5" x14ac:dyDescent="0.2">
      <c r="A7878">
        <v>7817</v>
      </c>
      <c r="B7878" s="1832">
        <f>'PCTC-OEPP 27-28'!F176</f>
        <v>5418037</v>
      </c>
      <c r="D7878" s="2" t="str">
        <f t="shared" si="129"/>
        <v>Error?</v>
      </c>
      <c r="E7878" s="4" t="s">
        <v>1998</v>
      </c>
    </row>
    <row r="7879" spans="1:5" x14ac:dyDescent="0.2">
      <c r="A7879">
        <v>7818</v>
      </c>
      <c r="B7879" s="1832">
        <f>'PCTC-OEPP 27-28'!F178</f>
        <v>6161187</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Lincoln Way Area Spec Ed Joint Agreement</v>
      </c>
      <c r="B7" s="2516"/>
      <c r="C7" s="2516"/>
      <c r="D7" s="2554"/>
      <c r="E7" s="2555">
        <f>COVER!A13</f>
        <v>56099843060</v>
      </c>
      <c r="F7" s="2556"/>
      <c r="G7" s="2522" t="str">
        <f>COVER!T23</f>
        <v>066-005340</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Evans, Marshall and Pease, PC</v>
      </c>
      <c r="H9" s="2529"/>
      <c r="I9" s="2529"/>
      <c r="J9" s="2529"/>
      <c r="K9" s="2529"/>
      <c r="L9" s="2530"/>
    </row>
    <row r="10" spans="1:29" ht="13.5" customHeight="1" x14ac:dyDescent="0.2">
      <c r="A10" s="2512">
        <f>COVER!A38</f>
        <v>0</v>
      </c>
      <c r="B10" s="2513"/>
      <c r="C10" s="2513"/>
      <c r="D10" s="2513"/>
      <c r="E10" s="2513"/>
      <c r="F10" s="2514"/>
      <c r="G10" s="2528" t="str">
        <f>COVER!T17</f>
        <v>1875 Hicks Road</v>
      </c>
      <c r="H10" s="2541"/>
      <c r="I10" s="2541"/>
      <c r="J10" s="2541"/>
      <c r="K10" s="2541"/>
      <c r="L10" s="2542"/>
    </row>
    <row r="11" spans="1:29" ht="13.5" customHeight="1" x14ac:dyDescent="0.2">
      <c r="A11" s="963" t="s">
        <v>1502</v>
      </c>
      <c r="B11" s="964"/>
      <c r="C11" s="965"/>
      <c r="D11" s="970"/>
      <c r="E11" s="965"/>
      <c r="F11" s="969"/>
      <c r="G11" s="2528" t="str">
        <f>COVER!T19</f>
        <v>Rolling Meadows</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jeff@empcpa.com</v>
      </c>
      <c r="J13" s="2550"/>
      <c r="K13" s="2550"/>
      <c r="L13" s="2551"/>
    </row>
    <row r="14" spans="1:29" ht="13.5" customHeight="1" x14ac:dyDescent="0.2">
      <c r="A14" s="2528" t="str">
        <f>COVER!A19</f>
        <v>601 Willow Street</v>
      </c>
      <c r="B14" s="2541"/>
      <c r="C14" s="2541"/>
      <c r="D14" s="2541"/>
      <c r="E14" s="2541"/>
      <c r="F14" s="2542"/>
      <c r="G14" s="974" t="s">
        <v>1175</v>
      </c>
      <c r="H14" s="972"/>
      <c r="I14" s="972"/>
      <c r="J14" s="972"/>
      <c r="K14" s="972"/>
      <c r="L14" s="973"/>
    </row>
    <row r="15" spans="1:29" ht="13.5" customHeight="1" x14ac:dyDescent="0.2">
      <c r="A15" s="2528" t="str">
        <f>COVER!A21</f>
        <v>Frankfort</v>
      </c>
      <c r="B15" s="2541"/>
      <c r="C15" s="2541"/>
      <c r="D15" s="2541"/>
      <c r="E15" s="2541"/>
      <c r="F15" s="2542"/>
      <c r="G15" s="2538" t="str">
        <f>COVER!T15</f>
        <v>Jeffery M. Rollefson, CPA</v>
      </c>
      <c r="H15" s="2539"/>
      <c r="I15" s="2539"/>
      <c r="J15" s="2539"/>
      <c r="K15" s="2539"/>
      <c r="L15" s="2540"/>
    </row>
    <row r="16" spans="1:29" ht="12.2" customHeight="1" x14ac:dyDescent="0.2">
      <c r="A16" s="2518">
        <f>COVER!A25</f>
        <v>60423</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847-221-5700</v>
      </c>
      <c r="H18" s="2516"/>
      <c r="I18" s="2516"/>
      <c r="J18" s="2516"/>
      <c r="K18" s="2515" t="str">
        <f>COVER!X21</f>
        <v>847-221-5701</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Lincoln Way Area Spec Ed Joint Agreement</v>
      </c>
      <c r="B1" s="2558"/>
      <c r="C1" s="2558"/>
      <c r="D1" s="2558"/>
    </row>
    <row r="2" spans="1:11" s="991" customFormat="1" ht="12.75" x14ac:dyDescent="0.2">
      <c r="A2" s="2559">
        <f>'Single Audit Cover'!E7</f>
        <v>56099843060</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Lincoln Way Area Spec Ed Joint Agreement</v>
      </c>
      <c r="B1" s="2562"/>
      <c r="C1" s="2562"/>
      <c r="D1" s="2562"/>
      <c r="E1" s="2562"/>
    </row>
    <row r="2" spans="1:5" x14ac:dyDescent="0.2">
      <c r="A2" s="2563">
        <f>'Single Audit Cover'!E7</f>
        <v>56099843060</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624342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-1058</v>
      </c>
    </row>
    <row r="19" spans="1:4" ht="13.5" thickBot="1" x14ac:dyDescent="0.25">
      <c r="A19" s="1041" t="s">
        <v>1224</v>
      </c>
      <c r="D19" s="1042">
        <f>SUM(D10:D17)</f>
        <v>623284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623284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623284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Lincoln Way Area Spec Ed Joint Agreement</v>
      </c>
      <c r="C1" s="2566"/>
      <c r="D1" s="2566"/>
      <c r="E1" s="2566"/>
      <c r="F1" s="2566"/>
      <c r="G1" s="2566"/>
      <c r="H1" s="2566"/>
      <c r="I1" s="2566"/>
      <c r="J1" s="2566"/>
      <c r="K1" s="2566"/>
      <c r="L1" s="2566"/>
      <c r="M1" s="2566"/>
    </row>
    <row r="2" spans="2:14" ht="15" x14ac:dyDescent="0.2">
      <c r="B2" s="2567">
        <f>'Single Audit Cover'!E7</f>
        <v>56099843060</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Lincoln Way Area Spec Ed Joint Agreement</v>
      </c>
      <c r="B1" s="2571"/>
      <c r="C1" s="2571"/>
      <c r="D1" s="2571"/>
      <c r="E1" s="2571"/>
      <c r="F1" s="2571"/>
    </row>
    <row r="2" spans="1:7" ht="13.5" customHeight="1" x14ac:dyDescent="0.2">
      <c r="A2" s="2567">
        <f>'Single Audit Cover'!E7</f>
        <v>56099843060</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4"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2071</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Lincoln Way Area Spec Ed Joint Agreement</v>
      </c>
      <c r="C1" s="2587"/>
      <c r="D1" s="2587"/>
      <c r="E1" s="2587"/>
      <c r="F1" s="2587"/>
      <c r="G1" s="2587"/>
      <c r="H1" s="2587"/>
      <c r="I1" s="2587"/>
      <c r="J1" s="1178"/>
    </row>
    <row r="2" spans="2:10" s="295" customFormat="1" ht="12.75" customHeight="1" x14ac:dyDescent="0.2">
      <c r="B2" s="2588">
        <f>'Single Audit Cover'!E7</f>
        <v>56099843060</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Lincoln Way Area Spec Ed Joint Agreement</v>
      </c>
      <c r="C1" s="2586"/>
      <c r="D1" s="2586"/>
      <c r="E1" s="2586"/>
      <c r="F1" s="2586"/>
      <c r="G1" s="2586"/>
      <c r="H1" s="2586"/>
      <c r="I1" s="2586"/>
      <c r="J1" s="2586"/>
      <c r="K1" s="2586"/>
      <c r="L1" s="1144"/>
      <c r="M1" s="1144"/>
    </row>
    <row r="2" spans="1:13" ht="12" customHeight="1" x14ac:dyDescent="0.2">
      <c r="B2" s="2588">
        <f>'Single Audit Cover'!E7</f>
        <v>56099843060</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Lincoln Way Area Spec Ed Joint Agreement</v>
      </c>
      <c r="C1" s="2613"/>
      <c r="D1" s="2613"/>
      <c r="E1" s="2613"/>
      <c r="F1" s="2613"/>
      <c r="G1" s="2613"/>
      <c r="H1" s="2613"/>
      <c r="I1" s="2613"/>
      <c r="J1" s="2613"/>
      <c r="K1" s="2613"/>
      <c r="L1" s="1221"/>
    </row>
    <row r="2" spans="1:12" ht="12.75" customHeight="1" x14ac:dyDescent="0.2">
      <c r="B2" s="2614">
        <f>'Single Audit Cover'!E7</f>
        <v>56099843060</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Lincoln Way Area Spec Ed Joint Agreement</v>
      </c>
      <c r="C1" s="2586"/>
      <c r="D1" s="2586"/>
      <c r="E1" s="1240"/>
    </row>
    <row r="2" spans="2:5" s="1058" customFormat="1" ht="12.75" customHeight="1" x14ac:dyDescent="0.2">
      <c r="B2" s="2588">
        <f>'Single Audit Cover'!E7</f>
        <v>56099843060</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1" colorId="8" zoomScale="110" zoomScaleNormal="110" workbookViewId="0">
      <selection activeCell="A38" sqref="A38:H3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13327991</v>
      </c>
      <c r="E16" s="1547"/>
      <c r="F16" s="1546">
        <f>SUM('Acct Summary 7-8'!C17,'Acct Summary 7-8'!D17,'Acct Summary 7-8'!F17)</f>
        <v>13223882</v>
      </c>
      <c r="G16" s="1547"/>
      <c r="H16" s="1546">
        <f>SUM(D16-F16)</f>
        <v>104109</v>
      </c>
      <c r="I16" s="1548"/>
      <c r="J16" s="1546">
        <f>SUM('Acct Summary 7-8'!C81,'Acct Summary 7-8'!D81,'Acct Summary 7-8'!F81,'Acct Summary 7-8'!I81)</f>
        <v>3124672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180000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7" zoomScale="110" zoomScaleNormal="110" workbookViewId="0">
      <selection activeCell="A38" sqref="A38:H3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Lincoln Way Area Spec Ed Joint Agreement</v>
      </c>
      <c r="E7" s="368"/>
      <c r="G7" s="247"/>
      <c r="H7" s="364"/>
      <c r="I7" s="364"/>
      <c r="J7" s="364"/>
      <c r="K7" s="364"/>
      <c r="L7" s="307"/>
      <c r="M7" s="307"/>
      <c r="N7" s="307"/>
      <c r="O7" s="307"/>
      <c r="P7" s="307"/>
    </row>
    <row r="8" spans="1:18" ht="12.75" x14ac:dyDescent="0.2">
      <c r="A8" s="307"/>
      <c r="B8" s="307"/>
      <c r="C8" s="366" t="s">
        <v>1115</v>
      </c>
      <c r="D8" s="369">
        <f>COVER!A13</f>
        <v>56099843060</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3124672</v>
      </c>
      <c r="I12" s="380"/>
      <c r="J12" s="380"/>
      <c r="K12" s="1559">
        <f>TRUNC((H12/H13*100000),5)/100000</f>
        <v>0.2377366736</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13143416</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-184575</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13223882</v>
      </c>
      <c r="I17" s="380"/>
      <c r="J17" s="389"/>
      <c r="K17" s="1559">
        <f>TRUNC((H17/H18*100000),5)/100000</f>
        <v>1.0061221526999999</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13143416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-184575</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22.498078700000001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3124672</v>
      </c>
      <c r="I24" s="394"/>
      <c r="J24" s="394"/>
      <c r="K24" s="1555">
        <f>TRUNC(((H24/H25*100000)/100000),2)</f>
        <v>85.06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36733.005559999998</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180000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xSplit="2" ySplit="3" topLeftCell="C34" activePane="bottomRight" state="frozen"/>
      <selection activeCell="A38" sqref="A38:H38"/>
      <selection pane="topRight" activeCell="A38" sqref="A38:H38"/>
      <selection pane="bottomLeft" activeCell="A38" sqref="A38:H38"/>
      <selection pane="bottomRight" activeCell="A22" sqref="A22:XFD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2263793</v>
      </c>
      <c r="D4" s="1573">
        <v>283197</v>
      </c>
      <c r="E4" s="1573"/>
      <c r="F4" s="1573">
        <v>577682</v>
      </c>
      <c r="G4" s="1573"/>
      <c r="H4" s="1573"/>
      <c r="I4" s="1573"/>
      <c r="J4" s="1574"/>
      <c r="K4" s="1573"/>
      <c r="L4" s="1573">
        <v>25065</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2263793</v>
      </c>
      <c r="D13" s="1587">
        <f t="shared" ref="D13:L13" si="0">SUM(D4:D12)</f>
        <v>283197</v>
      </c>
      <c r="E13" s="1587">
        <f t="shared" si="0"/>
        <v>0</v>
      </c>
      <c r="F13" s="1587">
        <f t="shared" si="0"/>
        <v>577682</v>
      </c>
      <c r="G13" s="1587">
        <f t="shared" si="0"/>
        <v>0</v>
      </c>
      <c r="H13" s="1587">
        <f t="shared" si="0"/>
        <v>0</v>
      </c>
      <c r="I13" s="1587">
        <f t="shared" si="0"/>
        <v>0</v>
      </c>
      <c r="J13" s="1587">
        <f t="shared" si="0"/>
        <v>0</v>
      </c>
      <c r="K13" s="1587">
        <f t="shared" si="0"/>
        <v>0</v>
      </c>
      <c r="L13" s="1587">
        <f t="shared" si="0"/>
        <v>25065</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513028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4780013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1379024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3176837+3178026</f>
        <v>6354863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180000</v>
      </c>
    </row>
    <row r="23" spans="1:14" ht="13.5" customHeight="1" thickBot="1" x14ac:dyDescent="0.25">
      <c r="A23" s="1426" t="s">
        <v>638</v>
      </c>
      <c r="B23" s="1429"/>
      <c r="C23" s="1575"/>
      <c r="D23" s="1575"/>
      <c r="E23" s="1575"/>
      <c r="F23" s="1575"/>
      <c r="G23" s="1575"/>
      <c r="H23" s="1575"/>
      <c r="I23" s="1575"/>
      <c r="J23" s="1575"/>
      <c r="K23" s="1575"/>
      <c r="L23" s="1575"/>
      <c r="M23" s="1594">
        <f>SUM(M15:M22)</f>
        <v>13026928</v>
      </c>
      <c r="N23" s="1594">
        <f>SUM(N21:N22)</f>
        <v>180000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180000</v>
      </c>
    </row>
    <row r="37" spans="1:14" ht="13.5" thickBot="1" x14ac:dyDescent="0.25">
      <c r="A37" s="1426" t="s">
        <v>648</v>
      </c>
      <c r="B37" s="1429"/>
      <c r="C37" s="1582"/>
      <c r="D37" s="1582"/>
      <c r="E37" s="1582"/>
      <c r="F37" s="1582"/>
      <c r="G37" s="1582"/>
      <c r="H37" s="1582"/>
      <c r="I37" s="1582"/>
      <c r="J37" s="1582"/>
      <c r="K37" s="1582"/>
      <c r="L37" s="1585"/>
      <c r="M37" s="1575"/>
      <c r="N37" s="1594">
        <f>SUM(N36:N36)</f>
        <v>180000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2263793</v>
      </c>
      <c r="D39" s="1573">
        <v>283197</v>
      </c>
      <c r="E39" s="1573"/>
      <c r="F39" s="1573">
        <v>577682</v>
      </c>
      <c r="G39" s="1573"/>
      <c r="H39" s="1573"/>
      <c r="I39" s="1573"/>
      <c r="J39" s="1574"/>
      <c r="K39" s="1573"/>
      <c r="L39" s="1573">
        <v>25065</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13026928</v>
      </c>
      <c r="N40" s="1604"/>
    </row>
    <row r="41" spans="1:14" ht="13.5" customHeight="1" thickBot="1" x14ac:dyDescent="0.25">
      <c r="A41" s="1426" t="s">
        <v>650</v>
      </c>
      <c r="B41" s="1405"/>
      <c r="C41" s="1594">
        <f>(SUM(C34,C37,C38,C39))</f>
        <v>2263793</v>
      </c>
      <c r="D41" s="1594">
        <f t="shared" ref="D41:L41" si="2">SUM(D34,D37,D38:D39)</f>
        <v>283197</v>
      </c>
      <c r="E41" s="1594">
        <f t="shared" si="2"/>
        <v>0</v>
      </c>
      <c r="F41" s="1594">
        <f t="shared" si="2"/>
        <v>577682</v>
      </c>
      <c r="G41" s="1594">
        <f t="shared" si="2"/>
        <v>0</v>
      </c>
      <c r="H41" s="1594">
        <f t="shared" si="2"/>
        <v>0</v>
      </c>
      <c r="I41" s="1594">
        <f t="shared" si="2"/>
        <v>0</v>
      </c>
      <c r="J41" s="1594">
        <f t="shared" si="2"/>
        <v>0</v>
      </c>
      <c r="K41" s="1594">
        <f t="shared" si="2"/>
        <v>0</v>
      </c>
      <c r="L41" s="1594">
        <f t="shared" si="2"/>
        <v>25065</v>
      </c>
      <c r="M41" s="1594">
        <f>SUM(M40)</f>
        <v>13026928</v>
      </c>
      <c r="N41" s="1594">
        <f>SUM(N37)</f>
        <v>180000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2" activePane="bottomLeft" state="frozen"/>
      <selection activeCell="A38" sqref="A38:H38"/>
      <selection pane="bottomLeft" activeCell="A38" sqref="A38:H3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7493225</v>
      </c>
      <c r="D4" s="1606">
        <f>'Revenues 9-14'!D109</f>
        <v>687818</v>
      </c>
      <c r="E4" s="1606">
        <f>'Revenues 9-14'!E109</f>
        <v>0</v>
      </c>
      <c r="F4" s="1606">
        <f>'Revenues 9-14'!F109</f>
        <v>3704979</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767627</v>
      </c>
      <c r="D6" s="1607">
        <f>'Revenues 9-14'!D170</f>
        <v>50000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624342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8885194</v>
      </c>
      <c r="D8" s="1594">
        <f t="shared" ref="D8:K8" si="0">SUM(D4:D7)</f>
        <v>737818</v>
      </c>
      <c r="E8" s="1594">
        <f t="shared" si="0"/>
        <v>0</v>
      </c>
      <c r="F8" s="1594">
        <f t="shared" si="0"/>
        <v>3704979</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3056066</v>
      </c>
      <c r="D9" s="1613"/>
      <c r="E9" s="1586"/>
      <c r="F9" s="1586"/>
      <c r="G9" s="1614"/>
      <c r="H9" s="1586"/>
      <c r="I9" s="1609" t="s">
        <v>1159</v>
      </c>
      <c r="J9" s="1583"/>
      <c r="K9" s="1586"/>
      <c r="L9" s="325"/>
    </row>
    <row r="10" spans="1:13" s="452" customFormat="1" ht="13.5" thickBot="1" x14ac:dyDescent="0.25">
      <c r="A10" s="1426" t="s">
        <v>1163</v>
      </c>
      <c r="B10" s="1407"/>
      <c r="C10" s="1594">
        <f>SUM(C8:C9)</f>
        <v>11941260</v>
      </c>
      <c r="D10" s="1594">
        <f t="shared" ref="D10:K10" si="1">SUM(D8:D9)</f>
        <v>737818</v>
      </c>
      <c r="E10" s="1594">
        <f t="shared" si="1"/>
        <v>0</v>
      </c>
      <c r="F10" s="1594">
        <f t="shared" si="1"/>
        <v>3704979</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4210119</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3683671</v>
      </c>
      <c r="D13" s="1607">
        <f>'Expenditures 15-22'!K129</f>
        <v>397955</v>
      </c>
      <c r="E13" s="1576" t="s">
        <v>1159</v>
      </c>
      <c r="F13" s="1607">
        <f>'Expenditures 15-22'!K184</f>
        <v>3198740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1406504</v>
      </c>
      <c r="D15" s="1607">
        <f>'Expenditures 15-22'!K139</f>
        <v>8725</v>
      </c>
      <c r="E15" s="1607">
        <f>'Expenditures 15-22'!K160</f>
        <v>0</v>
      </c>
      <c r="F15" s="1607">
        <f>'Expenditures 15-22'!K196</f>
        <v>318168</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184575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9300294</v>
      </c>
      <c r="D17" s="1594">
        <f t="shared" si="2"/>
        <v>406680</v>
      </c>
      <c r="E17" s="1594">
        <f t="shared" si="2"/>
        <v>184575</v>
      </c>
      <c r="F17" s="1594">
        <f t="shared" si="2"/>
        <v>3516908</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3056066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12356360</v>
      </c>
      <c r="D19" s="1594">
        <f t="shared" si="4"/>
        <v>406680</v>
      </c>
      <c r="E19" s="1594">
        <f t="shared" si="4"/>
        <v>184575</v>
      </c>
      <c r="F19" s="1594">
        <f t="shared" si="4"/>
        <v>3516908</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-415100</v>
      </c>
      <c r="D20" s="1622">
        <f t="shared" ref="D20:K20" si="5">D8-D17</f>
        <v>331138</v>
      </c>
      <c r="E20" s="1622">
        <f t="shared" si="5"/>
        <v>-184575</v>
      </c>
      <c r="F20" s="1622">
        <f t="shared" si="5"/>
        <v>188071</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170000</v>
      </c>
      <c r="F39" s="1582"/>
      <c r="G39" s="1582"/>
      <c r="H39" s="1582"/>
      <c r="I39" s="1582"/>
      <c r="J39" s="1582"/>
      <c r="K39" s="1582"/>
      <c r="L39" s="453"/>
    </row>
    <row r="40" spans="1:12" s="433" customFormat="1" ht="13.5" customHeight="1" x14ac:dyDescent="0.2">
      <c r="A40" s="1260" t="s">
        <v>637</v>
      </c>
      <c r="B40" s="432">
        <v>7700</v>
      </c>
      <c r="C40" s="1582"/>
      <c r="D40" s="1582"/>
      <c r="E40" s="1607">
        <f>SUM(C66:D69)</f>
        <v>14575</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184575</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v>170000</v>
      </c>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v>14575</v>
      </c>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184575</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-184575</v>
      </c>
      <c r="E77" s="1624">
        <f t="shared" si="8"/>
        <v>184575</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-415100</v>
      </c>
      <c r="D78" s="1629">
        <f t="shared" si="9"/>
        <v>146563</v>
      </c>
      <c r="E78" s="1629">
        <f t="shared" si="9"/>
        <v>0</v>
      </c>
      <c r="F78" s="1629">
        <f t="shared" si="9"/>
        <v>188071</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2678893</v>
      </c>
      <c r="D79" s="1630">
        <v>136634</v>
      </c>
      <c r="E79" s="1630"/>
      <c r="F79" s="1630">
        <v>389611</v>
      </c>
      <c r="G79" s="1630"/>
      <c r="H79" s="1630"/>
      <c r="I79" s="1630"/>
      <c r="J79" s="1630"/>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2263793</v>
      </c>
      <c r="D81" s="1594">
        <f>SUM(D78:D80)</f>
        <v>283197</v>
      </c>
      <c r="E81" s="1594">
        <f t="shared" ref="E81:K81" si="10">SUM(E78:E80)</f>
        <v>0</v>
      </c>
      <c r="F81" s="1594">
        <f t="shared" si="10"/>
        <v>577682</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-415100</v>
      </c>
      <c r="D82" s="461">
        <f t="shared" ref="D82:K82" si="11">(D81-D79)</f>
        <v>146563</v>
      </c>
      <c r="E82" s="461">
        <f t="shared" si="11"/>
        <v>0</v>
      </c>
      <c r="F82" s="461">
        <f t="shared" si="11"/>
        <v>188071</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-0.18336482178361715</v>
      </c>
      <c r="D83" s="463">
        <f t="shared" ref="D83:K83" si="12">D82/D81</f>
        <v>0.51753019982556314</v>
      </c>
      <c r="E83" s="463" t="e">
        <f t="shared" si="12"/>
        <v>#DIV/0!</v>
      </c>
      <c r="F83" s="463">
        <f t="shared" si="12"/>
        <v>0.32556146807413078</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18" activePane="bottomLeft" state="frozen"/>
      <selection activeCell="A38" sqref="A38:H38"/>
      <selection pane="bottomLeft" activeCell="C127" sqref="C12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7451206</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7451206</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8466</v>
      </c>
      <c r="D65" s="1573">
        <v>978</v>
      </c>
      <c r="E65" s="1573"/>
      <c r="F65" s="1574">
        <v>3768</v>
      </c>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8466</v>
      </c>
      <c r="D67" s="1594">
        <f t="shared" ref="D67:K67" si="2">SUM(D65:D66)</f>
        <v>978</v>
      </c>
      <c r="E67" s="1594">
        <f t="shared" si="2"/>
        <v>0</v>
      </c>
      <c r="F67" s="1594">
        <f t="shared" si="2"/>
        <v>3768</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3567</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3567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22219</v>
      </c>
      <c r="D99" s="1573">
        <v>13619</v>
      </c>
      <c r="E99" s="1573"/>
      <c r="F99" s="1573">
        <v>5845</v>
      </c>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v>673221</v>
      </c>
      <c r="E104" s="1586"/>
      <c r="F104" s="1574">
        <v>3695366</v>
      </c>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7767</v>
      </c>
      <c r="D107" s="1573"/>
      <c r="E107" s="1573"/>
      <c r="F107" s="1573"/>
      <c r="G107" s="1573"/>
      <c r="H107" s="1573"/>
      <c r="I107" s="1573"/>
      <c r="J107" s="1574"/>
      <c r="K107" s="1573"/>
    </row>
    <row r="108" spans="1:12" ht="12.75" customHeight="1" thickBot="1" x14ac:dyDescent="0.25">
      <c r="A108" s="1406" t="s">
        <v>484</v>
      </c>
      <c r="B108" s="1408"/>
      <c r="C108" s="1633">
        <f>SUM(C95:C107)</f>
        <v>29986</v>
      </c>
      <c r="D108" s="1633">
        <f t="shared" ref="D108:K108" si="3">SUM(D95:D107)</f>
        <v>686840</v>
      </c>
      <c r="E108" s="1633">
        <f t="shared" si="3"/>
        <v>0</v>
      </c>
      <c r="F108" s="1633">
        <f t="shared" si="3"/>
        <v>3701211</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7493225</v>
      </c>
      <c r="D109" s="1641">
        <f t="shared" si="4"/>
        <v>687818</v>
      </c>
      <c r="E109" s="1641">
        <f t="shared" si="4"/>
        <v>0</v>
      </c>
      <c r="F109" s="1641">
        <f t="shared" si="4"/>
        <v>3704979</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v>767627</v>
      </c>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767627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767627</v>
      </c>
      <c r="D169" s="1658">
        <f t="shared" si="6"/>
        <v>50000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767627</v>
      </c>
      <c r="D170" s="1641">
        <f t="shared" si="7"/>
        <v>50000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12378</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588970</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601348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21936</v>
      </c>
      <c r="D263" s="1651"/>
      <c r="E263" s="1575"/>
      <c r="F263" s="1651"/>
      <c r="G263" s="1651"/>
      <c r="H263" s="1575"/>
      <c r="I263" s="1575"/>
      <c r="J263" s="1575"/>
      <c r="K263" s="1575"/>
    </row>
    <row r="264" spans="1:11" ht="12.75" customHeight="1" thickTop="1" thickBot="1" x14ac:dyDescent="0.25">
      <c r="A264" s="427" t="s">
        <v>374</v>
      </c>
      <c r="B264" s="429">
        <v>4992</v>
      </c>
      <c r="C264" s="1650">
        <v>1058</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624342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624342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8885194</v>
      </c>
      <c r="D268" s="1641">
        <f t="shared" si="12"/>
        <v>737818</v>
      </c>
      <c r="E268" s="1641">
        <f t="shared" si="12"/>
        <v>0</v>
      </c>
      <c r="F268" s="1641">
        <f t="shared" si="12"/>
        <v>3704979</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3" activePane="bottomLeft" state="frozen"/>
      <selection activeCell="A38" sqref="A38:H38"/>
      <selection pane="bottomLeft" activeCell="A38" sqref="A38:H3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2846724</v>
      </c>
      <c r="D8" s="1573">
        <v>911082</v>
      </c>
      <c r="E8" s="1573">
        <v>178278</v>
      </c>
      <c r="F8" s="1573">
        <v>53553</v>
      </c>
      <c r="G8" s="1573">
        <v>6679</v>
      </c>
      <c r="H8" s="1573">
        <v>195</v>
      </c>
      <c r="I8" s="1574"/>
      <c r="J8" s="1574"/>
      <c r="K8" s="1672">
        <f t="shared" si="0"/>
        <v>3996511</v>
      </c>
      <c r="L8" s="1573">
        <v>4551651</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v>151239</v>
      </c>
      <c r="D15" s="1573">
        <v>16397</v>
      </c>
      <c r="E15" s="1573">
        <v>45827</v>
      </c>
      <c r="F15" s="1573">
        <v>145</v>
      </c>
      <c r="G15" s="1573"/>
      <c r="H15" s="1573"/>
      <c r="I15" s="1574"/>
      <c r="J15" s="1574"/>
      <c r="K15" s="1672">
        <f t="shared" si="0"/>
        <v>213608</v>
      </c>
      <c r="L15" s="1573">
        <v>298379</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2997963</v>
      </c>
      <c r="D33" s="1674">
        <f t="shared" ref="D33:L33" si="1">SUM(D5:D32)</f>
        <v>927479</v>
      </c>
      <c r="E33" s="1674">
        <f t="shared" si="1"/>
        <v>224105</v>
      </c>
      <c r="F33" s="1674">
        <f t="shared" si="1"/>
        <v>53698</v>
      </c>
      <c r="G33" s="1674">
        <f t="shared" si="1"/>
        <v>6679</v>
      </c>
      <c r="H33" s="1674">
        <f t="shared" si="1"/>
        <v>195</v>
      </c>
      <c r="I33" s="1674">
        <f t="shared" si="1"/>
        <v>0</v>
      </c>
      <c r="J33" s="1674">
        <f t="shared" si="1"/>
        <v>0</v>
      </c>
      <c r="K33" s="1674">
        <f t="shared" si="1"/>
        <v>4210119</v>
      </c>
      <c r="L33" s="1674">
        <f t="shared" si="1"/>
        <v>4850030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363061</v>
      </c>
      <c r="D36" s="1586">
        <v>87154</v>
      </c>
      <c r="E36" s="1586">
        <v>809</v>
      </c>
      <c r="F36" s="1586">
        <v>338</v>
      </c>
      <c r="G36" s="1586"/>
      <c r="H36" s="1586"/>
      <c r="I36" s="1574"/>
      <c r="J36" s="1574"/>
      <c r="K36" s="1672">
        <f t="shared" ref="K36:K41" si="2">SUM(C36:J36)</f>
        <v>451362</v>
      </c>
      <c r="L36" s="1573">
        <v>474756</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327069</v>
      </c>
      <c r="D38" s="1573">
        <v>61330</v>
      </c>
      <c r="E38" s="1573">
        <v>48621</v>
      </c>
      <c r="F38" s="1573">
        <v>708</v>
      </c>
      <c r="G38" s="1573"/>
      <c r="H38" s="1573"/>
      <c r="I38" s="1574"/>
      <c r="J38" s="1574"/>
      <c r="K38" s="1672">
        <f t="shared" si="2"/>
        <v>437728</v>
      </c>
      <c r="L38" s="1573">
        <v>492541</v>
      </c>
    </row>
    <row r="39" spans="1:14" x14ac:dyDescent="0.2">
      <c r="A39" s="1274" t="s">
        <v>197</v>
      </c>
      <c r="B39" s="503">
        <v>2140</v>
      </c>
      <c r="C39" s="1573">
        <v>56895</v>
      </c>
      <c r="D39" s="1573">
        <v>21012</v>
      </c>
      <c r="E39" s="1573">
        <v>736</v>
      </c>
      <c r="F39" s="1573">
        <v>121</v>
      </c>
      <c r="G39" s="1573"/>
      <c r="H39" s="1573"/>
      <c r="I39" s="1574"/>
      <c r="J39" s="1574"/>
      <c r="K39" s="1672">
        <f t="shared" si="2"/>
        <v>78764</v>
      </c>
      <c r="L39" s="1573">
        <v>79278</v>
      </c>
    </row>
    <row r="40" spans="1:14" x14ac:dyDescent="0.2">
      <c r="A40" s="1274" t="s">
        <v>198</v>
      </c>
      <c r="B40" s="503">
        <v>2150</v>
      </c>
      <c r="C40" s="1573">
        <v>498189</v>
      </c>
      <c r="D40" s="1573">
        <v>97917</v>
      </c>
      <c r="E40" s="1573">
        <v>1332</v>
      </c>
      <c r="F40" s="1573">
        <v>1299</v>
      </c>
      <c r="G40" s="1573"/>
      <c r="H40" s="1573">
        <v>1111</v>
      </c>
      <c r="I40" s="1574"/>
      <c r="J40" s="1574"/>
      <c r="K40" s="1672">
        <f t="shared" si="2"/>
        <v>599848</v>
      </c>
      <c r="L40" s="1573">
        <v>554752</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1245214</v>
      </c>
      <c r="D42" s="1674">
        <f t="shared" ref="D42:L42" si="3">SUM(D36:D41)</f>
        <v>267413</v>
      </c>
      <c r="E42" s="1674">
        <f t="shared" si="3"/>
        <v>51498</v>
      </c>
      <c r="F42" s="1674">
        <f t="shared" si="3"/>
        <v>2466</v>
      </c>
      <c r="G42" s="1674">
        <f t="shared" si="3"/>
        <v>0</v>
      </c>
      <c r="H42" s="1674">
        <f t="shared" si="3"/>
        <v>1111</v>
      </c>
      <c r="I42" s="1674">
        <f t="shared" si="3"/>
        <v>0</v>
      </c>
      <c r="J42" s="1674">
        <f t="shared" si="3"/>
        <v>0</v>
      </c>
      <c r="K42" s="1674">
        <f t="shared" si="3"/>
        <v>1567702</v>
      </c>
      <c r="L42" s="1674">
        <f t="shared" si="3"/>
        <v>1601327</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v>500</v>
      </c>
    </row>
    <row r="45" spans="1:14" x14ac:dyDescent="0.2">
      <c r="A45" s="1274" t="s">
        <v>810</v>
      </c>
      <c r="B45" s="503">
        <v>2220</v>
      </c>
      <c r="C45" s="1573">
        <v>70269</v>
      </c>
      <c r="D45" s="1573">
        <v>18637</v>
      </c>
      <c r="E45" s="1573">
        <v>29692</v>
      </c>
      <c r="F45" s="1573">
        <v>7889</v>
      </c>
      <c r="G45" s="1573">
        <v>64113</v>
      </c>
      <c r="H45" s="1573"/>
      <c r="I45" s="1574"/>
      <c r="J45" s="1574"/>
      <c r="K45" s="1678">
        <f>SUM(C45:J45)</f>
        <v>190600</v>
      </c>
      <c r="L45" s="1573">
        <v>170318</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70269</v>
      </c>
      <c r="D47" s="1674">
        <f t="shared" ref="D47:K47" si="4">SUM(D44:D46)</f>
        <v>18637</v>
      </c>
      <c r="E47" s="1674">
        <f t="shared" si="4"/>
        <v>29692</v>
      </c>
      <c r="F47" s="1674">
        <f t="shared" si="4"/>
        <v>7889</v>
      </c>
      <c r="G47" s="1674">
        <f t="shared" si="4"/>
        <v>64113</v>
      </c>
      <c r="H47" s="1674">
        <f t="shared" si="4"/>
        <v>0</v>
      </c>
      <c r="I47" s="1674">
        <f t="shared" si="4"/>
        <v>0</v>
      </c>
      <c r="J47" s="1674">
        <f t="shared" si="4"/>
        <v>0</v>
      </c>
      <c r="K47" s="1674">
        <f t="shared" si="4"/>
        <v>190600</v>
      </c>
      <c r="L47" s="1674">
        <f>SUM(L44:L46)</f>
        <v>170818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v>271058</v>
      </c>
      <c r="D50" s="1573">
        <v>94693</v>
      </c>
      <c r="E50" s="1573">
        <v>398507</v>
      </c>
      <c r="F50" s="1573">
        <v>33108</v>
      </c>
      <c r="G50" s="1573">
        <v>878</v>
      </c>
      <c r="H50" s="1573">
        <v>2233</v>
      </c>
      <c r="I50" s="1574"/>
      <c r="J50" s="1574"/>
      <c r="K50" s="1678">
        <f>SUM(C50:J50)</f>
        <v>800477</v>
      </c>
      <c r="L50" s="1573">
        <v>729691</v>
      </c>
    </row>
    <row r="51" spans="1:14" x14ac:dyDescent="0.2">
      <c r="A51" s="1274" t="s">
        <v>42</v>
      </c>
      <c r="B51" s="503">
        <v>2330</v>
      </c>
      <c r="C51" s="1573">
        <v>139037</v>
      </c>
      <c r="D51" s="1573">
        <v>37727</v>
      </c>
      <c r="E51" s="1573">
        <v>1022</v>
      </c>
      <c r="F51" s="1573">
        <v>782</v>
      </c>
      <c r="G51" s="1573"/>
      <c r="H51" s="1573"/>
      <c r="I51" s="1574"/>
      <c r="J51" s="1574"/>
      <c r="K51" s="1678">
        <f>SUM(C51:J51)</f>
        <v>178568</v>
      </c>
      <c r="L51" s="1573">
        <v>110638</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410095</v>
      </c>
      <c r="D53" s="1674">
        <f t="shared" ref="D53:L53" si="5">SUM(D49:D52)</f>
        <v>132420</v>
      </c>
      <c r="E53" s="1674">
        <f t="shared" si="5"/>
        <v>399529</v>
      </c>
      <c r="F53" s="1674">
        <f t="shared" si="5"/>
        <v>33890</v>
      </c>
      <c r="G53" s="1674">
        <f t="shared" si="5"/>
        <v>878</v>
      </c>
      <c r="H53" s="1674">
        <f t="shared" si="5"/>
        <v>2233</v>
      </c>
      <c r="I53" s="1674">
        <f t="shared" si="5"/>
        <v>0</v>
      </c>
      <c r="J53" s="1674">
        <f t="shared" si="5"/>
        <v>0</v>
      </c>
      <c r="K53" s="1674">
        <f t="shared" si="5"/>
        <v>979045</v>
      </c>
      <c r="L53" s="1674">
        <f t="shared" si="5"/>
        <v>840329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267455</v>
      </c>
      <c r="D55" s="1586">
        <v>75307</v>
      </c>
      <c r="E55" s="1586">
        <v>2794</v>
      </c>
      <c r="F55" s="1586">
        <v>2811</v>
      </c>
      <c r="G55" s="1586"/>
      <c r="H55" s="1586"/>
      <c r="I55" s="1574"/>
      <c r="J55" s="1574"/>
      <c r="K55" s="1678">
        <f>SUM(C55:J55)</f>
        <v>348367</v>
      </c>
      <c r="L55" s="1586">
        <v>319978</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267455</v>
      </c>
      <c r="D57" s="1679">
        <f t="shared" ref="D57:K57" si="6">SUM(D55:D56)</f>
        <v>75307</v>
      </c>
      <c r="E57" s="1679">
        <f t="shared" si="6"/>
        <v>2794</v>
      </c>
      <c r="F57" s="1679">
        <f t="shared" si="6"/>
        <v>2811</v>
      </c>
      <c r="G57" s="1679">
        <f t="shared" si="6"/>
        <v>0</v>
      </c>
      <c r="H57" s="1679">
        <f t="shared" si="6"/>
        <v>0</v>
      </c>
      <c r="I57" s="1679">
        <f t="shared" si="6"/>
        <v>0</v>
      </c>
      <c r="J57" s="1679">
        <f t="shared" si="6"/>
        <v>0</v>
      </c>
      <c r="K57" s="1679">
        <f t="shared" si="6"/>
        <v>348367</v>
      </c>
      <c r="L57" s="1674">
        <f>SUM(L55:L56)</f>
        <v>319978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113494</v>
      </c>
      <c r="D60" s="1573">
        <v>33261</v>
      </c>
      <c r="E60" s="1573">
        <v>18341</v>
      </c>
      <c r="F60" s="1573">
        <v>4331</v>
      </c>
      <c r="G60" s="1573"/>
      <c r="H60" s="1573"/>
      <c r="I60" s="1574"/>
      <c r="J60" s="1574"/>
      <c r="K60" s="1678">
        <f t="shared" si="7"/>
        <v>169427</v>
      </c>
      <c r="L60" s="1573">
        <v>202717</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v>262593</v>
      </c>
      <c r="D62" s="1573">
        <v>165937</v>
      </c>
      <c r="E62" s="1573"/>
      <c r="F62" s="1573"/>
      <c r="G62" s="1573"/>
      <c r="H62" s="1573"/>
      <c r="I62" s="1574"/>
      <c r="J62" s="1574"/>
      <c r="K62" s="1678">
        <f t="shared" si="7"/>
        <v>428530</v>
      </c>
      <c r="L62" s="1573">
        <v>382271</v>
      </c>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376087</v>
      </c>
      <c r="D65" s="1674">
        <f t="shared" ref="D65:L65" si="8">SUM(D59:D64)</f>
        <v>199198</v>
      </c>
      <c r="E65" s="1674">
        <f t="shared" si="8"/>
        <v>18341</v>
      </c>
      <c r="F65" s="1674">
        <f t="shared" si="8"/>
        <v>4331</v>
      </c>
      <c r="G65" s="1674">
        <f t="shared" si="8"/>
        <v>0</v>
      </c>
      <c r="H65" s="1674">
        <f t="shared" si="8"/>
        <v>0</v>
      </c>
      <c r="I65" s="1674">
        <f t="shared" si="8"/>
        <v>0</v>
      </c>
      <c r="J65" s="1674">
        <f t="shared" si="8"/>
        <v>0</v>
      </c>
      <c r="K65" s="1674">
        <f t="shared" si="8"/>
        <v>597957</v>
      </c>
      <c r="L65" s="1674">
        <f t="shared" si="8"/>
        <v>584988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2369120</v>
      </c>
      <c r="D74" s="1681">
        <f t="shared" ref="D74:K74" si="10">SUM(D42,D47,D53,D57,D65,D72,D73)</f>
        <v>692975</v>
      </c>
      <c r="E74" s="1681">
        <f t="shared" si="10"/>
        <v>501854</v>
      </c>
      <c r="F74" s="1681">
        <f t="shared" si="10"/>
        <v>51387</v>
      </c>
      <c r="G74" s="1681">
        <f t="shared" si="10"/>
        <v>64991</v>
      </c>
      <c r="H74" s="1681">
        <f t="shared" si="10"/>
        <v>3344</v>
      </c>
      <c r="I74" s="1681">
        <f t="shared" si="10"/>
        <v>0</v>
      </c>
      <c r="J74" s="1681">
        <f t="shared" si="10"/>
        <v>0</v>
      </c>
      <c r="K74" s="1681">
        <f t="shared" si="10"/>
        <v>3683671</v>
      </c>
      <c r="L74" s="1681">
        <f>SUM(L42,L47,L53,L57,L65,L72,L73)</f>
        <v>3517440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v>1406504</v>
      </c>
      <c r="I83" s="1582"/>
      <c r="J83" s="1582"/>
      <c r="K83" s="1672">
        <f t="shared" si="11"/>
        <v>1406504</v>
      </c>
      <c r="L83" s="1573">
        <v>1825822</v>
      </c>
    </row>
    <row r="84" spans="1:12" ht="13.5" thickBot="1" x14ac:dyDescent="0.25">
      <c r="A84" s="1380" t="s">
        <v>1468</v>
      </c>
      <c r="B84" s="1385">
        <v>4100</v>
      </c>
      <c r="C84" s="1673"/>
      <c r="D84" s="1673"/>
      <c r="E84" s="1674">
        <f>SUM(E78:E83)</f>
        <v>0</v>
      </c>
      <c r="F84" s="1673"/>
      <c r="G84" s="1673"/>
      <c r="H84" s="1674">
        <f>SUM(H78:H83)</f>
        <v>1406504</v>
      </c>
      <c r="I84" s="1582"/>
      <c r="J84" s="1582"/>
      <c r="K84" s="1674">
        <f>SUM(K78:K83)</f>
        <v>1406504</v>
      </c>
      <c r="L84" s="1674">
        <f>SUM(L78:L83)</f>
        <v>1825822</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1406504</v>
      </c>
      <c r="I102" s="1582"/>
      <c r="J102" s="1582"/>
      <c r="K102" s="1681">
        <f>SUM(K84,K92,K100,K101)</f>
        <v>1406504</v>
      </c>
      <c r="L102" s="1681">
        <f>SUM(L84,L92,L100,L101)</f>
        <v>1825822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5367083</v>
      </c>
      <c r="D114" s="1674">
        <f t="shared" ref="D114:K114" si="13">SUM(D33,D74,D75,D102,D112,D113)</f>
        <v>1620454</v>
      </c>
      <c r="E114" s="1674">
        <f t="shared" si="13"/>
        <v>725959</v>
      </c>
      <c r="F114" s="1674">
        <f t="shared" si="13"/>
        <v>105085</v>
      </c>
      <c r="G114" s="1674">
        <f t="shared" si="13"/>
        <v>71670</v>
      </c>
      <c r="H114" s="1674">
        <f>SUM(H33,H74,H75,H102,H112,H113)</f>
        <v>1410043</v>
      </c>
      <c r="I114" s="1674">
        <f t="shared" si="13"/>
        <v>0</v>
      </c>
      <c r="J114" s="1674">
        <f t="shared" si="13"/>
        <v>0</v>
      </c>
      <c r="K114" s="1674">
        <f t="shared" si="13"/>
        <v>9300294</v>
      </c>
      <c r="L114" s="1674">
        <f>SUM(L33,L74,L75,L102,L112,L113)</f>
        <v>10193292</v>
      </c>
    </row>
    <row r="115" spans="1:14" ht="13.5" thickTop="1" x14ac:dyDescent="0.2">
      <c r="A115" s="2261" t="s">
        <v>989</v>
      </c>
      <c r="B115" s="2262"/>
      <c r="C115" s="1675"/>
      <c r="D115" s="1675"/>
      <c r="E115" s="1675"/>
      <c r="F115" s="1675"/>
      <c r="G115" s="1675"/>
      <c r="H115" s="1675"/>
      <c r="I115" s="1675"/>
      <c r="J115" s="1675"/>
      <c r="K115" s="1689">
        <f>'Revenues 9-14'!C268-'Expenditures 15-22'!K114</f>
        <v>-415100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337385</v>
      </c>
      <c r="F124" s="1573">
        <v>60570</v>
      </c>
      <c r="G124" s="1573"/>
      <c r="H124" s="1573"/>
      <c r="I124" s="1574"/>
      <c r="J124" s="1574"/>
      <c r="K124" s="1674">
        <f>SUM(C124:J124)</f>
        <v>397955</v>
      </c>
      <c r="L124" s="1573">
        <v>427750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337385</v>
      </c>
      <c r="F127" s="1674">
        <f t="shared" si="14"/>
        <v>60570</v>
      </c>
      <c r="G127" s="1674">
        <f t="shared" si="14"/>
        <v>0</v>
      </c>
      <c r="H127" s="1674">
        <f t="shared" si="14"/>
        <v>0</v>
      </c>
      <c r="I127" s="1674">
        <f t="shared" si="14"/>
        <v>0</v>
      </c>
      <c r="J127" s="1674">
        <f t="shared" si="14"/>
        <v>0</v>
      </c>
      <c r="K127" s="1674">
        <f t="shared" si="14"/>
        <v>397955</v>
      </c>
      <c r="L127" s="1674">
        <f t="shared" si="14"/>
        <v>427750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337385</v>
      </c>
      <c r="F129" s="1681">
        <f t="shared" si="15"/>
        <v>60570</v>
      </c>
      <c r="G129" s="1681">
        <f t="shared" si="15"/>
        <v>0</v>
      </c>
      <c r="H129" s="1681">
        <f t="shared" si="15"/>
        <v>0</v>
      </c>
      <c r="I129" s="1681">
        <f t="shared" si="15"/>
        <v>0</v>
      </c>
      <c r="J129" s="1681">
        <f t="shared" si="15"/>
        <v>0</v>
      </c>
      <c r="K129" s="1681">
        <f t="shared" si="15"/>
        <v>397955</v>
      </c>
      <c r="L129" s="1681">
        <f t="shared" si="15"/>
        <v>427750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v>8725</v>
      </c>
      <c r="I136" s="1582"/>
      <c r="J136" s="1673"/>
      <c r="K136" s="1678">
        <f>SUM(E136,H136)</f>
        <v>8725</v>
      </c>
      <c r="L136" s="1573"/>
    </row>
    <row r="137" spans="1:14" ht="12.75" customHeight="1" thickBot="1" x14ac:dyDescent="0.25">
      <c r="A137" s="1380" t="s">
        <v>477</v>
      </c>
      <c r="B137" s="1385">
        <v>4100</v>
      </c>
      <c r="C137" s="1673"/>
      <c r="D137" s="1673"/>
      <c r="E137" s="1674">
        <f>SUM(E133:E136)</f>
        <v>0</v>
      </c>
      <c r="F137" s="1673"/>
      <c r="G137" s="1673"/>
      <c r="H137" s="1674">
        <f>SUM(H133:H136)</f>
        <v>8725</v>
      </c>
      <c r="I137" s="1582"/>
      <c r="J137" s="1673"/>
      <c r="K137" s="1674">
        <f>SUM(K133:K136)</f>
        <v>8725</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8725</v>
      </c>
      <c r="I139" s="1582"/>
      <c r="J139" s="1673"/>
      <c r="K139" s="1678">
        <f>SUM(K137,K138)</f>
        <v>8725</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0</v>
      </c>
      <c r="D151" s="1674">
        <f t="shared" ref="D151:K151" si="16">SUM(D129,D130,D139,D149,D150)</f>
        <v>0</v>
      </c>
      <c r="E151" s="1674">
        <f t="shared" si="16"/>
        <v>337385</v>
      </c>
      <c r="F151" s="1674">
        <f t="shared" si="16"/>
        <v>60570</v>
      </c>
      <c r="G151" s="1674">
        <f t="shared" si="16"/>
        <v>0</v>
      </c>
      <c r="H151" s="1674">
        <f t="shared" si="16"/>
        <v>8725</v>
      </c>
      <c r="I151" s="1674">
        <f t="shared" si="16"/>
        <v>0</v>
      </c>
      <c r="J151" s="1674">
        <f t="shared" si="16"/>
        <v>0</v>
      </c>
      <c r="K151" s="1674">
        <f t="shared" si="16"/>
        <v>406680</v>
      </c>
      <c r="L151" s="1674">
        <f>SUM(L129,L130,L139,L149,L150)</f>
        <v>427750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331138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14575</v>
      </c>
      <c r="I169" s="1673"/>
      <c r="J169" s="1673"/>
      <c r="K169" s="1672">
        <f>SUM(C169:H169)</f>
        <v>14575</v>
      </c>
      <c r="L169" s="1695">
        <v>19250</v>
      </c>
    </row>
    <row r="170" spans="1:14" ht="33.75" customHeight="1" x14ac:dyDescent="0.2">
      <c r="A170" s="543" t="s">
        <v>1651</v>
      </c>
      <c r="B170" s="545" t="s">
        <v>31</v>
      </c>
      <c r="C170" s="1673"/>
      <c r="D170" s="1673"/>
      <c r="E170" s="1673"/>
      <c r="F170" s="1673"/>
      <c r="G170" s="1673"/>
      <c r="H170" s="1646">
        <v>170000</v>
      </c>
      <c r="I170" s="1673"/>
      <c r="J170" s="1673"/>
      <c r="K170" s="1672">
        <f>SUM(C170:J170)</f>
        <v>170000</v>
      </c>
      <c r="L170" s="1646">
        <v>170000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184575</v>
      </c>
      <c r="I172" s="1684"/>
      <c r="J172" s="1673"/>
      <c r="K172" s="1681">
        <f>SUM(K168,K169,K170,K171)</f>
        <v>184575</v>
      </c>
      <c r="L172" s="1681">
        <f>SUM(L168,L169,L170,L171)</f>
        <v>189250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184575</v>
      </c>
      <c r="I174" s="1684"/>
      <c r="J174" s="1673"/>
      <c r="K174" s="1681">
        <f>SUM(K160,K172,K173)</f>
        <v>184575</v>
      </c>
      <c r="L174" s="1681">
        <f>SUM(L160,L172,L173)</f>
        <v>189250</v>
      </c>
    </row>
    <row r="175" spans="1:14" ht="13.5" thickTop="1" x14ac:dyDescent="0.2">
      <c r="A175" s="2261" t="s">
        <v>989</v>
      </c>
      <c r="B175" s="2262"/>
      <c r="C175" s="1673"/>
      <c r="D175" s="1673"/>
      <c r="E175" s="1673"/>
      <c r="F175" s="1673"/>
      <c r="G175" s="1673"/>
      <c r="H175" s="1675"/>
      <c r="I175" s="1673"/>
      <c r="J175" s="1673"/>
      <c r="K175" s="1689">
        <f>'Revenues 9-14'!E268-'Expenditures 15-22'!K174</f>
        <v>-184575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1409502</v>
      </c>
      <c r="D182" s="1573">
        <v>642089</v>
      </c>
      <c r="E182" s="1573">
        <v>999822</v>
      </c>
      <c r="F182" s="1573">
        <v>147327</v>
      </c>
      <c r="G182" s="1573"/>
      <c r="H182" s="1573"/>
      <c r="I182" s="1574"/>
      <c r="J182" s="1574"/>
      <c r="K182" s="1672">
        <f>SUM(C182:J182)</f>
        <v>3198740</v>
      </c>
      <c r="L182" s="1573">
        <v>3597500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1409502</v>
      </c>
      <c r="D184" s="1681">
        <f t="shared" ref="D184:J184" si="17">SUM(D180,D182,D183)</f>
        <v>642089</v>
      </c>
      <c r="E184" s="1681">
        <f t="shared" si="17"/>
        <v>999822</v>
      </c>
      <c r="F184" s="1681">
        <f t="shared" si="17"/>
        <v>147327</v>
      </c>
      <c r="G184" s="1681">
        <f t="shared" si="17"/>
        <v>0</v>
      </c>
      <c r="H184" s="1681">
        <f t="shared" si="17"/>
        <v>0</v>
      </c>
      <c r="I184" s="1681">
        <f t="shared" si="17"/>
        <v>0</v>
      </c>
      <c r="J184" s="1681">
        <f t="shared" si="17"/>
        <v>0</v>
      </c>
      <c r="K184" s="1681">
        <f>SUM(K180,K182,K183)</f>
        <v>3198740</v>
      </c>
      <c r="L184" s="1681">
        <f>SUM(L180, L182:L183)</f>
        <v>3597500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v>318168</v>
      </c>
      <c r="I189" s="1582"/>
      <c r="J189" s="1673"/>
      <c r="K189" s="1672">
        <f t="shared" si="18"/>
        <v>318168</v>
      </c>
      <c r="L189" s="1573">
        <v>300000</v>
      </c>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318168</v>
      </c>
      <c r="I194" s="1582"/>
      <c r="J194" s="1673"/>
      <c r="K194" s="1674">
        <f>SUM(K188:K193)</f>
        <v>318168</v>
      </c>
      <c r="L194" s="1674">
        <f>SUM(L188:L193)</f>
        <v>300000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318168</v>
      </c>
      <c r="I196" s="1582"/>
      <c r="J196" s="1673"/>
      <c r="K196" s="1681">
        <f>SUM(K194,K195)</f>
        <v>318168</v>
      </c>
      <c r="L196" s="1681">
        <f>SUM(L194,L195)</f>
        <v>300000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1409502</v>
      </c>
      <c r="D210" s="1674">
        <f>SUM(D184,D185)</f>
        <v>642089</v>
      </c>
      <c r="E210" s="1674">
        <f>SUM(E184,E185,E196)</f>
        <v>999822</v>
      </c>
      <c r="F210" s="1674">
        <f>SUM(F184,F185)</f>
        <v>147327</v>
      </c>
      <c r="G210" s="1674">
        <f>SUM(G184,G185)</f>
        <v>0</v>
      </c>
      <c r="H210" s="1674">
        <f>SUM(H184,H185,H196,H208,H209)</f>
        <v>318168</v>
      </c>
      <c r="I210" s="1674">
        <f>SUM(I184,I185)</f>
        <v>0</v>
      </c>
      <c r="J210" s="1674">
        <f>SUM(J184,J185)</f>
        <v>0</v>
      </c>
      <c r="K210" s="1672">
        <f>SUM(K184,K185,K196,K208,K209)</f>
        <v>3516908</v>
      </c>
      <c r="L210" s="1674">
        <f>SUM(L184,L185,L196,L208,L209)</f>
        <v>3897500</v>
      </c>
    </row>
    <row r="211" spans="1:14" ht="13.5" thickTop="1" x14ac:dyDescent="0.2">
      <c r="A211" s="2261" t="s">
        <v>989</v>
      </c>
      <c r="B211" s="2262"/>
      <c r="C211" s="1675"/>
      <c r="D211" s="1675"/>
      <c r="E211" s="1675"/>
      <c r="F211" s="1675"/>
      <c r="G211" s="1675"/>
      <c r="H211" s="1675"/>
      <c r="I211" s="1673"/>
      <c r="J211" s="1673"/>
      <c r="K211" s="1689">
        <f>'Revenues 9-14'!F268-'Expenditures 15-22'!K210</f>
        <v>188071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1" t="s">
        <v>989</v>
      </c>
      <c r="B296" s="2262"/>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purl.org/dc/elements/1.1/"/>
    <ds:schemaRef ds:uri="http://schemas.microsoft.com/office/2006/documentManagement/types"/>
    <ds:schemaRef ds:uri="4d435f69-8686-490b-bd6d-b153bf22ab50"/>
    <ds:schemaRef ds:uri="6ce3111e-7420-4802-b50a-75d4e9a0b980"/>
    <ds:schemaRef ds:uri="http://purl.org/dc/dcmitype/"/>
    <ds:schemaRef ds:uri="http://schemas.microsoft.com/sharepoint/v3"/>
    <ds:schemaRef ds:uri="http://www.w3.org/XML/1998/namespace"/>
    <ds:schemaRef ds:uri="http://schemas.microsoft.com/office/2006/metadata/properties"/>
    <ds:schemaRef ds:uri="http://schemas.openxmlformats.org/package/2006/metadata/core-properties"/>
    <ds:schemaRef ds:uri="d21dc803-237d-4c68-8692-8d731fd29118"/>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2020-10-05T18:36:56Z</cp:lastPrinted>
  <dcterms:created xsi:type="dcterms:W3CDTF">2003-10-29T19:06:34Z</dcterms:created>
  <dcterms:modified xsi:type="dcterms:W3CDTF">2020-10-27T15:10:35Z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135</vt:lpwstr>
  </property>
  <property fmtid="{D5CDD505-2E9C-101B-9397-08002B2CF9AE}" pid="7" name="workpaperIndex">
    <vt:lpwstr/>
  </property>
</Properties>
</file>