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3E8D376-55C6-4066-82F9-EB094B1BFC82}"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SEFA'!$B$1:$M$45</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N59" i="184" l="1"/>
  <c r="N58" i="184"/>
  <c r="N57" i="184"/>
  <c r="N67" i="184"/>
  <c r="N66" i="184"/>
  <c r="N65" i="184"/>
  <c r="N64" i="184"/>
  <c r="N63" i="184"/>
  <c r="N62" i="184"/>
  <c r="N61" i="184"/>
  <c r="N60" i="184"/>
  <c r="E67" i="184" l="1"/>
  <c r="E66" i="184"/>
  <c r="E65" i="184"/>
  <c r="E64" i="184"/>
  <c r="E63" i="184"/>
  <c r="E62" i="184"/>
  <c r="E61" i="184"/>
  <c r="E60" i="184"/>
  <c r="E59" i="184"/>
  <c r="E58" i="184"/>
  <c r="E57" i="184"/>
  <c r="F15" i="184" l="1"/>
  <c r="F19" i="184" s="1"/>
  <c r="E17" i="184"/>
  <c r="E16" i="184"/>
  <c r="E15" i="184"/>
  <c r="E14" i="184"/>
  <c r="E13" i="184"/>
  <c r="E12" i="184"/>
  <c r="J7" i="184"/>
  <c r="L53" i="184" s="1"/>
  <c r="J6" i="184"/>
  <c r="L52" i="184" s="1"/>
  <c r="M68" i="184"/>
  <c r="L68" i="184"/>
  <c r="K68" i="184"/>
  <c r="G16" i="184" s="1"/>
  <c r="J68" i="184"/>
  <c r="G15" i="184" s="1"/>
  <c r="I68" i="184"/>
  <c r="G14" i="184" s="1"/>
  <c r="H68" i="184"/>
  <c r="G13" i="184" s="1"/>
  <c r="G68" i="184"/>
  <c r="G12" i="184" s="1"/>
  <c r="E68" i="184"/>
  <c r="K19" i="184"/>
  <c r="J19" i="184"/>
  <c r="I19" i="184"/>
  <c r="L18" i="184"/>
  <c r="H18" i="184"/>
  <c r="L17" i="184"/>
  <c r="G17" i="184"/>
  <c r="L16" i="184"/>
  <c r="L15" i="184"/>
  <c r="L14" i="184"/>
  <c r="L13" i="184"/>
  <c r="L12" i="184"/>
  <c r="L19" i="184" l="1"/>
  <c r="N68" i="184"/>
  <c r="H17" i="184"/>
  <c r="H16" i="184"/>
  <c r="H15" i="184"/>
  <c r="H14" i="184"/>
  <c r="E19" i="184"/>
  <c r="H13" i="184"/>
  <c r="G19" i="184"/>
  <c r="H12" i="184"/>
  <c r="H19" i="184" l="1"/>
  <c r="L20" i="184" s="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80" i="34"/>
  <c r="F76" i="34"/>
  <c r="F75" i="34"/>
  <c r="B3674" i="106" l="1"/>
  <c r="B3635" i="106"/>
  <c r="B7885" i="106"/>
  <c r="D7885" i="106" s="1"/>
  <c r="B7884" i="106"/>
  <c r="B7883" i="106"/>
  <c r="B7882" i="106"/>
  <c r="D7884" i="106"/>
  <c r="D7883" i="106"/>
  <c r="D7882" i="106"/>
  <c r="B11" i="7" l="1"/>
  <c r="D7836" i="106" l="1"/>
  <c r="D7817"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6" i="179" l="1"/>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1124" i="106" l="1"/>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B2031" i="106"/>
  <c r="D203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<sst xmlns="http://schemas.openxmlformats.org/spreadsheetml/2006/main" count="5189" uniqueCount="2097">
  <si>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</si>
  <si>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</si>
  <si>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</si>
  <si>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</si>
  <si>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</si>
  <si>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</si>
  <si>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</si>
  <si>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</si>
  <si>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</si>
  <si>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</si>
  <si>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</si>
  <si>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</si>
  <si>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</si>
  <si>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</si>
  <si>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</si>
  <si>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</si>
  <si>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</si>
  <si>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</si>
  <si>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</si>
  <si>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</si>
  <si>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</si>
  <si>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</si>
  <si>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</si>
  <si>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</si>
  <si>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</si>
  <si>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</si>
  <si>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</si>
  <si>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</si>
  <si>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</si>
  <si>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</si>
  <si>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</si>
  <si>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</si>
  <si>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</si>
  <si>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</si>
  <si>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</si>
  <si>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</si>
  <si>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</si>
  <si>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</si>
  <si>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</si>
  <si>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</si>
  <si>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</si>
  <si>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</si>
  <si>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</si>
  <si>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</si>
  <si>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</si>
  <si>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</si>
  <si>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</si>
  <si>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</si>
  <si>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</si>
  <si>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</si>
  <si>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</si>
  <si>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</si>
  <si>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</si>
  <si>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</si>
  <si>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</si>
  <si>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</si>
  <si>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</si>
  <si>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</si>
  <si>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</si>
  <si>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</si>
  <si>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</si>
  <si>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</si>
  <si>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</si>
  <si>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</si>
  <si>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</si>
  <si>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</si>
  <si>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</si>
  <si>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</si>
  <si>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</si>
  <si>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</si>
  <si>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</si>
  <si>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</si>
  <si>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</si>
  <si>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</si>
  <si>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</si>
  <si>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</si>
  <si>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</si>
  <si>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</si>
  <si>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</si>
  <si>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</si>
  <si>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</si>
  <si>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</si>
  <si>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</si>
  <si>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</si>
  <si>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</si>
  <si>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</si>
  <si>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</si>
  <si>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</si>
  <si>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</si>
  <si>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</si>
  <si>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</si>
  <si>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</si>
  <si>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</si>
  <si>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</si>
  <si>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</si>
  <si>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</si>
  <si>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</si>
  <si>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</si>
  <si>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</si>
  <si>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</si>
  <si>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</si>
  <si>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</si>
  <si>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</si>
  <si>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</si>
  <si>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</si>
  <si>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</si>
  <si>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</si>
  <si>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</si>
  <si>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</si>
  <si>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</si>
  <si>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</si>
  <si>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</si>
  <si>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</si>
  <si>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</si>
  <si>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</si>
  <si>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</si>
  <si>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</si>
  <si>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</si>
  <si>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</si>
  <si>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</si>
  <si>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</si>
  <si>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</si>
  <si>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</si>
  <si>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</si>
  <si>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</si>
  <si>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</si>
  <si>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</si>
  <si>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</si>
  <si>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</si>
  <si>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</si>
  <si>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</si>
  <si>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</si>
  <si>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</si>
  <si>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</si>
  <si>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</si>
  <si>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</si>
  <si>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</si>
  <si>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</si>
  <si>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</si>
  <si>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</si>
  <si>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</si>
  <si>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</si>
  <si>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</si>
  <si>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</si>
  <si>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</si>
  <si>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</si>
  <si>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</si>
  <si>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</si>
  <si>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</si>
  <si>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</si>
  <si>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</si>
  <si>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</si>
  <si>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</si>
  <si>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</si>
  <si>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</si>
  <si>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</si>
  <si>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</si>
  <si>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</si>
  <si>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</si>
  <si>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</si>
  <si>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</si>
  <si>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</si>
  <si>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</si>
  <si>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</si>
  <si>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</si>
  <si>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</si>
  <si>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</si>
  <si>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</si>
  <si>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</si>
  <si>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</si>
  <si>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</si>
  <si>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</si>
  <si>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</si>
  <si>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</si>
  <si>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</si>
  <si>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</si>
  <si>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</si>
  <si>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</si>
  <si>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</si>
  <si>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</si>
  <si>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</si>
  <si>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</si>
  <si>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</si>
  <si>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</si>
  <si>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</si>
  <si>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</si>
  <si>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</si>
  <si>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</si>
  <si>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</si>
  <si>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</si>
  <si>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</si>
  <si>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</si>
  <si>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</si>
  <si>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</si>
  <si>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</si>
  <si>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</si>
  <si>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</si>
  <si>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</si>
  <si>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</si>
  <si>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</si>
  <si>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</si>
  <si>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</si>
  <si>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</si>
  <si>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</si>
  <si>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</si>
  <si>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</si>
  <si>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</si>
  <si>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</si>
  <si>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</si>
  <si>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</si>
  <si>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</si>
  <si>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</si>
  <si>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</si>
  <si>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</si>
  <si>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</si>
  <si>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</si>
  <si>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</si>
  <si>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</si>
  <si>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</si>
  <si>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</si>
  <si>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</si>
  <si>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</si>
  <si>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</si>
  <si>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</si>
  <si>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</si>
  <si>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</si>
  <si>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</si>
  <si>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</si>
  <si>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</si>
  <si>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</si>
  <si>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</si>
  <si>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</si>
  <si>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</si>
  <si>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</si>
  <si>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</si>
  <si>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</si>
  <si>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</si>
  <si>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</si>
  <si>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</si>
  <si>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</si>
  <si>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</si>
  <si>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</si>
  <si>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</si>
  <si>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</si>
  <si>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</si>
  <si>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</si>
  <si>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</si>
  <si>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</si>
  <si>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</si>
  <si>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</si>
  <si>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</si>
  <si>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</si>
  <si>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</si>
  <si>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</si>
  <si>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</si>
  <si>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</si>
  <si>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</si>
  <si>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</si>
  <si>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</si>
  <si>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</si>
  <si>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</si>
  <si>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</si>
  <si>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</si>
  <si>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</si>
  <si>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</si>
  <si>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</si>
  <si>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</si>
  <si>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</si>
  <si>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</si>
  <si>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</si>
  <si>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</si>
  <si>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</si>
  <si>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</si>
  <si>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</si>
  <si>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</si>
  <si>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</si>
  <si>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</si>
  <si>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</si>
  <si>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</si>
  <si>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</si>
  <si>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</si>
  <si>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</si>
  <si>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</si>
  <si>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</si>
  <si>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</si>
  <si>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</si>
  <si>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</si>
  <si>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</si>
  <si>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</si>
  <si>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</si>
  <si>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</si>
  <si>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</si>
  <si>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</si>
  <si>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</si>
  <si>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</si>
  <si>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</si>
  <si>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</si>
  <si>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</si>
  <si>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</si>
  <si>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</si>
  <si>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</si>
  <si>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</si>
  <si>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</si>
  <si>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</si>
  <si>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</si>
  <si>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</si>
  <si>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</si>
  <si>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</si>
  <si>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</si>
  <si>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</si>
  <si>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</si>
  <si>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</si>
  <si>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</si>
  <si>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</si>
  <si>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</si>
  <si>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</si>
  <si>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</si>
  <si>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</si>
  <si>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</si>
  <si>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</si>
  <si>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</si>
  <si>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</si>
  <si>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</si>
  <si>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</si>
  <si>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</si>
  <si>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</si>
  <si>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</si>
  <si>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</si>
  <si>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</si>
  <si>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</si>
  <si>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</si>
  <si>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</si>
  <si>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</si>
  <si>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</si>
  <si>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</si>
  <si>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</si>
  <si>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</si>
  <si>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</si>
  <si>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</si>
  <si>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</si>
  <si>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</si>
  <si>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</si>
  <si>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</si>
  <si>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</si>
  <si>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</si>
  <si>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</si>
  <si>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</si>
  <si>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</si>
  <si>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</si>
  <si>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</si>
  <si>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</si>
  <si>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</si>
  <si>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</si>
  <si>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</si>
  <si>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</si>
  <si>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</si>
  <si>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</si>
  <si>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</si>
  <si>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</si>
  <si>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</si>
  <si>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</si>
  <si>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</si>
  <si>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</si>
  <si>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</si>
  <si>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</si>
  <si>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</si>
  <si>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</si>
  <si>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</si>
  <si>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</si>
  <si>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</si>
  <si>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</si>
  <si>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</si>
  <si>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</si>
  <si>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</si>
  <si>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</si>
  <si>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</si>
  <si>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</si>
  <si>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</si>
  <si>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</si>
  <si>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</si>
  <si>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</si>
  <si>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</si>
  <si>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</si>
  <si>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</si>
  <si>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</si>
  <si>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</si>
  <si>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</si>
  <si>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</si>
  <si>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</si>
  <si>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</si>
  <si>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</si>
  <si>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</si>
  <si>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</si>
  <si>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</si>
  <si>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</si>
  <si>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</si>
  <si>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</si>
  <si>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</si>
  <si>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</si>
  <si>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</si>
  <si>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</si>
  <si>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</si>
  <si>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</si>
  <si>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</si>
  <si>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</si>
  <si>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</si>
  <si>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</si>
  <si>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</si>
  <si>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</si>
  <si>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</si>
  <si>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</si>
  <si>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</si>
  <si>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</si>
  <si>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</si>
  <si>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</si>
  <si>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</si>
  <si>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</si>
  <si>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</si>
  <si>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</si>
  <si>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</si>
  <si>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</si>
  <si>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</si>
  <si>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</si>
  <si>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</si>
  <si>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</si>
  <si>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</si>
  <si>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</si>
  <si>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</si>
  <si>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</si>
  <si>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</si>
  <si>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</si>
  <si>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</si>
  <si>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</si>
  <si>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</si>
  <si>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</si>
  <si>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</si>
  <si>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</si>
  <si>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</si>
  <si>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</si>
  <si>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</si>
  <si>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</si>
  <si>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</si>
  <si>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</si>
  <si>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</si>
  <si>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</si>
  <si>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</si>
  <si>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</si>
  <si>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</si>
  <si>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</si>
  <si>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</si>
  <si>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</si>
  <si>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</si>
  <si>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</si>
  <si>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</si>
  <si>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</si>
  <si>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</si>
  <si>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</si>
  <si>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</si>
  <si>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</si>
  <si>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</si>
  <si>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</si>
  <si>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</si>
  <si>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</si>
  <si>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</si>
  <si>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</si>
  <si>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</si>
  <si>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</si>
  <si>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</si>
  <si>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</si>
  <si>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</si>
  <si>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</si>
  <si>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</si>
  <si>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</si>
  <si>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</si>
  <si>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</si>
  <si>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</si>
  <si>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</si>
  <si>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</si>
  <si>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</si>
  <si>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</si>
  <si>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</si>
  <si>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</si>
  <si>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</si>
  <si>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</si>
  <si>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</si>
  <si>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</si>
  <si>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</si>
  <si>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</si>
  <si>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</si>
  <si>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</si>
  <si>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</si>
  <si>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</si>
  <si>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</si>
  <si>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</si>
  <si>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</si>
  <si>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</si>
  <si>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</si>
  <si>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</si>
  <si>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</si>
  <si>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</si>
  <si>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</si>
  <si>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</si>
  <si>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</si>
  <si>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</si>
  <si>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</si>
  <si>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</si>
  <si>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</si>
  <si>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</si>
  <si>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</si>
  <si>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</si>
  <si>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</si>
  <si>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</si>
  <si>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</si>
  <si>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</si>
  <si>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</si>
  <si>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</si>
  <si>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</si>
  <si>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</si>
  <si>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</si>
  <si>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</si>
  <si>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</si>
  <si>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</si>
  <si>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</si>
  <si>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</si>
  <si>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</si>
  <si>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</si>
  <si>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</si>
  <si>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</si>
  <si>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</si>
  <si>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</si>
  <si>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</si>
  <si>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</si>
  <si>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</si>
  <si>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</si>
  <si>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</si>
  <si>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</si>
  <si>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</si>
  <si>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</si>
  <si>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</si>
  <si>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</si>
  <si>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</si>
  <si>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</si>
  <si>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</si>
  <si>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</si>
  <si>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</si>
  <si>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</si>
  <si>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</si>
  <si>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</si>
  <si>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</si>
  <si>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</si>
  <si>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</si>
  <si>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</si>
  <si>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</si>
  <si>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</si>
  <si>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</si>
  <si>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</si>
  <si>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</si>
  <si>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</si>
  <si>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</si>
  <si>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</si>
  <si>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</si>
  <si>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</si>
  <si>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</si>
  <si>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</si>
  <si>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</si>
  <si>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</si>
  <si>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</si>
  <si>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</si>
  <si>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</si>
  <si>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</si>
  <si>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</si>
  <si>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</si>
  <si>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</si>
  <si>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</si>
  <si>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</si>
  <si>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</si>
  <si>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</si>
  <si>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</si>
  <si>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</si>
  <si>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</si>
  <si>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</si>
  <si>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</si>
  <si>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</si>
  <si>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</si>
  <si>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</si>
  <si>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</si>
  <si>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</si>
  <si>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</si>
  <si>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</si>
  <si>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</si>
  <si>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</si>
  <si>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</si>
  <si>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</si>
  <si>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</si>
  <si>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</si>
  <si>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</si>
  <si>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</si>
  <si>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</si>
  <si>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</si>
  <si>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</si>
  <si>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</si>
  <si>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</si>
  <si>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</si>
  <si>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</si>
  <si>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</si>
  <si>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</si>
  <si>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</si>
  <si>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</si>
  <si>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</si>
  <si>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</si>
  <si>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</si>
  <si>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</si>
  <si>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</si>
  <si>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</si>
  <si>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</si>
  <si>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</si>
  <si>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</si>
  <si>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</si>
  <si>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</si>
  <si>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</si>
  <si>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</si>
  <si>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</si>
  <si>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</si>
  <si>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</si>
  <si>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</si>
  <si>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</si>
  <si>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</si>
  <si>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</si>
  <si>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</si>
  <si>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</si>
  <si>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</si>
  <si>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</si>
  <si>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</si>
  <si>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</si>
  <si>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</si>
  <si>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</si>
  <si>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</si>
  <si>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</si>
  <si>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</si>
  <si>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</si>
  <si>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</si>
  <si>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</si>
  <si>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</si>
  <si>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</si>
  <si>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</si>
  <si>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</si>
  <si>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</si>
  <si>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</si>
  <si>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</si>
  <si>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</si>
  <si>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</si>
  <si>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</si>
  <si>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</si>
  <si>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</si>
  <si>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</si>
  <si>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</si>
  <si>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</si>
  <si>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</si>
  <si>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</si>
  <si>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</si>
  <si>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</si>
  <si>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</si>
  <si>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</si>
  <si>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</si>
  <si>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</si>
  <si>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</si>
  <si>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</si>
  <si>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</si>
  <si>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</si>
  <si>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</si>
  <si>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</si>
  <si>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</si>
  <si>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</si>
  <si>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</si>
  <si>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</si>
  <si>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</si>
  <si>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</si>
  <si>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</si>
  <si>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</si>
  <si>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</si>
  <si>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</si>
  <si>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</si>
  <si>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</si>
  <si>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</si>
  <si>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</si>
  <si>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</si>
  <si>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</si>
  <si>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</si>
  <si>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</si>
  <si>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</si>
  <si>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</si>
  <si>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</si>
  <si>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</si>
  <si>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</si>
  <si>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</si>
  <si>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</si>
  <si>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</si>
  <si>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</si>
  <si>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</si>
  <si>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</si>
  <si>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</si>
  <si>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</si>
  <si>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</si>
  <si>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</si>
  <si>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</si>
  <si>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</si>
  <si>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</si>
  <si>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</si>
  <si>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</si>
  <si>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</si>
  <si>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</si>
  <si>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</si>
  <si>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</si>
  <si>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</si>
  <si>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</si>
  <si>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</si>
  <si>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</si>
  <si>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</si>
  <si>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</si>
  <si>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</si>
  <si>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</si>
  <si>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</si>
  <si>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</si>
  <si>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</si>
  <si>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</si>
  <si>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</si>
  <si>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</si>
  <si>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</si>
  <si>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</si>
  <si>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</si>
  <si>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</si>
  <si>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</si>
  <si>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</si>
  <si>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</si>
  <si>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</si>
  <si>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</si>
  <si>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</si>
  <si>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</si>
  <si>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</si>
  <si>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</si>
  <si>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</si>
  <si>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</si>
  <si>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</si>
  <si>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</si>
  <si>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</si>
  <si>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</si>
  <si>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</si>
  <si>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</si>
  <si>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</si>
  <si>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</si>
  <si>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</si>
  <si>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</si>
  <si>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</si>
  <si>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</si>
  <si>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</si>
  <si>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</si>
  <si>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</si>
  <si>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</si>
  <si>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</si>
  <si>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</si>
  <si>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</si>
  <si>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</si>
  <si>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</si>
  <si>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</si>
  <si>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</si>
  <si>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</si>
  <si>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</si>
  <si>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</si>
  <si>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</si>
  <si>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</si>
  <si>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</si>
  <si>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</si>
  <si>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</si>
  <si>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</si>
  <si>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</si>
  <si>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</si>
  <si>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</si>
  <si>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</si>
  <si>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</si>
  <si>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</si>
  <si>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</si>
  <si>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</si>
  <si>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</si>
  <si>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</si>
  <si>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</si>
  <si>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</si>
  <si>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</si>
  <si>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</si>
  <si>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</si>
  <si>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</si>
  <si>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</si>
  <si>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</si>
  <si>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</si>
  <si>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</si>
  <si>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</si>
  <si>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</si>
  <si>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</si>
  <si>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</si>
  <si>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</si>
  <si>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</si>
  <si>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</si>
  <si>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</si>
  <si>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</si>
  <si>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</si>
  <si>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</si>
  <si>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</si>
  <si>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</si>
  <si>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</si>
  <si>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</si>
  <si>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</si>
  <si>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</si>
  <si>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</si>
  <si>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</si>
  <si>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</si>
  <si>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</si>
  <si>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</si>
  <si>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</si>
  <si>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</si>
  <si>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</si>
  <si>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</si>
  <si>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</si>
  <si>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</si>
  <si>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</si>
  <si>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</si>
  <si>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</si>
  <si>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</si>
  <si>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</si>
  <si>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</si>
  <si>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</si>
  <si>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</si>
  <si>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</si>
  <si>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</si>
  <si>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</si>
  <si>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</si>
  <si>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</si>
  <si>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</si>
  <si>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</si>
  <si>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</si>
  <si>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</si>
  <si>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</si>
  <si>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</si>
  <si>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</si>
  <si>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</si>
  <si>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</si>
  <si>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</si>
  <si>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</si>
  <si>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</si>
  <si>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</si>
  <si>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</si>
  <si>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</si>
  <si>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</si>
  <si>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</si>
  <si>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</si>
  <si>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</si>
  <si>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</si>
  <si>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</si>
  <si>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</si>
  <si>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</si>
  <si>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</si>
  <si>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</si>
  <si>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</si>
  <si>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</si>
  <si>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</si>
  <si>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</si>
  <si>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</si>
  <si>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</si>
  <si>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</si>
  <si>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</si>
  <si>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</si>
  <si>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</si>
  <si>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</si>
  <si>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</si>
  <si>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</si>
  <si>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</si>
  <si>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</si>
  <si>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</si>
  <si>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</si>
  <si>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</si>
  <si>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</si>
  <si>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</si>
  <si>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</si>
  <si>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</si>
  <si>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</si>
  <si>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</si>
  <si>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</si>
  <si>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</si>
  <si>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</si>
  <si>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</si>
  <si>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</si>
  <si>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</si>
  <si>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</si>
  <si>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</si>
  <si>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</si>
  <si>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</si>
  <si>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</si>
  <si>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</si>
  <si>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</si>
  <si>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</si>
  <si>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</si>
  <si>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</si>
  <si>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</si>
  <si>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</si>
  <si>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</si>
  <si>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</si>
  <si>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</si>
  <si>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</si>
  <si>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</si>
  <si>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</si>
  <si>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</si>
  <si>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</si>
  <si>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</si>
  <si>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</si>
  <si>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</si>
  <si>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</si>
  <si>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</si>
  <si>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</si>
  <si>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</si>
  <si>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</si>
  <si>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</si>
  <si>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</si>
  <si>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</si>
  <si>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</si>
  <si>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</si>
  <si>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</si>
  <si>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</si>
  <si>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</si>
  <si>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</si>
  <si>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</si>
  <si>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</si>
  <si>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</si>
  <si>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</si>
  <si>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</si>
  <si>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</si>
  <si>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</si>
  <si>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</si>
  <si>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</si>
  <si>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</si>
  <si>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</si>
  <si>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</si>
  <si>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</si>
  <si>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</si>
  <si>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</si>
  <si>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</si>
  <si>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</si>
  <si>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</si>
  <si>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</si>
  <si>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</si>
  <si>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</si>
  <si>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</si>
  <si>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</si>
  <si>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</si>
  <si>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</si>
  <si>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</si>
  <si>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</si>
  <si>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</si>
  <si>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</si>
  <si>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</si>
  <si>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</si>
  <si>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</si>
  <si>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</si>
  <si>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</si>
  <si>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</si>
  <si>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</si>
  <si>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</si>
  <si>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</si>
  <si>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</si>
  <si>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</si>
  <si>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</si>
  <si>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</si>
  <si>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</si>
  <si>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</si>
  <si>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</si>
  <si>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</si>
  <si>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</si>
  <si>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</si>
  <si>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</si>
  <si>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</si>
  <si>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</si>
  <si>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</si>
  <si>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</si>
  <si>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</si>
  <si>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</si>
  <si>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</si>
  <si>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</si>
  <si>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</si>
  <si>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</si>
  <si>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</si>
  <si>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</si>
  <si>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</si>
  <si>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</si>
  <si>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</si>
  <si>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</si>
  <si>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</si>
  <si>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</si>
  <si>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</si>
  <si>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</si>
  <si>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</si>
  <si>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</si>
  <si>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</si>
  <si>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</si>
  <si>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</si>
  <si>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</si>
  <si>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</si>
  <si>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</si>
  <si>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</si>
  <si>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</si>
  <si>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</si>
  <si>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</si>
  <si>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</si>
  <si>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</si>
  <si>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</si>
  <si>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</si>
  <si>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</si>
  <si>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</si>
  <si>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</si>
  <si>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</si>
  <si>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</si>
  <si>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</si>
  <si>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</si>
  <si>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</si>
  <si>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</si>
  <si>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</si>
  <si>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</si>
  <si>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</si>
  <si>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</si>
  <si>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</si>
  <si>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</si>
  <si>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</si>
  <si>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</si>
  <si>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</si>
  <si>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</si>
  <si>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</si>
  <si>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</si>
  <si>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</si>
  <si>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</si>
  <si>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</si>
  <si>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</si>
  <si>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</si>
  <si>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</si>
  <si>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</si>
  <si>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</si>
  <si>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</si>
  <si>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</si>
  <si>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</si>
  <si>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</si>
  <si>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</si>
  <si>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</si>
  <si>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</si>
  <si>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</si>
  <si>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</si>
  <si>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</si>
  <si>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</si>
  <si>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</si>
  <si>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</si>
  <si>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</si>
  <si>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</si>
  <si>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</si>
  <si>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</si>
  <si>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</si>
  <si>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</si>
  <si>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</si>
  <si>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</si>
  <si>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</si>
  <si>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</si>
  <si>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</si>
  <si>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</si>
  <si>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</si>
  <si>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</si>
  <si>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</si>
  <si>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</si>
  <si>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</si>
  <si>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</si>
  <si>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</si>
  <si>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</si>
  <si>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</si>
  <si>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</si>
  <si>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</si>
  <si>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</si>
  <si>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</si>
  <si>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</si>
  <si>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</si>
  <si>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</si>
  <si>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</si>
  <si>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</si>
  <si>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</si>
  <si>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</si>
  <si>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</si>
  <si>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</si>
  <si>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</si>
  <si>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</si>
  <si>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</si>
  <si>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</si>
  <si>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</si>
  <si>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</si>
  <si>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</si>
  <si>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</si>
  <si>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</si>
  <si>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</si>
  <si>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</si>
  <si>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</si>
  <si>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</si>
  <si>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</si>
  <si>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</si>
  <si>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</si>
  <si>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</si>
  <si>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</si>
  <si>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</si>
  <si>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</si>
  <si>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</si>
  <si>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</si>
  <si>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</si>
  <si>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</si>
  <si>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</si>
  <si>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</si>
  <si>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</si>
  <si>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</si>
  <si>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</si>
  <si>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</si>
  <si>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</si>
  <si>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</si>
  <si>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</si>
  <si>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</si>
  <si>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</si>
  <si>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</si>
  <si>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</si>
  <si>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</si>
  <si>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</si>
  <si>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</si>
  <si>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</si>
  <si>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</si>
  <si>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</si>
  <si>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</si>
  <si>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</si>
  <si>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</si>
  <si>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</si>
  <si>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</si>
  <si>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</si>
  <si>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</si>
  <si>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</si>
  <si>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</si>
  <si>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</si>
  <si>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</si>
  <si>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</si>
  <si>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</si>
  <si>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</si>
  <si>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</si>
  <si>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</si>
  <si>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</si>
  <si>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</si>
  <si>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</si>
  <si>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</si>
  <si>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</si>
  <si>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</si>
  <si>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</si>
  <si>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</si>
  <si>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</si>
  <si>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</si>
  <si>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</si>
  <si>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</si>
  <si>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</si>
  <si>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</si>
  <si>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</si>
  <si>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</si>
  <si>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</si>
  <si>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</si>
  <si>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</si>
  <si>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</si>
  <si>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</si>
  <si>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</si>
  <si>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</si>
  <si>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</si>
  <si>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</si>
  <si>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</si>
  <si>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</si>
  <si>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</si>
  <si>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</si>
  <si>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</si>
  <si>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</si>
  <si>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</si>
  <si>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</si>
  <si>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</si>
  <si>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</si>
  <si>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</si>
  <si>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</si>
  <si>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</si>
  <si>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</si>
  <si>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</si>
  <si>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</si>
  <si>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</si>
  <si>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</si>
  <si>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</si>
  <si>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</si>
  <si>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</si>
  <si>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</si>
  <si>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</si>
  <si>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</si>
  <si>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</si>
  <si>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</si>
  <si>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</si>
  <si>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</si>
  <si>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</si>
  <si>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</si>
  <si>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</si>
  <si>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</si>
  <si>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</si>
  <si>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</si>
  <si>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</si>
  <si>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</si>
  <si>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</si>
  <si>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</si>
  <si>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</si>
  <si>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</si>
  <si>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</si>
  <si>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</si>
  <si>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</si>
  <si>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</si>
  <si>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</si>
  <si>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</si>
  <si>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</si>
  <si>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</si>
  <si>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</si>
  <si>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</si>
  <si>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</si>
  <si>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</si>
  <si>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</si>
  <si>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</si>
  <si>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</si>
  <si>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</si>
  <si>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</si>
  <si>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</si>
  <si>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</si>
  <si>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</si>
  <si>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</si>
  <si>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</si>
  <si>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</si>
  <si>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</si>
  <si>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</si>
  <si>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</si>
  <si>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</si>
  <si>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</si>
  <si>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</si>
  <si>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</si>
  <si>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</si>
  <si>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</si>
  <si>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</si>
  <si>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</si>
  <si>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</si>
  <si>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</si>
  <si>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</si>
  <si>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</si>
  <si>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</si>
  <si>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</si>
  <si>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</si>
  <si>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</si>
  <si>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</si>
  <si>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</si>
  <si>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</si>
  <si>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</si>
  <si>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</si>
  <si>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</si>
  <si>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</si>
  <si>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</si>
  <si>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</si>
  <si>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</si>
  <si>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</si>
  <si>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</si>
  <si>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</si>
  <si>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</si>
  <si>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</si>
  <si>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</si>
  <si>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</si>
  <si>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</si>
  <si>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</si>
  <si>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</si>
  <si>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</si>
  <si>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</si>
  <si>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</si>
  <si>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</si>
  <si>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</si>
  <si>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</si>
  <si>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</si>
  <si>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</si>
  <si>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</si>
  <si>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</si>
  <si>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</si>
  <si>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</si>
  <si>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</si>
  <si>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</si>
  <si>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</si>
  <si>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</si>
  <si>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</si>
  <si>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</si>
  <si>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</si>
  <si>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</si>
  <si>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</si>
  <si>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</si>
  <si>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</si>
  <si>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</si>
  <si>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</si>
  <si>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</si>
  <si>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</si>
  <si>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</si>
  <si>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</si>
  <si>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</si>
  <si>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</si>
  <si>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</si>
  <si>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</si>
  <si>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</si>
  <si>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</si>
  <si>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</si>
  <si>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</si>
  <si>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</si>
  <si>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</si>
  <si>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</si>
  <si>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</si>
  <si>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</si>
  <si>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</si>
  <si>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</si>
  <si>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</si>
  <si>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</si>
  <si>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</si>
  <si>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</si>
  <si>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</si>
  <si>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</si>
  <si>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</si>
  <si>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</si>
  <si>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</si>
  <si>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</si>
  <si>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</si>
  <si>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</si>
  <si>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</si>
  <si>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</si>
  <si>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</si>
  <si>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</si>
  <si>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</si>
  <si>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</si>
  <si>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</si>
  <si>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</si>
  <si>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</si>
  <si>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</si>
  <si>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</si>
  <si>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</si>
  <si>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</si>
  <si>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</si>
  <si>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</si>
  <si>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</si>
  <si>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</si>
  <si>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</si>
  <si>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</si>
  <si>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</si>
  <si>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</si>
  <si>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</si>
  <si>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</si>
  <si>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</si>
  <si>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</si>
  <si>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</si>
  <si>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</si>
  <si>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</si>
  <si>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</si>
  <si>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</si>
  <si>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</si>
  <si>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</si>
  <si>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</si>
  <si>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</si>
  <si>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</si>
  <si>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</si>
  <si>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</si>
  <si>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</si>
  <si>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</si>
  <si>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</si>
  <si>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</si>
  <si>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</si>
  <si>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</si>
  <si>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</si>
  <si>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</si>
  <si>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</si>
  <si>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</si>
  <si>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</si>
  <si>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</si>
  <si>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</si>
  <si>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</si>
  <si>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</si>
  <si>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</si>
  <si>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</si>
  <si>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</si>
  <si>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</si>
  <si>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</si>
  <si>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</si>
  <si>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</si>
  <si>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</si>
  <si>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</si>
  <si>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</si>
  <si>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</si>
  <si>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</si>
  <si>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</si>
  <si>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</si>
  <si>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</si>
  <si>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</si>
  <si>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</si>
  <si>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</si>
  <si>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</si>
  <si>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</si>
  <si>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</si>
  <si>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</si>
  <si>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</si>
  <si>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</si>
  <si>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</si>
  <si>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</si>
  <si>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</si>
  <si>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</si>
  <si>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</si>
  <si>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</si>
  <si>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</si>
  <si>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</si>
  <si>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</si>
  <si>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</si>
  <si>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</si>
  <si>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</si>
  <si>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</si>
  <si>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</si>
  <si>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</si>
  <si>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</si>
  <si>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</si>
  <si>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</si>
  <si>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</si>
  <si>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</si>
  <si>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</si>
  <si>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</si>
  <si>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</si>
  <si>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</si>
  <si>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</si>
  <si>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</si>
  <si>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</si>
  <si>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</si>
  <si>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</si>
  <si>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</si>
  <si>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</si>
  <si>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</si>
  <si>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</si>
  <si>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</si>
  <si>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</si>
  <si>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</si>
  <si>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</si>
  <si>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</si>
  <si>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</si>
  <si>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</si>
  <si>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</si>
  <si>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</si>
  <si>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</si>
  <si>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</si>
  <si>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</si>
  <si>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</si>
  <si>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</si>
  <si>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</si>
  <si>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</si>
  <si>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</si>
  <si>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</si>
  <si>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</si>
  <si>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</si>
  <si>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</si>
  <si>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</si>
  <si>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</si>
  <si>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</si>
  <si>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</si>
  <si>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</si>
  <si>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</si>
  <si>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</si>
  <si>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</si>
  <si>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</si>
  <si>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</si>
  <si>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</si>
  <si>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</si>
  <si>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</si>
  <si>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</si>
  <si>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</si>
  <si>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</si>
  <si>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</si>
  <si>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</si>
  <si>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</si>
  <si>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</si>
  <si>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</si>
  <si>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</si>
  <si>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</si>
  <si>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</si>
  <si>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</si>
  <si>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</si>
  <si>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</si>
  <si>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</si>
  <si>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</si>
  <si>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</si>
  <si>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</si>
  <si>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</si>
  <si>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</si>
  <si>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</si>
  <si>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</si>
  <si>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</si>
  <si>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</si>
  <si>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</si>
  <si>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</si>
  <si>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</si>
  <si>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</si>
  <si>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</si>
  <si>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</si>
  <si>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</si>
  <si>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</si>
  <si>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</si>
  <si>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</si>
  <si>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</si>
  <si>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</si>
  <si>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</si>
  <si>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</si>
  <si>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</si>
  <si>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</si>
  <si>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</si>
  <si>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</si>
  <si>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</si>
  <si>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</si>
  <si>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</si>
  <si>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</si>
  <si>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</si>
  <si>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</si>
  <si>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</si>
  <si>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</si>
  <si>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</si>
  <si>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</si>
  <si>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</si>
  <si>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</si>
  <si>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</si>
  <si>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</si>
  <si>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</si>
  <si>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</si>
  <si>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</si>
  <si>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</si>
  <si>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</si>
  <si>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</si>
  <si>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</si>
  <si>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</si>
  <si>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</si>
  <si>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</si>
  <si>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</si>
  <si>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</si>
  <si>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</si>
  <si>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</si>
  <si>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</si>
  <si>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</si>
  <si>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</si>
  <si>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</si>
  <si>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</si>
  <si>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</si>
  <si>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</si>
  <si>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</si>
  <si>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</si>
  <si>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</si>
  <si>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</si>
  <si>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</si>
  <si>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</si>
  <si>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</si>
  <si>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</si>
  <si>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</si>
  <si>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</si>
  <si>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</si>
  <si>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</si>
  <si>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</si>
  <si>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</si>
  <si>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</si>
  <si>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</si>
  <si>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</si>
  <si>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</si>
  <si>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</si>
  <si>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</si>
  <si>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</si>
  <si>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</si>
  <si>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</si>
  <si>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</si>
  <si>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</si>
  <si>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</si>
  <si>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</si>
  <si>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</si>
  <si>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</si>
  <si>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</si>
  <si>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</si>
  <si>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</si>
  <si>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</si>
  <si>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</si>
  <si>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</si>
  <si>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</si>
  <si>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</si>
  <si>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</si>
  <si>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</si>
  <si>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</si>
  <si>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</si>
  <si>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</si>
  <si>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</si>
  <si>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</si>
  <si>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</si>
  <si>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</si>
  <si>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</si>
  <si>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</si>
  <si>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</si>
  <si>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</si>
  <si>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</si>
  <si>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</si>
  <si>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</si>
  <si>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</si>
  <si>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</si>
  <si>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</si>
  <si>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</si>
  <si>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</si>
  <si>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</si>
  <si>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</si>
  <si>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</si>
  <si>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</si>
  <si>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</si>
  <si>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</si>
  <si>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</si>
  <si>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</si>
  <si>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</si>
  <si>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</si>
  <si>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</si>
  <si>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</si>
  <si>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</si>
  <si>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</si>
  <si>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</si>
  <si>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</si>
  <si>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</si>
  <si>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</si>
  <si>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</si>
  <si>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</si>
  <si>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</si>
  <si>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</si>
  <si>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</si>
  <si>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</si>
  <si>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</si>
  <si>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</si>
  <si>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</si>
  <si>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</si>
  <si>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</si>
  <si>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</si>
  <si>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</si>
  <si>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</si>
  <si>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</si>
  <si>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</si>
  <si>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</si>
  <si>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</si>
  <si>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</si>
  <si>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</si>
  <si>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</si>
  <si>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</si>
  <si>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</si>
  <si>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</si>
  <si>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</si>
  <si>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</si>
  <si>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</si>
  <si>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</si>
  <si>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</si>
  <si>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</si>
  <si>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</si>
  <si>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</si>
  <si>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</si>
  <si>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</si>
  <si>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</si>
  <si>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</si>
  <si>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</si>
  <si>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</si>
  <si>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</si>
  <si>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</si>
  <si>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</si>
  <si>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</si>
  <si>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</si>
  <si>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</si>
  <si>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</si>
  <si>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</si>
  <si>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</si>
  <si>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</si>
  <si>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</si>
  <si>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</si>
  <si>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</si>
  <si>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</si>
  <si>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</si>
  <si>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</si>
  <si>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</si>
  <si>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</si>
  <si>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</si>
  <si>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</si>
  <si>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</si>
  <si>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</si>
  <si>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</si>
  <si>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</si>
  <si>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</si>
  <si>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</si>
  <si>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</si>
  <si>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</si>
  <si>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</si>
  <si>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</si>
  <si>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</si>
  <si>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</si>
  <si>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</si>
  <si>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</si>
  <si>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</si>
  <si>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</si>
  <si>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</si>
  <si>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</si>
  <si>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</si>
  <si>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</si>
  <si>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</si>
  <si>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</si>
  <si>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</si>
  <si>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</si>
  <si>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</si>
  <si>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</si>
  <si>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</si>
  <si>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</si>
  <si>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</si>
  <si>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</si>
  <si>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</si>
  <si>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</si>
  <si>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</si>
  <si>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</si>
  <si>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</si>
  <si>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</si>
  <si>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</si>
  <si>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</si>
  <si>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</si>
  <si>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</si>
  <si>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</si>
  <si>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</si>
  <si>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</si>
  <si>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</si>
  <si>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</si>
  <si>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</si>
  <si>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</si>
  <si>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</si>
  <si>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</si>
  <si>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</si>
  <si>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</si>
  <si>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</si>
  <si>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</si>
  <si>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</si>
  <si>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</si>
  <si>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</si>
  <si>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</si>
  <si>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</si>
  <si>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</si>
  <si>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</si>
  <si>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</si>
  <si>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</si>
  <si>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</si>
  <si>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</si>
  <si>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</si>
  <si>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</si>
  <si>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</si>
  <si>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</si>
  <si>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</si>
  <si>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</si>
  <si>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</si>
  <si>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</si>
  <si>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</si>
  <si>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</si>
  <si>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</si>
  <si>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</si>
  <si>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</si>
  <si>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</si>
  <si>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</si>
  <si>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</si>
  <si>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</si>
  <si>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</si>
  <si>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</si>
  <si>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</si>
  <si>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</si>
  <si>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</si>
  <si>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</si>
  <si>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</si>
  <si>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</si>
  <si>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</si>
  <si>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</si>
  <si>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</si>
  <si>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</si>
  <si>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</si>
  <si>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</si>
  <si>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</si>
  <si>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</si>
  <si>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</si>
  <si>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</si>
  <si>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</si>
  <si>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</si>
  <si>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</si>
  <si>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</si>
  <si>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</si>
  <si>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</si>
  <si>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</si>
  <si>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</si>
  <si>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</si>
  <si>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</si>
  <si>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</si>
  <si>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</si>
  <si>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</si>
  <si>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</si>
  <si>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</si>
  <si>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</si>
  <si>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</si>
  <si>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</si>
  <si>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</si>
  <si>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</si>
  <si>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</si>
  <si>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</si>
  <si>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</si>
  <si>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</si>
  <si>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</si>
  <si>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</si>
  <si>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</si>
  <si>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</si>
  <si>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</si>
  <si>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</si>
  <si>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</si>
  <si>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</si>
  <si>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</si>
  <si>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</si>
  <si>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</si>
  <si>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</si>
  <si>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</si>
  <si>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</si>
  <si>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</si>
  <si>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</si>
  <si>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</si>
  <si>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</si>
  <si>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</si>
  <si>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</si>
  <si>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</si>
  <si>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</si>
  <si>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</si>
  <si>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</si>
  <si>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</si>
  <si>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</si>
  <si>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</si>
  <si>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</si>
  <si>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</si>
  <si>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</si>
  <si>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</si>
  <si>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</si>
  <si>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</si>
  <si>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</si>
  <si>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</si>
  <si>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</si>
  <si>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</si>
  <si>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</si>
  <si>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</si>
  <si>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</si>
  <si>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</si>
  <si>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</si>
  <si>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</si>
  <si>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</si>
  <si>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</si>
  <si>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</si>
  <si>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</si>
  <si>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</si>
  <si>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</si>
  <si>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</si>
  <si>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</si>
  <si>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</si>
  <si>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</si>
  <si>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</si>
  <si>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</si>
  <si>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</si>
  <si>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</si>
  <si>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</si>
  <si>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</si>
  <si>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</si>
  <si>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</si>
  <si>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</si>
  <si>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</si>
  <si>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</si>
  <si>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</si>
  <si>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</si>
  <si>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</si>
  <si>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</si>
  <si>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</si>
  <si>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</si>
  <si>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</si>
  <si>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</si>
  <si>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</si>
  <si>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</si>
  <si>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</si>
  <si>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</si>
  <si>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</si>
  <si>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</si>
  <si>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</si>
  <si>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</si>
  <si>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</si>
  <si>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</si>
  <si>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</si>
  <si>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</si>
  <si>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</si>
  <si>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</si>
  <si>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</si>
  <si>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</si>
  <si>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</si>
  <si>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</si>
  <si>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</si>
  <si>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</si>
  <si>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</si>
  <si>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</si>
  <si>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</si>
  <si>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</si>
  <si>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</si>
  <si>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</si>
  <si>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</si>
  <si>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</si>
  <si>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</si>
  <si>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</si>
  <si>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</si>
  <si>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</si>
  <si>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</si>
  <si>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</si>
  <si>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</si>
  <si>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</si>
  <si>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</si>
  <si>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</si>
  <si>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</si>
  <si>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</si>
  <si>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</si>
  <si>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</si>
  <si>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</si>
  <si>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</si>
  <si>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</si>
  <si>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</si>
  <si>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</si>
  <si>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</si>
  <si>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</si>
  <si>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</si>
  <si>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</si>
  <si>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</si>
  <si>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</si>
  <si>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</si>
  <si>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</si>
  <si>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</si>
  <si>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</si>
  <si>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</si>
  <si>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</si>
  <si>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</si>
  <si>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</si>
  <si>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</si>
  <si>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</si>
  <si>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</si>
  <si>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</si>
  <si>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</si>
  <si>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</si>
  <si>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</si>
  <si>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</si>
  <si>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</si>
  <si>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</si>
  <si>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</si>
  <si>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</si>
  <si>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</si>
  <si>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</si>
  <si>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</si>
  <si>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</si>
  <si>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</si>
  <si>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</si>
  <si>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</si>
  <si>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</si>
  <si>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</si>
  <si>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</si>
  <si>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</si>
  <si>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</si>
  <si>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</si>
  <si>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</si>
  <si>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</si>
  <si>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</si>
  <si>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</si>
  <si>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</si>
  <si>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</si>
  <si>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</si>
  <si>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</si>
  <si>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</si>
  <si>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</si>
  <si>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</si>
  <si>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</si>
  <si>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</si>
  <si>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</si>
  <si>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</si>
  <si>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</si>
  <si>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</si>
  <si>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</si>
  <si>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</si>
  <si>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</si>
  <si>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</si>
  <si>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</si>
  <si>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</si>
  <si>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</si>
  <si>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</si>
  <si>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</si>
  <si>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</si>
  <si>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</si>
  <si>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</si>
  <si>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</si>
  <si>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</si>
  <si>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</si>
  <si>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</si>
  <si>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</si>
  <si>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</si>
  <si>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</si>
  <si>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</si>
  <si>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</si>
  <si>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</si>
  <si>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</si>
  <si>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</si>
  <si>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</si>
  <si>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</si>
  <si>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</si>
  <si>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</si>
  <si>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</si>
  <si>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</si>
  <si>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</si>
  <si>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</si>
  <si>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</si>
  <si>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</si>
  <si>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</si>
  <si>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</si>
  <si>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</si>
  <si>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</si>
  <si>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</si>
  <si>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</si>
  <si>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</si>
  <si>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</si>
  <si>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</si>
  <si>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</si>
  <si>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</si>
  <si>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</si>
  <si>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</si>
  <si>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</si>
  <si>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</si>
  <si>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</si>
  <si>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</si>
  <si>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</si>
  <si>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</si>
  <si>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</si>
  <si>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</si>
  <si>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</si>
  <si>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</si>
  <si>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</si>
  <si>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</si>
  <si>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</si>
  <si>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</si>
  <si>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</si>
  <si>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</si>
  <si>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</si>
  <si>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</si>
  <si>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</si>
  <si>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Mack &amp; Associates, P.C.</t>
  </si>
  <si>
    <t>x</t>
  </si>
  <si>
    <t>Will</t>
  </si>
  <si>
    <t>1215 Houbolt Road, H1019</t>
  </si>
  <si>
    <t>Joliet</t>
  </si>
  <si>
    <t>iflahive@jjc.edu</t>
  </si>
  <si>
    <t>Brian Gordon</t>
  </si>
  <si>
    <t>bgordon@jjc.edu</t>
  </si>
  <si>
    <t>815-280-2990</t>
  </si>
  <si>
    <t>N/A</t>
  </si>
  <si>
    <t>Tawnya Mack, CPA</t>
  </si>
  <si>
    <t>116 E. Washington Street, Suite One</t>
  </si>
  <si>
    <t>Morris</t>
  </si>
  <si>
    <t>IL</t>
  </si>
  <si>
    <t>815-942-3306</t>
  </si>
  <si>
    <t>815-942-9430</t>
  </si>
  <si>
    <t>066-005100</t>
  </si>
  <si>
    <t>tmack@mackcpas.com</t>
  </si>
  <si>
    <t>See PDF in Opinion Page with signature</t>
  </si>
  <si>
    <t>Page 11, Line 106 - Administrative assessments charged to participating districts</t>
  </si>
  <si>
    <t>US DEPARTMENT OF EDUCATION:</t>
  </si>
  <si>
    <t>PASSED THROUGH ILLINOIS BOARD OF EDUCATION</t>
  </si>
  <si>
    <t>4745-2020</t>
  </si>
  <si>
    <t>X</t>
  </si>
  <si>
    <t>Grundy Area Vocational Center</t>
  </si>
  <si>
    <t>Joliet Township HSD #204</t>
  </si>
  <si>
    <t>Lincoln-Way HSD #210</t>
  </si>
  <si>
    <t>Lockport HSD #205</t>
  </si>
  <si>
    <t>Plainfield HSD #202</t>
  </si>
  <si>
    <t>Valley View CUSD #365U</t>
  </si>
  <si>
    <t>WILCO</t>
  </si>
  <si>
    <t>84.084A</t>
  </si>
  <si>
    <t>Unmodified</t>
  </si>
  <si>
    <t>84.048A</t>
  </si>
  <si>
    <t>Career &amp; Technical Education - Perkins</t>
  </si>
  <si>
    <t>None</t>
  </si>
  <si>
    <t>ED - SUPPORT SERVICES - PURCHASED SERVICES</t>
  </si>
  <si>
    <t>MACK &amp; ASSOCIATES, P.C.</t>
  </si>
  <si>
    <t>JOLIET JUNIOR COLLEGE</t>
  </si>
  <si>
    <t>ARTHUR J GALLAGNER RMS</t>
  </si>
  <si>
    <t>SMITH, KOELLING, DYSKTRA &amp; OHM</t>
  </si>
  <si>
    <t>WESTFIELD INSURANCE</t>
  </si>
  <si>
    <t>Page 5, Line 12 - Educational - Bank reimbursement receivable</t>
  </si>
  <si>
    <t>Page 11, Line 107 - Educational - Miscellaneous receipts and reimbursements</t>
  </si>
  <si>
    <r>
      <t xml:space="preserve">The accompanying Schedule of Expenditures of Federal Awards includes the federal grant activity of Three Rivers Education for Employment System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</si>
  <si>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r>
      <t xml:space="preserve">Of the federal expenditures presented in the schedule, </t>
    </r>
    <r>
      <rPr>
        <b/>
        <sz val="9"/>
        <rFont val="Calibri"/>
        <family val="2"/>
        <scheme val="minor"/>
      </rPr>
      <t>Three Rivers Education for Employment System</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</si>
  <si>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Three Rivers Education for Employment System</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</si>
  <si>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CAREER &amp; TECHNICAL EDUCATION - PERKINS (M) 2020</t>
  </si>
  <si>
    <t>Three Rivers EFE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</si>
</sst>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2000</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2049</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2049</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56099711045</v>
      </c>
      <c r="B13" s="2101"/>
      <c r="C13" s="2101"/>
      <c r="D13" s="2101"/>
      <c r="E13" s="2101"/>
      <c r="F13" s="2101"/>
      <c r="G13" s="2101"/>
      <c r="H13" s="2102"/>
      <c r="I13" s="31"/>
      <c r="J13" s="30"/>
      <c r="K13" s="28"/>
      <c r="L13" s="30"/>
      <c r="M13" s="30"/>
      <c r="N13" s="30"/>
      <c r="O13" s="30"/>
      <c r="P13" s="30"/>
      <c r="Q13" s="30"/>
      <c r="R13" s="30"/>
      <c r="S13" s="30"/>
      <c r="T13" s="2106" t="s">
        <v>2048</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2050</v>
      </c>
      <c r="B15" s="2104"/>
      <c r="C15" s="2104"/>
      <c r="D15" s="2104"/>
      <c r="E15" s="2104"/>
      <c r="F15" s="2104"/>
      <c r="G15" s="2104"/>
      <c r="H15" s="2105"/>
      <c r="T15" s="2110" t="s">
        <v>2058</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2096</v>
      </c>
      <c r="B17" s="2074"/>
      <c r="C17" s="2074"/>
      <c r="D17" s="2074"/>
      <c r="E17" s="2074"/>
      <c r="F17" s="2074"/>
      <c r="G17" s="2074"/>
      <c r="H17" s="2099"/>
      <c r="T17" s="2117" t="s">
        <v>2059</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2051</v>
      </c>
      <c r="B19" s="2059"/>
      <c r="C19" s="2059"/>
      <c r="D19" s="2059"/>
      <c r="E19" s="2059"/>
      <c r="F19" s="2059"/>
      <c r="G19" s="2059"/>
      <c r="H19" s="2039"/>
      <c r="I19" s="30"/>
      <c r="J19" s="96"/>
      <c r="K19" s="40"/>
      <c r="L19" s="38"/>
      <c r="M19" s="109" t="s">
        <v>312</v>
      </c>
      <c r="P19" s="27"/>
      <c r="Q19" s="27"/>
      <c r="R19" s="27"/>
      <c r="S19" s="31"/>
      <c r="T19" s="2103" t="s">
        <v>2060</v>
      </c>
      <c r="U19" s="2038"/>
      <c r="V19" s="2038"/>
      <c r="W19" s="2039"/>
      <c r="X19" s="2115" t="s">
        <v>2061</v>
      </c>
      <c r="Y19" s="2116"/>
      <c r="Z19" s="2113">
        <v>60450</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2052</v>
      </c>
      <c r="B21" s="2038"/>
      <c r="C21" s="2038"/>
      <c r="D21" s="2038"/>
      <c r="E21" s="2038"/>
      <c r="F21" s="2038"/>
      <c r="G21" s="2038"/>
      <c r="H21" s="2039"/>
      <c r="I21" s="2093" t="s">
        <v>673</v>
      </c>
      <c r="J21" s="2088"/>
      <c r="K21" s="2088"/>
      <c r="L21" s="2088"/>
      <c r="M21" s="2088"/>
      <c r="N21" s="2088"/>
      <c r="O21" s="2088"/>
      <c r="P21" s="2088"/>
      <c r="Q21" s="2088"/>
      <c r="R21" s="2088"/>
      <c r="S21" s="2094"/>
      <c r="T21" s="2128" t="s">
        <v>2062</v>
      </c>
      <c r="U21" s="2129"/>
      <c r="V21" s="2129"/>
      <c r="W21" s="2129"/>
      <c r="X21" s="2134" t="s">
        <v>2063</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2053</v>
      </c>
      <c r="B23" s="2091"/>
      <c r="C23" s="2091"/>
      <c r="D23" s="2091"/>
      <c r="E23" s="2091"/>
      <c r="F23" s="2091"/>
      <c r="G23" s="2091"/>
      <c r="H23" s="2092"/>
      <c r="T23" s="2073" t="s">
        <v>2064</v>
      </c>
      <c r="U23" s="2127"/>
      <c r="V23" s="2127"/>
      <c r="W23" s="2127"/>
      <c r="X23" s="2131">
        <v>44530</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60431</v>
      </c>
      <c r="B25" s="2038"/>
      <c r="C25" s="2038"/>
      <c r="D25" s="2038"/>
      <c r="E25" s="2038"/>
      <c r="F25" s="2038"/>
      <c r="G25" s="2038"/>
      <c r="H25" s="2039"/>
      <c r="I25" s="110"/>
      <c r="J25" s="2062"/>
      <c r="K25" s="2062"/>
      <c r="L25" s="2062"/>
      <c r="M25" s="2062"/>
      <c r="N25" s="2062"/>
      <c r="O25" s="2062"/>
      <c r="P25" s="2062"/>
      <c r="Q25" s="2062"/>
      <c r="R25" s="2062"/>
      <c r="S25" s="2063"/>
      <c r="T25" s="2124" t="s">
        <v>2065</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2056</v>
      </c>
      <c r="B42" s="2057"/>
      <c r="C42" s="2058"/>
      <c r="D42" s="2056" t="s">
        <v>2057</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sqref="A1:F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F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1776</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2003</v>
      </c>
      <c r="B24" s="2304"/>
      <c r="C24" s="2298"/>
      <c r="D24" s="2299"/>
      <c r="E24" s="2299"/>
      <c r="F24" s="2300"/>
    </row>
    <row r="25" spans="1:11" ht="13.5" thickBot="1" x14ac:dyDescent="0.25">
      <c r="A25" s="2305" t="s">
        <v>2004</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F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1786</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1787</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1783</v>
      </c>
      <c r="B19" s="2331"/>
      <c r="C19" s="2331"/>
      <c r="D19" s="2331"/>
      <c r="E19" s="2332"/>
      <c r="F19" s="635" t="s">
        <v>927</v>
      </c>
      <c r="G19" s="1753"/>
      <c r="H19" s="1753"/>
      <c r="I19" s="1753"/>
      <c r="J19" s="1745"/>
      <c r="K19" s="1763"/>
    </row>
    <row r="20" spans="1:15" x14ac:dyDescent="0.2">
      <c r="A20" s="2333" t="s">
        <v>1788</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1789</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1872</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38481</v>
      </c>
      <c r="D12" s="1771"/>
      <c r="E12" s="1771"/>
      <c r="F12" s="1765">
        <f>(C12+D12)-E12</f>
        <v>38481</v>
      </c>
      <c r="G12" s="681">
        <v>10</v>
      </c>
      <c r="H12" s="619">
        <v>38481</v>
      </c>
      <c r="I12" s="619"/>
      <c r="J12" s="619"/>
      <c r="K12" s="1442">
        <f>(H12+I12)-J12</f>
        <v>38481</v>
      </c>
      <c r="L12" s="1442">
        <f>F12-K12</f>
        <v>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38481</v>
      </c>
      <c r="D16" s="1765">
        <f>SUM(D3,D5:D6,D8:D10,D12:D15)</f>
        <v>0</v>
      </c>
      <c r="E16" s="1765">
        <f>SUM(E3,E5:E6,E8:E10,E12:E15)</f>
        <v>0</v>
      </c>
      <c r="F16" s="1765">
        <f>SUM(F3,F5:F6,F8:F10,F12:F15)</f>
        <v>38481</v>
      </c>
      <c r="G16" s="681"/>
      <c r="H16" s="1435">
        <f>SUM(H3,H6,H8:H10,H12:H14,)</f>
        <v>38481</v>
      </c>
      <c r="I16" s="1435">
        <f>SUM(I3,I6,I8:I10,I12:I14,)</f>
        <v>0</v>
      </c>
      <c r="J16" s="1435">
        <f>SUM(J3,J6,J8:J10,J12:J14,)</f>
        <v>0</v>
      </c>
      <c r="K16" s="1435">
        <f>(H16+I16)-J16</f>
        <v>38481</v>
      </c>
      <c r="L16" s="1435">
        <f>F16-K16</f>
        <v>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7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3015216</v>
      </c>
      <c r="G8" s="701"/>
    </row>
    <row r="9" spans="1:9" x14ac:dyDescent="0.2">
      <c r="A9" s="705" t="s">
        <v>457</v>
      </c>
      <c r="B9" s="706" t="s">
        <v>1845</v>
      </c>
      <c r="C9" s="707"/>
      <c r="D9" s="705" t="s">
        <v>498</v>
      </c>
      <c r="E9" s="704"/>
      <c r="F9" s="1775">
        <f>'Expenditures 15-22'!K151</f>
        <v>0</v>
      </c>
      <c r="G9" s="708"/>
    </row>
    <row r="10" spans="1:9" x14ac:dyDescent="0.2">
      <c r="A10" s="705" t="s">
        <v>496</v>
      </c>
      <c r="B10" s="706" t="s">
        <v>1846</v>
      </c>
      <c r="C10" s="707"/>
      <c r="D10" s="705" t="s">
        <v>498</v>
      </c>
      <c r="E10" s="704"/>
      <c r="F10" s="1775">
        <f>'Expenditures 15-22'!K174</f>
        <v>0</v>
      </c>
      <c r="G10" s="708"/>
    </row>
    <row r="11" spans="1:9" x14ac:dyDescent="0.2">
      <c r="A11" s="705" t="s">
        <v>458</v>
      </c>
      <c r="B11" s="706" t="s">
        <v>1847</v>
      </c>
      <c r="C11" s="707"/>
      <c r="D11" s="705" t="s">
        <v>498</v>
      </c>
      <c r="E11" s="704"/>
      <c r="F11" s="1775">
        <f>'Expenditures 15-22'!K210</f>
        <v>0</v>
      </c>
      <c r="G11" s="708"/>
    </row>
    <row r="12" spans="1:9" x14ac:dyDescent="0.2">
      <c r="A12" s="705" t="s">
        <v>459</v>
      </c>
      <c r="B12" s="706" t="s">
        <v>1848</v>
      </c>
      <c r="C12" s="707"/>
      <c r="D12" s="705" t="s">
        <v>498</v>
      </c>
      <c r="E12" s="704"/>
      <c r="F12" s="1775">
        <f>'Expenditures 15-22'!K295</f>
        <v>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3015216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2504344</v>
      </c>
      <c r="G53" s="701"/>
    </row>
    <row r="54" spans="1:7" x14ac:dyDescent="0.2">
      <c r="A54" s="705" t="s">
        <v>456</v>
      </c>
      <c r="B54" s="705" t="s">
        <v>1459</v>
      </c>
      <c r="C54" s="724" t="s">
        <v>975</v>
      </c>
      <c r="D54" s="720" t="s">
        <v>1086</v>
      </c>
      <c r="E54" s="704"/>
      <c r="F54" s="1782">
        <f>'Expenditures 15-22'!G114</f>
        <v>1853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2506197</v>
      </c>
      <c r="G77" s="701"/>
    </row>
    <row r="78" spans="1:9" s="728" customFormat="1" ht="12" customHeight="1" thickTop="1" thickBot="1" x14ac:dyDescent="0.25">
      <c r="A78" s="1450"/>
      <c r="B78" s="1448"/>
      <c r="C78" s="1445"/>
      <c r="D78" s="1449" t="s">
        <v>2009</v>
      </c>
      <c r="E78" s="1447"/>
      <c r="F78" s="1788">
        <f>(F14-F77)</f>
        <v>509019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2010</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97</v>
      </c>
      <c r="G104" s="745"/>
    </row>
    <row r="105" spans="1:7" x14ac:dyDescent="0.2">
      <c r="A105" s="741" t="s">
        <v>456</v>
      </c>
      <c r="B105" s="741" t="s">
        <v>803</v>
      </c>
      <c r="C105" s="743">
        <f>'Revenues 9-14'!B106</f>
        <v>1993</v>
      </c>
      <c r="D105" s="744" t="str">
        <f>'Revenues 9-14'!A106</f>
        <v>Other Local Fees (Describe &amp; Itemize)</v>
      </c>
      <c r="E105" s="739"/>
      <c r="F105" s="1793">
        <f>('Revenues 9-14'!C106)</f>
        <v>82689</v>
      </c>
      <c r="G105" s="745"/>
    </row>
    <row r="106" spans="1:7" x14ac:dyDescent="0.2">
      <c r="A106" s="741" t="s">
        <v>500</v>
      </c>
      <c r="B106" s="741" t="s">
        <v>1907</v>
      </c>
      <c r="C106" s="746">
        <v>3100</v>
      </c>
      <c r="D106" s="752" t="str">
        <f>'Revenues 9-14'!A132</f>
        <v>Total Special Education</v>
      </c>
      <c r="E106" s="739"/>
      <c r="F106" s="1793">
        <f>SUM('Revenues 9-14'!C132:D132,'Revenues 9-14'!F132)</f>
        <v>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2105464</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836685</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0</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3024935</v>
      </c>
    </row>
    <row r="176" spans="1:7" ht="12" customHeight="1" x14ac:dyDescent="0.2">
      <c r="A176" s="1443"/>
      <c r="B176" s="1453"/>
      <c r="C176" s="1454"/>
      <c r="D176" s="1455" t="s">
        <v>2011</v>
      </c>
      <c r="E176" s="1456"/>
      <c r="F176" s="1793">
        <f>'PCTC-OEPP 27-28'!F78-F175</f>
        <v>-2515916</v>
      </c>
    </row>
    <row r="177" spans="1:9" ht="12" customHeight="1" x14ac:dyDescent="0.2">
      <c r="A177" s="1443"/>
      <c r="B177" s="1453"/>
      <c r="C177" s="1454"/>
      <c r="D177" s="1455" t="s">
        <v>1791</v>
      </c>
      <c r="E177" s="1456"/>
      <c r="F177" s="1793">
        <f>'Cap Outlay Deprec 26'!I18</f>
        <v>0</v>
      </c>
    </row>
    <row r="178" spans="1:9" ht="12" customHeight="1" x14ac:dyDescent="0.2">
      <c r="A178" s="1443"/>
      <c r="B178" s="1453"/>
      <c r="C178" s="1454"/>
      <c r="D178" s="1455" t="s">
        <v>2012</v>
      </c>
      <c r="E178" s="1456"/>
      <c r="F178" s="1793">
        <f>F176+F177</f>
        <v>-2515916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2014</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3" sqref="B23"/>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7" t="s">
        <v>1792</v>
      </c>
      <c r="B4" s="2378"/>
      <c r="C4" s="2378"/>
      <c r="D4" s="2378"/>
      <c r="E4" s="2378"/>
      <c r="F4" s="2379"/>
    </row>
    <row r="5" spans="1:6" x14ac:dyDescent="0.25">
      <c r="A5" s="2380"/>
      <c r="B5" s="2381"/>
      <c r="C5" s="2381"/>
      <c r="D5" s="2381"/>
      <c r="E5" s="2381"/>
      <c r="F5" s="2382"/>
    </row>
    <row r="6" spans="1:6" ht="18.75" x14ac:dyDescent="0.25">
      <c r="A6" s="1867" t="s">
        <v>1793</v>
      </c>
      <c r="B6" s="1868"/>
      <c r="C6" s="1869"/>
      <c r="D6" s="1869"/>
      <c r="E6" s="1869"/>
      <c r="F6" s="1870"/>
    </row>
    <row r="7" spans="1:6" ht="47.25" customHeight="1" x14ac:dyDescent="0.25">
      <c r="A7" s="2383" t="s">
        <v>1982</v>
      </c>
      <c r="B7" s="2384"/>
      <c r="C7" s="2384"/>
      <c r="D7" s="2384"/>
      <c r="E7" s="2384"/>
      <c r="F7" s="2385"/>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6" t="s">
        <v>1978</v>
      </c>
      <c r="B10" s="2387"/>
      <c r="C10" s="2387"/>
      <c r="D10" s="2387"/>
      <c r="E10" s="2387"/>
      <c r="F10" s="2388"/>
    </row>
    <row r="11" spans="1:6" ht="33" customHeight="1" x14ac:dyDescent="0.25">
      <c r="A11" s="2383" t="s">
        <v>1983</v>
      </c>
      <c r="B11" s="2384"/>
      <c r="C11" s="2384"/>
      <c r="D11" s="2384"/>
      <c r="E11" s="2384"/>
      <c r="F11" s="2385"/>
    </row>
    <row r="12" spans="1:6" ht="15" customHeight="1" x14ac:dyDescent="0.25">
      <c r="A12" s="1873" t="s">
        <v>1979</v>
      </c>
      <c r="B12" s="1874"/>
      <c r="C12" s="1875"/>
      <c r="D12" s="1875"/>
      <c r="E12" s="1875"/>
      <c r="F12" s="1876"/>
    </row>
    <row r="13" spans="1:6" ht="17.25" customHeight="1" x14ac:dyDescent="0.25">
      <c r="A13" s="2383" t="s">
        <v>1980</v>
      </c>
      <c r="B13" s="2384"/>
      <c r="C13" s="2384"/>
      <c r="D13" s="2384"/>
      <c r="E13" s="2384"/>
      <c r="F13" s="2385"/>
    </row>
    <row r="14" spans="1:6" ht="15" customHeight="1" x14ac:dyDescent="0.25">
      <c r="A14" s="1873" t="s">
        <v>1797</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2084</v>
      </c>
      <c r="B18" s="1908">
        <v>102300300</v>
      </c>
      <c r="C18" s="2036" t="s">
        <v>2085</v>
      </c>
      <c r="D18" s="1886">
        <v>5510</v>
      </c>
      <c r="E18" s="1906">
        <f t="shared" ref="E18:E81" si="0">IF(D18&lt;25000,D18,"25,000")</f>
        <v>5510</v>
      </c>
      <c r="F18" s="1906" t="str">
        <f t="shared" ref="F18:F81" si="1">IF(D18&gt;=25000,(D18-E18),"0")</f>
        <v>0</v>
      </c>
      <c r="G18" s="1887"/>
    </row>
    <row r="19" spans="1:7" x14ac:dyDescent="0.25">
      <c r="A19" s="2035" t="s">
        <v>2084</v>
      </c>
      <c r="B19" s="1908">
        <v>102300300</v>
      </c>
      <c r="C19" s="2036" t="s">
        <v>2086</v>
      </c>
      <c r="D19" s="1886">
        <v>12000</v>
      </c>
      <c r="E19" s="1906">
        <f t="shared" si="0"/>
        <v>12000</v>
      </c>
      <c r="F19" s="1906" t="str">
        <f t="shared" si="1"/>
        <v>0</v>
      </c>
    </row>
    <row r="20" spans="1:7" x14ac:dyDescent="0.25">
      <c r="A20" s="2035" t="s">
        <v>2084</v>
      </c>
      <c r="B20" s="1908">
        <v>102300300</v>
      </c>
      <c r="C20" s="2036" t="s">
        <v>2087</v>
      </c>
      <c r="D20" s="1886">
        <v>2325</v>
      </c>
      <c r="E20" s="1906">
        <f t="shared" si="0"/>
        <v>2325</v>
      </c>
      <c r="F20" s="1906" t="str">
        <f t="shared" si="1"/>
        <v>0</v>
      </c>
    </row>
    <row r="21" spans="1:7" x14ac:dyDescent="0.25">
      <c r="A21" s="2035" t="s">
        <v>2084</v>
      </c>
      <c r="B21" s="1908">
        <v>102300300</v>
      </c>
      <c r="C21" s="2036" t="s">
        <v>2088</v>
      </c>
      <c r="D21" s="1886">
        <v>506</v>
      </c>
      <c r="E21" s="1906">
        <f t="shared" si="0"/>
        <v>506</v>
      </c>
      <c r="F21" s="1906" t="str">
        <f t="shared" si="1"/>
        <v>0</v>
      </c>
    </row>
    <row r="22" spans="1:7" x14ac:dyDescent="0.25">
      <c r="A22" s="2035" t="s">
        <v>2084</v>
      </c>
      <c r="B22" s="1908">
        <v>102300300</v>
      </c>
      <c r="C22" s="2036" t="s">
        <v>2089</v>
      </c>
      <c r="D22" s="1886">
        <v>657</v>
      </c>
      <c r="E22" s="1906">
        <f t="shared" si="0"/>
        <v>657</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20998</v>
      </c>
      <c r="E142" s="1893">
        <f>SUM(E18:E141)</f>
        <v>20998</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53844</v>
      </c>
      <c r="F19" s="1802"/>
      <c r="G19" s="1804">
        <f>'Expenditures 15-22'!K33-SUM('Expenditures 15-22'!G33,'Expenditures 15-22'!I33)+'Expenditures 15-22'!D229</f>
        <v>53844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233300</v>
      </c>
      <c r="F22" s="1805"/>
      <c r="G22" s="1808">
        <f>'Expenditures 15-22'!K47-SUM('Expenditures 15-22'!G47,'Expenditures 15-22'!I47)+'Expenditures 15-22'!D243</f>
        <v>233300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221284</v>
      </c>
      <c r="F23" s="1805"/>
      <c r="G23" s="1807">
        <f>'Expenditures 15-22'!K53-SUM('Expenditures 15-22'!G53,'Expenditures 15-22'!I53)+'Expenditures 15-22'!D257+'Expenditures 15-22'!K330-SUM('Expenditures 15-22'!G330,'Expenditures 15-22'!I330)</f>
        <v>221284</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591</v>
      </c>
      <c r="E27" s="1807">
        <f>E8</f>
        <v>0</v>
      </c>
      <c r="F27" s="1807">
        <f>'Expenditures 15-22'!K60-SUM('Expenditures 15-22'!G60,'Expenditures 15-22'!I60)+'Expenditures 15-22'!D264-E8</f>
        <v>591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591</v>
      </c>
      <c r="E41" s="1809">
        <f>SUM(E19:E40)</f>
        <v>508428</v>
      </c>
      <c r="F41" s="1809">
        <f>SUM(F19:F39)</f>
        <v>591</v>
      </c>
      <c r="G41" s="1809">
        <f>SUM(G19:G40)</f>
        <v>508428</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591</v>
      </c>
      <c r="F43" s="1458" t="s">
        <v>470</v>
      </c>
      <c r="G43" s="1810">
        <f>F41</f>
        <v>591</v>
      </c>
    </row>
    <row r="44" spans="1:7" ht="12" customHeight="1" x14ac:dyDescent="0.2">
      <c r="A44" s="817"/>
      <c r="B44" s="157"/>
      <c r="C44" s="831"/>
      <c r="D44" s="1458" t="s">
        <v>471</v>
      </c>
      <c r="E44" s="1810">
        <f>E41</f>
        <v>508428</v>
      </c>
      <c r="F44" s="1458" t="s">
        <v>471</v>
      </c>
      <c r="G44" s="1810">
        <f>G41</f>
        <v>508428</v>
      </c>
    </row>
    <row r="45" spans="1:7" ht="12" customHeight="1" x14ac:dyDescent="0.2">
      <c r="A45" s="817"/>
      <c r="B45" s="157"/>
      <c r="C45" s="157"/>
      <c r="D45" s="1459" t="s">
        <v>999</v>
      </c>
      <c r="E45" s="1811">
        <f>(E43/E44)</f>
        <v>1.1624064764332413E-3</v>
      </c>
      <c r="F45" s="1459" t="s">
        <v>999</v>
      </c>
      <c r="G45" s="1811">
        <f>(G43/G44)</f>
        <v>1.1624064764332413E-3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B9" sqref="B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Three Rivers EFE System</v>
      </c>
      <c r="D6" s="2415"/>
      <c r="E6" s="2415"/>
      <c r="F6" s="1482"/>
      <c r="G6" s="1507"/>
      <c r="L6" s="1507"/>
      <c r="M6" s="1855"/>
      <c r="N6" s="1855"/>
      <c r="O6" s="1855"/>
    </row>
    <row r="7" spans="1:15" ht="11.25" customHeight="1" thickBot="1" x14ac:dyDescent="0.3">
      <c r="A7" s="1480"/>
      <c r="B7" s="1481"/>
      <c r="C7" s="2416">
        <f>COVER!A13</f>
        <v>56099711045</v>
      </c>
      <c r="D7" s="2416"/>
      <c r="E7" s="2416"/>
      <c r="F7" s="1482"/>
      <c r="G7" s="1507"/>
      <c r="L7" s="1507"/>
      <c r="M7" s="1855"/>
      <c r="N7" s="1855"/>
      <c r="O7" s="1855"/>
    </row>
    <row r="8" spans="1:15" ht="25.5" customHeight="1" thickBot="1" x14ac:dyDescent="0.25">
      <c r="A8" s="1519" t="s">
        <v>1871</v>
      </c>
      <c r="B8" s="1483" t="s">
        <v>2071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1" zoomScaleNormal="100" workbookViewId="0">
      <selection activeCell="J28" sqref="J2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Three Rivers EFE System</v>
      </c>
      <c r="K6" s="2437"/>
      <c r="L6" s="2451"/>
      <c r="M6" s="838"/>
      <c r="N6" s="1998"/>
    </row>
    <row r="7" spans="1:14" x14ac:dyDescent="0.2">
      <c r="A7" s="2452" t="s">
        <v>864</v>
      </c>
      <c r="B7" s="2453"/>
      <c r="C7" s="2453"/>
      <c r="D7" s="2453"/>
      <c r="E7" s="2454"/>
      <c r="F7" s="839"/>
      <c r="G7" s="838"/>
      <c r="H7" s="838"/>
      <c r="I7" s="1924" t="s">
        <v>369</v>
      </c>
      <c r="J7" s="2439">
        <f>COVER!A13</f>
        <v>56099711045</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0</v>
      </c>
      <c r="F19" s="1950">
        <f t="shared" si="2"/>
        <v>0</v>
      </c>
      <c r="G19" s="1950">
        <f t="shared" ref="G19" si="3">SUM(G12:G17)-G18</f>
        <v>0</v>
      </c>
      <c r="H19" s="1950">
        <f t="shared" si="2"/>
        <v>0</v>
      </c>
      <c r="I19" s="1950">
        <f t="shared" si="2"/>
        <v>0</v>
      </c>
      <c r="J19" s="1950">
        <f t="shared" si="2"/>
        <v>0</v>
      </c>
      <c r="K19" s="1950">
        <f t="shared" si="2"/>
        <v>0</v>
      </c>
      <c r="L19" s="1950">
        <f t="shared" si="2"/>
        <v>0</v>
      </c>
      <c r="M19" s="838"/>
      <c r="N19" s="1998"/>
    </row>
    <row r="20" spans="1:14" ht="13.5" thickTop="1" x14ac:dyDescent="0.2">
      <c r="A20" s="2003">
        <v>9</v>
      </c>
      <c r="B20" s="2461" t="s">
        <v>2018</v>
      </c>
      <c r="C20" s="2461"/>
      <c r="D20" s="2462"/>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t="s">
        <v>2054</v>
      </c>
      <c r="D29" s="2466"/>
      <c r="E29" s="845"/>
      <c r="F29" s="2466" t="s">
        <v>2056</v>
      </c>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2021</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2022</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2023</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2024</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34" t="s">
        <v>2026</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Three Rivers EFE System</v>
      </c>
      <c r="M52" s="2437"/>
      <c r="N52" s="2438"/>
    </row>
    <row r="53" spans="1:14" x14ac:dyDescent="0.2">
      <c r="A53" s="1982"/>
      <c r="B53" s="1983"/>
      <c r="C53" s="1983"/>
      <c r="D53" s="1983"/>
      <c r="E53" s="1983"/>
      <c r="F53" s="1983"/>
      <c r="G53" s="1983"/>
      <c r="H53" s="1983"/>
      <c r="I53" s="1983"/>
      <c r="J53" s="1983"/>
      <c r="K53" s="1924" t="s">
        <v>369</v>
      </c>
      <c r="L53" s="2439">
        <f>J7</f>
        <v>56099711045</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2027</v>
      </c>
      <c r="H55" s="2443"/>
      <c r="I55" s="2443"/>
      <c r="J55" s="2443"/>
      <c r="K55" s="2443"/>
      <c r="L55" s="2443"/>
      <c r="M55" s="2443"/>
      <c r="N55" s="2444"/>
    </row>
    <row r="56" spans="1:14" ht="63.75" x14ac:dyDescent="0.2">
      <c r="A56" s="2445" t="s">
        <v>2028</v>
      </c>
      <c r="B56" s="2446"/>
      <c r="C56" s="2447"/>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2038</v>
      </c>
      <c r="B58" s="2426"/>
      <c r="C58" s="242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2039</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2067</v>
      </c>
    </row>
    <row r="6" spans="1:2" x14ac:dyDescent="0.2">
      <c r="A6" s="847">
        <v>2</v>
      </c>
      <c r="B6" s="307" t="s">
        <v>2090</v>
      </c>
    </row>
    <row r="7" spans="1:2" x14ac:dyDescent="0.2">
      <c r="A7" s="847">
        <v>3</v>
      </c>
      <c r="B7" s="307" t="s">
        <v>2091</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Three Rivers EFE System</v>
      </c>
    </row>
    <row r="65" spans="2:2" x14ac:dyDescent="0.2">
      <c r="B65" s="849">
        <f>COVER!A13</f>
        <v>56099711045</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sqref="A1:F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1969</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3027947</v>
      </c>
      <c r="C8" s="1813">
        <f>'Acct Summary 7-8'!D8</f>
        <v>0</v>
      </c>
      <c r="D8" s="1813">
        <f>'Acct Summary 7-8'!F8</f>
        <v>0</v>
      </c>
      <c r="E8" s="1813">
        <f>'Acct Summary 7-8'!I8</f>
        <v>0</v>
      </c>
      <c r="F8" s="1813">
        <f>SUM(B8:E8)</f>
        <v>3027947</v>
      </c>
    </row>
    <row r="9" spans="1:8" s="858" customFormat="1" ht="14.25" customHeight="1" thickBot="1" x14ac:dyDescent="0.25">
      <c r="A9" s="857" t="s">
        <v>1353</v>
      </c>
      <c r="B9" s="1814">
        <f>'Acct Summary 7-8'!C17</f>
        <v>3015216</v>
      </c>
      <c r="C9" s="1814">
        <f>'Acct Summary 7-8'!D17</f>
        <v>0</v>
      </c>
      <c r="D9" s="1814">
        <f>'Acct Summary 7-8'!F17</f>
        <v>0</v>
      </c>
      <c r="E9" s="1813"/>
      <c r="F9" s="1813">
        <f>SUM(B9:E9)</f>
        <v>3015216</v>
      </c>
    </row>
    <row r="10" spans="1:8" s="858" customFormat="1" ht="14.25" thickTop="1" thickBot="1" x14ac:dyDescent="0.25">
      <c r="A10" s="859" t="s">
        <v>1354</v>
      </c>
      <c r="B10" s="1815">
        <f>(B8-B9)</f>
        <v>12731</v>
      </c>
      <c r="C10" s="1815">
        <f>(C8-C9)</f>
        <v>0</v>
      </c>
      <c r="D10" s="1815">
        <f>(D8-D9)</f>
        <v>0</v>
      </c>
      <c r="E10" s="1814">
        <f>(E8-E9)</f>
        <v>0</v>
      </c>
      <c r="F10" s="1816">
        <f>SUM(F8-F9)</f>
        <v>12731</v>
      </c>
    </row>
    <row r="11" spans="1:8" s="858" customFormat="1" ht="14.25" thickTop="1" thickBot="1" x14ac:dyDescent="0.25">
      <c r="A11" s="860" t="s">
        <v>1900</v>
      </c>
      <c r="B11" s="1817">
        <f>'Acct Summary 7-8'!C81</f>
        <v>337357</v>
      </c>
      <c r="C11" s="1817">
        <f>'Acct Summary 7-8'!D81</f>
        <v>0</v>
      </c>
      <c r="D11" s="1817">
        <f>'Acct Summary 7-8'!F81</f>
        <v>0</v>
      </c>
      <c r="E11" s="1817">
        <f>'Acct Summary 7-8'!I81</f>
        <v>0</v>
      </c>
      <c r="F11" s="1818">
        <f>SUM(B11:E11)</f>
        <v>337357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2" colorId="8" zoomScale="110" zoomScaleNormal="110" workbookViewId="0">
      <selection activeCell="D83" sqref="D8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56099711045</v>
      </c>
      <c r="E2" s="1542">
        <v>2020</v>
      </c>
      <c r="F2" s="1542">
        <v>1</v>
      </c>
      <c r="G2" s="1899">
        <v>101000300</v>
      </c>
    </row>
    <row r="3" spans="1:7" ht="15" x14ac:dyDescent="0.25">
      <c r="A3" t="s">
        <v>950</v>
      </c>
      <c r="B3" s="135" t="str">
        <f>COVER!A15</f>
        <v>Will</v>
      </c>
      <c r="E3" s="1830" t="s">
        <v>1968</v>
      </c>
      <c r="F3" s="1830" t="s">
        <v>1967</v>
      </c>
      <c r="G3" s="1899">
        <v>101000400</v>
      </c>
    </row>
    <row r="4" spans="1:7" ht="15" x14ac:dyDescent="0.25">
      <c r="A4" t="s">
        <v>1000</v>
      </c>
      <c r="B4" s="135" t="str">
        <f>COVER!A17</f>
        <v>Three Rivers EFE System</v>
      </c>
      <c r="E4" s="1828">
        <v>44119</v>
      </c>
      <c r="F4" s="1829">
        <v>44151</v>
      </c>
      <c r="G4" s="1899">
        <v>101000600</v>
      </c>
    </row>
    <row r="5" spans="1:7" ht="15" x14ac:dyDescent="0.25">
      <c r="A5" t="s">
        <v>699</v>
      </c>
      <c r="B5" s="135" t="str">
        <f>COVER!A38</f>
        <v>Brian Gordon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Street,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34900</v>
      </c>
      <c r="D76" s="2" t="str">
        <f t="shared" si="0"/>
        <v>Error?</v>
      </c>
      <c r="G76" s="1899">
        <v>102570600</v>
      </c>
    </row>
    <row r="77" spans="1:7" ht="15" x14ac:dyDescent="0.25">
      <c r="A77" s="5">
        <v>16</v>
      </c>
      <c r="B77" s="1832">
        <f>'Assets-Liab 5-6'!C13</f>
        <v>337357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337357</v>
      </c>
      <c r="D92" s="2" t="str">
        <f t="shared" si="0"/>
        <v>Error?</v>
      </c>
      <c r="G92" s="1899">
        <v>102640600</v>
      </c>
    </row>
    <row r="93" spans="1:7" ht="15" x14ac:dyDescent="0.25">
      <c r="A93" s="5">
        <v>32</v>
      </c>
      <c r="B93" s="1832">
        <f>'Assets-Liab 5-6'!C41</f>
        <v>337357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0</v>
      </c>
      <c r="C279" s="2" t="s">
        <v>569</v>
      </c>
      <c r="D279" s="2" t="str">
        <f t="shared" si="3"/>
        <v>Error?</v>
      </c>
    </row>
    <row r="280" spans="1:4" x14ac:dyDescent="0.2">
      <c r="A280" s="5">
        <v>219</v>
      </c>
      <c r="B280" s="1832">
        <f>'Assets-Liab 5-6'!M40</f>
        <v>0</v>
      </c>
      <c r="D280" s="2" t="str">
        <f t="shared" si="3"/>
        <v>Error?</v>
      </c>
    </row>
    <row r="281" spans="1:4" x14ac:dyDescent="0.2">
      <c r="A281" s="5">
        <v>220</v>
      </c>
      <c r="B281" s="1832">
        <f>'Assets-Liab 5-6'!M41</f>
        <v>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139007</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139007</v>
      </c>
      <c r="C731" s="2" t="s">
        <v>569</v>
      </c>
      <c r="D731" s="2" t="str">
        <f t="shared" si="10"/>
        <v>Error?</v>
      </c>
    </row>
    <row r="732" spans="1:4" x14ac:dyDescent="0.2">
      <c r="A732" s="5">
        <v>671</v>
      </c>
      <c r="B732" s="1832">
        <f>'Expenditures 15-22'!C49</f>
        <v>133491</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133491</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272498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272498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36656</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36656</v>
      </c>
      <c r="C789" s="2" t="s">
        <v>569</v>
      </c>
      <c r="D789" s="2" t="str">
        <f t="shared" si="11"/>
        <v>Error?</v>
      </c>
    </row>
    <row r="790" spans="1:4" x14ac:dyDescent="0.2">
      <c r="A790" s="5">
        <v>729</v>
      </c>
      <c r="B790" s="1832">
        <f>'Expenditures 15-22'!D49</f>
        <v>60305</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60305</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96961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96961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22843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22843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56289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56289</v>
      </c>
      <c r="C847" s="2" t="s">
        <v>569</v>
      </c>
      <c r="D847" s="2" t="str">
        <f t="shared" si="12"/>
        <v>Error?</v>
      </c>
    </row>
    <row r="848" spans="1:4" x14ac:dyDescent="0.2">
      <c r="A848" s="5">
        <v>787</v>
      </c>
      <c r="B848" s="1832">
        <f>'Expenditures 15-22'!E49</f>
        <v>24298</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24298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591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591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81178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104021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31001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31001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1348</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1348</v>
      </c>
      <c r="C905" s="2" t="s">
        <v>569</v>
      </c>
      <c r="D905" s="2" t="str">
        <f t="shared" si="13"/>
        <v>Error?</v>
      </c>
    </row>
    <row r="906" spans="1:4" x14ac:dyDescent="0.2">
      <c r="A906" s="5">
        <v>845</v>
      </c>
      <c r="B906" s="1832">
        <f>'Expenditures 15-22'!F49</f>
        <v>2129</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2129</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3477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34478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1853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1853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1853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1061</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1061</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1061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2504344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2505405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55697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55697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233300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233300</v>
      </c>
      <c r="C1119" s="2" t="s">
        <v>569</v>
      </c>
      <c r="D1119" s="2" t="str">
        <f t="shared" si="16"/>
        <v>Error?</v>
      </c>
    </row>
    <row r="1120" spans="1:4" x14ac:dyDescent="0.2">
      <c r="A1120" s="5">
        <v>1059</v>
      </c>
      <c r="B1120" s="1832">
        <f>'Expenditures 15-22'!K49</f>
        <v>221284</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221284</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591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591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455175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2504344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3015216</v>
      </c>
      <c r="C1152" s="2" t="s">
        <v>569</v>
      </c>
      <c r="D1152" s="2" t="str">
        <f t="shared" si="17"/>
        <v>Error?</v>
      </c>
    </row>
    <row r="1153" spans="1:4" x14ac:dyDescent="0.2">
      <c r="A1153" s="5">
        <v>1092</v>
      </c>
      <c r="B1153" s="1832">
        <f>'Expenditures 15-22'!K115</f>
        <v>12731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324626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337357</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38481</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38481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38481</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38481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38481</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38481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38481</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38481</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2504344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2504344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85798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2105464</v>
      </c>
      <c r="C2553" s="2" t="s">
        <v>569</v>
      </c>
      <c r="D2553" s="2" t="str">
        <f t="shared" si="38"/>
        <v>Error?</v>
      </c>
    </row>
    <row r="2554" spans="1:4" x14ac:dyDescent="0.2">
      <c r="A2554" s="5">
        <v>2493</v>
      </c>
      <c r="B2554" s="1832">
        <f>'Acct Summary 7-8'!C7</f>
        <v>836685</v>
      </c>
      <c r="C2554" s="2" t="s">
        <v>569</v>
      </c>
      <c r="D2554" s="2" t="str">
        <f t="shared" si="38"/>
        <v>Error?</v>
      </c>
    </row>
    <row r="2555" spans="1:4" x14ac:dyDescent="0.2">
      <c r="A2555" s="5">
        <v>2494</v>
      </c>
      <c r="B2555" s="1832">
        <f>'Acct Summary 7-8'!C8</f>
        <v>3027947</v>
      </c>
      <c r="C2555" s="2" t="s">
        <v>569</v>
      </c>
      <c r="D2555" s="2" t="str">
        <f t="shared" si="38"/>
        <v>Error?</v>
      </c>
    </row>
    <row r="2556" spans="1:4" x14ac:dyDescent="0.2">
      <c r="A2556" s="5">
        <v>2495</v>
      </c>
      <c r="B2556" s="1832">
        <f>'Acct Summary 7-8'!C12</f>
        <v>55697</v>
      </c>
      <c r="C2556" s="2" t="s">
        <v>569</v>
      </c>
      <c r="D2556" s="2" t="str">
        <f t="shared" si="38"/>
        <v>Error?</v>
      </c>
    </row>
    <row r="2557" spans="1:4" x14ac:dyDescent="0.2">
      <c r="A2557" s="5">
        <v>2496</v>
      </c>
      <c r="B2557" s="1832">
        <f>'Acct Summary 7-8'!C13</f>
        <v>455175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2504344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3015216</v>
      </c>
      <c r="C2561" s="2" t="s">
        <v>569</v>
      </c>
      <c r="D2561" s="2" t="str">
        <f t="shared" si="39"/>
        <v>Error?</v>
      </c>
    </row>
    <row r="2562" spans="1:4" x14ac:dyDescent="0.2">
      <c r="A2562" s="5">
        <v>2501</v>
      </c>
      <c r="B2562" s="1832">
        <f>'Acct Summary 7-8'!C20</f>
        <v>12731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2504344</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2504344</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12731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302457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16349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3044296</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16349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3031565</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337357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97</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1464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1464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82689</v>
      </c>
      <c r="D5118" s="2" t="str">
        <f t="shared" si="78"/>
        <v>Error?</v>
      </c>
    </row>
    <row r="5119" spans="1:4" x14ac:dyDescent="0.2">
      <c r="A5119" s="5">
        <v>5058</v>
      </c>
      <c r="B5119" s="1832">
        <f>'Revenues 9-14'!C107</f>
        <v>1548</v>
      </c>
      <c r="D5119" s="2" t="str">
        <f t="shared" ref="D5119:D5182" si="79">IF(ISBLANK(B5119),"OK",IF(A5119-B5119=0,"OK","Error?"))</f>
        <v>Error?</v>
      </c>
    </row>
    <row r="5120" spans="1:4" x14ac:dyDescent="0.2">
      <c r="A5120" s="5">
        <v>5059</v>
      </c>
      <c r="B5120" s="1832">
        <f>'Revenues 9-14'!C108</f>
        <v>84334</v>
      </c>
      <c r="C5120" s="2" t="s">
        <v>569</v>
      </c>
      <c r="D5120" s="2" t="str">
        <f t="shared" si="79"/>
        <v>Error?</v>
      </c>
    </row>
    <row r="5121" spans="1:4" x14ac:dyDescent="0.2">
      <c r="A5121" s="5">
        <v>5060</v>
      </c>
      <c r="B5121" s="1832">
        <f>'Revenues 9-14'!C109</f>
        <v>85798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2105464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2105464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2105464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2105464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836685</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836685</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836685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836685</v>
      </c>
      <c r="C5326" s="2" t="s">
        <v>569</v>
      </c>
      <c r="D5326" s="2" t="str">
        <f t="shared" si="82"/>
        <v>Error?</v>
      </c>
    </row>
    <row r="5327" spans="1:5" x14ac:dyDescent="0.2">
      <c r="A5327" s="5">
        <v>5266</v>
      </c>
      <c r="B5327" s="1832">
        <f>'Revenues 9-14'!C268</f>
        <v>3027947</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12731</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3.7737470987707383E-2</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3015216</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2506197</v>
      </c>
      <c r="D7834" s="2" t="str">
        <f t="shared" si="129"/>
        <v>Error?</v>
      </c>
      <c r="E7834" s="4" t="s">
        <v>1995</v>
      </c>
    </row>
    <row r="7835" spans="1:5" x14ac:dyDescent="0.2">
      <c r="A7835">
        <v>7774</v>
      </c>
      <c r="B7835" s="1832">
        <f>'PCTC-OEPP 27-28'!F78</f>
        <v>509019</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t="str">
        <f>'PCTC-OEPP 27-28'!F80</f>
        <v xml:space="preserve"> Complete Line 79</v>
      </c>
      <c r="D7837" s="2" t="e">
        <f t="shared" si="129"/>
        <v>#VALUE!</v>
      </c>
      <c r="E7837" s="4" t="s">
        <v>1995</v>
      </c>
    </row>
    <row r="7838" spans="1:5" x14ac:dyDescent="0.2">
      <c r="A7838">
        <v>7777</v>
      </c>
      <c r="B7838" s="1832">
        <f>'PCTC-OEPP 27-28'!F96</f>
        <v>0</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97</v>
      </c>
      <c r="D7841" s="2" t="str">
        <f t="shared" si="129"/>
        <v>Error?</v>
      </c>
      <c r="E7841" s="4" t="s">
        <v>1995</v>
      </c>
    </row>
    <row r="7842" spans="1:5" x14ac:dyDescent="0.2">
      <c r="A7842">
        <v>7781</v>
      </c>
      <c r="B7842" s="1832">
        <f>'PCTC-OEPP 27-28'!F106</f>
        <v>0</v>
      </c>
      <c r="D7842" s="2" t="str">
        <f t="shared" si="129"/>
        <v>Error?</v>
      </c>
      <c r="E7842" s="4" t="s">
        <v>1995</v>
      </c>
    </row>
    <row r="7843" spans="1:5" x14ac:dyDescent="0.2">
      <c r="A7843">
        <v>7782</v>
      </c>
      <c r="B7843" s="1832">
        <f>'PCTC-OEPP 27-28'!F107</f>
        <v>2105464</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0</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0</v>
      </c>
      <c r="D7858" s="2" t="str">
        <f t="shared" si="129"/>
        <v>Error?</v>
      </c>
      <c r="E7858" s="4" t="s">
        <v>1995</v>
      </c>
    </row>
    <row r="7859" spans="1:5" x14ac:dyDescent="0.2">
      <c r="A7859">
        <v>7798</v>
      </c>
      <c r="B7859" s="1832">
        <f>'PCTC-OEPP 27-28'!F127</f>
        <v>0</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0</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836685</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0</v>
      </c>
      <c r="D7874" s="2" t="str">
        <f t="shared" si="129"/>
        <v>Error?</v>
      </c>
      <c r="E7874" s="4" t="s">
        <v>1995</v>
      </c>
    </row>
    <row r="7875" spans="1:5" x14ac:dyDescent="0.2">
      <c r="A7875">
        <v>7814</v>
      </c>
      <c r="B7875" s="1832">
        <f>'PCTC-OEPP 27-28'!F170</f>
        <v>0</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3024935</v>
      </c>
      <c r="D7877" s="2" t="str">
        <f t="shared" si="129"/>
        <v>Error?</v>
      </c>
      <c r="E7877" s="4" t="s">
        <v>1995</v>
      </c>
    </row>
    <row r="7878" spans="1:5" x14ac:dyDescent="0.2">
      <c r="A7878">
        <v>7817</v>
      </c>
      <c r="B7878" s="1832">
        <f>'PCTC-OEPP 27-28'!F176</f>
        <v>-2515916</v>
      </c>
      <c r="D7878" s="2" t="str">
        <f t="shared" si="129"/>
        <v>Error?</v>
      </c>
      <c r="E7878" s="4" t="s">
        <v>1995</v>
      </c>
    </row>
    <row r="7879" spans="1:5" x14ac:dyDescent="0.2">
      <c r="A7879">
        <v>7818</v>
      </c>
      <c r="B7879" s="1832">
        <f>'PCTC-OEPP 27-28'!F178</f>
        <v>-2515916</v>
      </c>
      <c r="D7879" s="2" t="str">
        <f t="shared" si="129"/>
        <v>Error?</v>
      </c>
      <c r="E7879" s="4" t="s">
        <v>1995</v>
      </c>
    </row>
    <row r="7880" spans="1:5" x14ac:dyDescent="0.2">
      <c r="A7880">
        <v>7819</v>
      </c>
      <c r="B7880" s="1832"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B48" sqref="B4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Three Rivers EFE System</v>
      </c>
      <c r="B7" s="2516"/>
      <c r="C7" s="2516"/>
      <c r="D7" s="2554"/>
      <c r="E7" s="2555">
        <f>COVER!A13</f>
        <v>56099711045</v>
      </c>
      <c r="F7" s="2556"/>
      <c r="G7" s="2522" t="str">
        <f>COVER!T23</f>
        <v>066-005100</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Mack &amp; Associates, P.C.</v>
      </c>
      <c r="H9" s="2529"/>
      <c r="I9" s="2529"/>
      <c r="J9" s="2529"/>
      <c r="K9" s="2529"/>
      <c r="L9" s="2530"/>
    </row>
    <row r="10" spans="1:29" ht="13.5" customHeight="1" x14ac:dyDescent="0.2">
      <c r="A10" s="2512" t="str">
        <f>COVER!A38</f>
        <v>Brian Gordon</v>
      </c>
      <c r="B10" s="2513"/>
      <c r="C10" s="2513"/>
      <c r="D10" s="2513"/>
      <c r="E10" s="2513"/>
      <c r="F10" s="2514"/>
      <c r="G10" s="2528" t="str">
        <f>COVER!T17</f>
        <v>116 E. Washington Street, Suite One</v>
      </c>
      <c r="H10" s="2541"/>
      <c r="I10" s="2541"/>
      <c r="J10" s="2541"/>
      <c r="K10" s="2541"/>
      <c r="L10" s="2542"/>
    </row>
    <row r="11" spans="1:29" ht="13.5" customHeight="1" x14ac:dyDescent="0.2">
      <c r="A11" s="963" t="s">
        <v>1502</v>
      </c>
      <c r="B11" s="964"/>
      <c r="C11" s="965"/>
      <c r="D11" s="970"/>
      <c r="E11" s="965"/>
      <c r="F11" s="969"/>
      <c r="G11" s="2528" t="str">
        <f>COVER!T19</f>
        <v>Morris</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tmack@mackcpas.com</v>
      </c>
      <c r="J13" s="2550"/>
      <c r="K13" s="2550"/>
      <c r="L13" s="2551"/>
    </row>
    <row r="14" spans="1:29" ht="13.5" customHeight="1" x14ac:dyDescent="0.2">
      <c r="A14" s="2528" t="str">
        <f>COVER!A19</f>
        <v>1215 Houbolt Road, H1019</v>
      </c>
      <c r="B14" s="2541"/>
      <c r="C14" s="2541"/>
      <c r="D14" s="2541"/>
      <c r="E14" s="2541"/>
      <c r="F14" s="2542"/>
      <c r="G14" s="974" t="s">
        <v>1175</v>
      </c>
      <c r="H14" s="972"/>
      <c r="I14" s="972"/>
      <c r="J14" s="972"/>
      <c r="K14" s="972"/>
      <c r="L14" s="973"/>
    </row>
    <row r="15" spans="1:29" ht="13.5" customHeight="1" x14ac:dyDescent="0.2">
      <c r="A15" s="2528" t="str">
        <f>COVER!A21</f>
        <v>Joliet</v>
      </c>
      <c r="B15" s="2541"/>
      <c r="C15" s="2541"/>
      <c r="D15" s="2541"/>
      <c r="E15" s="2541"/>
      <c r="F15" s="2542"/>
      <c r="G15" s="2538" t="str">
        <f>COVER!T15</f>
        <v>Tawnya Mack, CPA</v>
      </c>
      <c r="H15" s="2539"/>
      <c r="I15" s="2539"/>
      <c r="J15" s="2539"/>
      <c r="K15" s="2539"/>
      <c r="L15" s="2540"/>
    </row>
    <row r="16" spans="1:29" ht="12.2" customHeight="1" x14ac:dyDescent="0.2">
      <c r="A16" s="2518">
        <f>COVER!A25</f>
        <v>60431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815-942-3306</v>
      </c>
      <c r="H18" s="2516"/>
      <c r="I18" s="2516"/>
      <c r="J18" s="2516"/>
      <c r="K18" s="2515" t="str">
        <f>COVER!X21</f>
        <v>815-942-9430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2049</v>
      </c>
      <c r="C26" s="981" t="s">
        <v>1677</v>
      </c>
    </row>
    <row r="27" spans="1:13" s="977" customFormat="1" ht="9" customHeight="1" x14ac:dyDescent="0.2">
      <c r="B27" s="982"/>
      <c r="C27" s="981"/>
    </row>
    <row r="28" spans="1:13" s="977" customFormat="1" ht="12.2" customHeight="1" x14ac:dyDescent="0.2">
      <c r="A28" s="984"/>
      <c r="B28" s="980" t="s">
        <v>2049</v>
      </c>
      <c r="C28" s="981" t="s">
        <v>1678</v>
      </c>
    </row>
    <row r="29" spans="1:13" s="977" customFormat="1" ht="9" customHeight="1" x14ac:dyDescent="0.2">
      <c r="A29" s="984"/>
      <c r="B29" s="982"/>
      <c r="C29" s="981"/>
    </row>
    <row r="30" spans="1:13" s="977" customFormat="1" ht="12.2" customHeight="1" x14ac:dyDescent="0.2">
      <c r="B30" s="980" t="s">
        <v>2049</v>
      </c>
      <c r="C30" s="981" t="s">
        <v>1545</v>
      </c>
      <c r="D30" s="975"/>
      <c r="E30" s="975"/>
    </row>
    <row r="31" spans="1:13" s="977" customFormat="1" ht="9" customHeight="1" x14ac:dyDescent="0.2">
      <c r="B31" s="982"/>
      <c r="C31" s="981"/>
      <c r="D31" s="975"/>
      <c r="E31" s="975"/>
    </row>
    <row r="32" spans="1:13" s="977" customFormat="1" ht="12.2" customHeight="1" x14ac:dyDescent="0.2">
      <c r="B32" s="980" t="s">
        <v>2049</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2049</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2049</v>
      </c>
      <c r="C38" s="981" t="s">
        <v>1549</v>
      </c>
    </row>
    <row r="39" spans="1:8" ht="9" customHeight="1" x14ac:dyDescent="0.2">
      <c r="B39" s="982"/>
      <c r="C39" s="985"/>
    </row>
    <row r="40" spans="1:8" s="977" customFormat="1" ht="13.5" customHeight="1" x14ac:dyDescent="0.2">
      <c r="B40" s="980" t="s">
        <v>2049</v>
      </c>
      <c r="C40" s="981" t="s">
        <v>1550</v>
      </c>
    </row>
    <row r="41" spans="1:8" ht="9" customHeight="1" x14ac:dyDescent="0.2">
      <c r="A41" s="986"/>
      <c r="B41" s="982"/>
      <c r="C41" s="985"/>
    </row>
    <row r="42" spans="1:8" s="977" customFormat="1" ht="13.5" customHeight="1" x14ac:dyDescent="0.2">
      <c r="B42" s="980" t="s">
        <v>2049</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t="s">
        <v>2049</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Three Rivers EFE System</v>
      </c>
      <c r="B1" s="2558"/>
      <c r="C1" s="2558"/>
      <c r="D1" s="2558"/>
    </row>
    <row r="2" spans="1:11" s="991" customFormat="1" ht="12.75" x14ac:dyDescent="0.2">
      <c r="A2" s="2559">
        <f>'Single Audit Cover'!E7</f>
        <v>56099711045</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Three Rivers EFE System</v>
      </c>
      <c r="B1" s="2562"/>
      <c r="C1" s="2562"/>
      <c r="D1" s="2562"/>
      <c r="E1" s="2562"/>
    </row>
    <row r="2" spans="1:5" x14ac:dyDescent="0.2">
      <c r="A2" s="2563">
        <f>'Single Audit Cover'!E7</f>
        <v>56099711045</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836685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0</v>
      </c>
    </row>
    <row r="19" spans="1:4" ht="13.5" thickBot="1" x14ac:dyDescent="0.25">
      <c r="A19" s="1041" t="s">
        <v>1224</v>
      </c>
      <c r="D19" s="1042">
        <f>SUM(D10:D17)</f>
        <v>836685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836685</v>
      </c>
    </row>
    <row r="33" spans="1:4" x14ac:dyDescent="0.2">
      <c r="D33" s="1045"/>
    </row>
    <row r="34" spans="1:4" x14ac:dyDescent="0.2">
      <c r="A34" s="295" t="s">
        <v>1221</v>
      </c>
    </row>
    <row r="35" spans="1:4" x14ac:dyDescent="0.2">
      <c r="A35" s="295" t="s">
        <v>1220</v>
      </c>
      <c r="B35" s="1034" t="s">
        <v>1219</v>
      </c>
      <c r="D35" s="1046">
        <v>836685</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836685</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zoomScaleNormal="100" workbookViewId="0">
      <selection activeCell="O12" sqref="O12"/>
    </sheetView>
  </sheetViews>
  <sheetFormatPr defaultColWidth="33.5703125" defaultRowHeight="12.75" x14ac:dyDescent="0.2"/>
  <cols>
    <col min="1" max="1" width="0.140625" style="295" customWidth="1"/>
    <col min="2" max="2" width="36.14062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Three Rivers EFE System</v>
      </c>
      <c r="C1" s="2566"/>
      <c r="D1" s="2566"/>
      <c r="E1" s="2566"/>
      <c r="F1" s="2566"/>
      <c r="G1" s="2566"/>
      <c r="H1" s="2566"/>
      <c r="I1" s="2566"/>
      <c r="J1" s="2566"/>
      <c r="K1" s="2566"/>
      <c r="L1" s="2566"/>
      <c r="M1" s="2566"/>
    </row>
    <row r="2" spans="2:14" ht="15" x14ac:dyDescent="0.2">
      <c r="B2" s="2567">
        <f>'Single Audit Cover'!E7</f>
        <v>56099711045</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2068</v>
      </c>
      <c r="C11" s="1821"/>
      <c r="D11" s="1822"/>
      <c r="E11" s="1823"/>
      <c r="F11" s="1823"/>
      <c r="G11" s="1823"/>
      <c r="H11" s="1823"/>
      <c r="I11" s="1823"/>
      <c r="J11" s="1823"/>
      <c r="K11" s="1823"/>
      <c r="L11" s="1823">
        <f>+G11+I11+K11</f>
        <v>0</v>
      </c>
      <c r="M11" s="1823"/>
    </row>
    <row r="12" spans="2:14" ht="20.100000000000001" customHeight="1" x14ac:dyDescent="0.2">
      <c r="B12" s="1113" t="s">
        <v>2069</v>
      </c>
      <c r="C12" s="1824"/>
      <c r="D12" s="1825"/>
      <c r="E12" s="1826"/>
      <c r="F12" s="1826"/>
      <c r="G12" s="1826"/>
      <c r="H12" s="1826"/>
      <c r="I12" s="1826"/>
      <c r="J12" s="1826"/>
      <c r="K12" s="1826"/>
      <c r="L12" s="1823">
        <f t="shared" ref="L12:L26" si="0">+G12+I12+K12</f>
        <v>0</v>
      </c>
      <c r="M12" s="1826"/>
    </row>
    <row r="13" spans="2:14" ht="20.100000000000001" customHeight="1" x14ac:dyDescent="0.2">
      <c r="B13" s="1113" t="s">
        <v>2095</v>
      </c>
      <c r="C13" s="1824" t="s">
        <v>2081</v>
      </c>
      <c r="D13" s="1825" t="s">
        <v>2070</v>
      </c>
      <c r="E13" s="1826"/>
      <c r="F13" s="1826">
        <v>836685</v>
      </c>
      <c r="G13" s="1826"/>
      <c r="H13" s="1826"/>
      <c r="I13" s="1826">
        <v>836685</v>
      </c>
      <c r="J13" s="1826">
        <v>719550</v>
      </c>
      <c r="K13" s="1826"/>
      <c r="L13" s="1823">
        <f t="shared" si="0"/>
        <v>836685</v>
      </c>
      <c r="M13" s="1826">
        <v>836685</v>
      </c>
    </row>
    <row r="14" spans="2:14" ht="20.100000000000001" customHeight="1" x14ac:dyDescent="0.2">
      <c r="B14" s="1113" t="s">
        <v>1351</v>
      </c>
      <c r="C14" s="1824"/>
      <c r="D14" s="1825"/>
      <c r="E14" s="1826"/>
      <c r="F14" s="1826">
        <v>836685</v>
      </c>
      <c r="G14" s="1826"/>
      <c r="H14" s="1826"/>
      <c r="I14" s="1826">
        <v>836685</v>
      </c>
      <c r="J14" s="1826">
        <v>719550</v>
      </c>
      <c r="K14" s="1826"/>
      <c r="L14" s="1823">
        <f t="shared" si="0"/>
        <v>836685</v>
      </c>
      <c r="M14" s="1826"/>
    </row>
    <row r="15" spans="2:14" ht="20.100000000000001" customHeight="1" x14ac:dyDescent="0.2">
      <c r="B15" s="1113"/>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c r="N26" s="1114"/>
    </row>
    <row r="27" spans="2:14" ht="12.75" customHeight="1" x14ac:dyDescent="0.2">
      <c r="B27" s="1115"/>
      <c r="C27" s="1116"/>
      <c r="D27" s="1117"/>
      <c r="E27" s="1118"/>
      <c r="F27" s="1118"/>
      <c r="G27" s="1118"/>
      <c r="H27" s="1118"/>
      <c r="I27" s="1118"/>
      <c r="J27" s="1118"/>
      <c r="K27" s="1118"/>
      <c r="L27" s="1118"/>
      <c r="M27" s="1118"/>
      <c r="N27" s="1114"/>
    </row>
    <row r="28" spans="2:14" x14ac:dyDescent="0.2">
      <c r="B28" s="1033"/>
      <c r="C28" s="1119"/>
      <c r="D28" s="1120"/>
      <c r="E28" s="1033"/>
      <c r="F28" s="1033"/>
      <c r="G28" s="1026"/>
      <c r="H28" s="1026"/>
      <c r="I28" s="1026"/>
      <c r="J28" s="1026"/>
      <c r="K28" s="1026"/>
      <c r="L28" s="1026"/>
      <c r="M28" s="1033"/>
      <c r="N28" s="1114"/>
    </row>
    <row r="29" spans="2:14" ht="13.5" customHeight="1" x14ac:dyDescent="0.2">
      <c r="B29" s="1058" t="s">
        <v>1711</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1809</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1235</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1712</v>
      </c>
      <c r="C36" s="1135"/>
      <c r="D36" s="1135"/>
      <c r="E36" s="1135"/>
      <c r="F36" s="1135"/>
      <c r="G36" s="1135"/>
      <c r="H36" s="1135"/>
      <c r="I36" s="1136"/>
      <c r="J36" s="1136"/>
      <c r="K36" s="1136"/>
      <c r="L36" s="1136"/>
      <c r="M36" s="1136"/>
    </row>
    <row r="37" spans="2:13" ht="11.25" customHeight="1" x14ac:dyDescent="0.2">
      <c r="B37" s="1137" t="s">
        <v>1567</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1713</v>
      </c>
      <c r="C39" s="1136"/>
      <c r="D39" s="1136"/>
      <c r="E39" s="1136"/>
      <c r="F39" s="1136"/>
      <c r="G39" s="1136"/>
      <c r="H39" s="1136"/>
      <c r="I39" s="1136"/>
      <c r="J39" s="1136"/>
      <c r="K39" s="1136"/>
      <c r="L39" s="1136"/>
      <c r="M39" s="1136"/>
    </row>
    <row r="40" spans="2:13" ht="11.25" customHeight="1" x14ac:dyDescent="0.2">
      <c r="B40" s="1076" t="s">
        <v>1568</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1714</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1715</v>
      </c>
      <c r="C44" s="1138"/>
      <c r="D44" s="1139"/>
      <c r="E44" s="1076"/>
      <c r="F44" s="1076"/>
      <c r="G44" s="1076"/>
      <c r="H44" s="1076"/>
      <c r="I44" s="1076"/>
      <c r="J44" s="1076"/>
      <c r="K44" s="1140"/>
      <c r="L44" s="1140"/>
      <c r="M44" s="1076"/>
    </row>
    <row r="45" spans="2:13" ht="11.25" customHeight="1" x14ac:dyDescent="0.2">
      <c r="B45" s="1076" t="s">
        <v>1569</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Three Rivers EFE System</v>
      </c>
      <c r="B1" s="2571"/>
      <c r="C1" s="2571"/>
      <c r="D1" s="2571"/>
      <c r="E1" s="2571"/>
      <c r="F1" s="2571"/>
    </row>
    <row r="2" spans="1:7" ht="13.5" customHeight="1" x14ac:dyDescent="0.2">
      <c r="A2" s="2567">
        <f>'Single Audit Cover'!E7</f>
        <v>56099711045</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2092</v>
      </c>
      <c r="B7" s="2570"/>
      <c r="C7" s="2570"/>
      <c r="D7" s="2570"/>
      <c r="E7" s="2570"/>
      <c r="F7" s="257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2071</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22.5" customHeight="1" x14ac:dyDescent="0.2">
      <c r="A13" s="2570" t="s">
        <v>2093</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t="s">
        <v>2072</v>
      </c>
      <c r="C17" s="1061" t="s">
        <v>2079</v>
      </c>
      <c r="D17" s="2574">
        <v>75406</v>
      </c>
      <c r="E17" s="2574"/>
      <c r="F17" s="2574"/>
    </row>
    <row r="18" spans="1:6" ht="20.65" customHeight="1" x14ac:dyDescent="0.2">
      <c r="A18" s="1059"/>
      <c r="B18" s="1060" t="s">
        <v>2073</v>
      </c>
      <c r="C18" s="1061" t="s">
        <v>2079</v>
      </c>
      <c r="D18" s="2574">
        <v>194776</v>
      </c>
      <c r="E18" s="2574"/>
      <c r="F18" s="2574"/>
    </row>
    <row r="19" spans="1:6" ht="20.65" customHeight="1" x14ac:dyDescent="0.2">
      <c r="A19" s="1059"/>
      <c r="B19" s="1060" t="s">
        <v>2074</v>
      </c>
      <c r="C19" s="1061" t="s">
        <v>2079</v>
      </c>
      <c r="D19" s="2574">
        <v>81648</v>
      </c>
      <c r="E19" s="2574"/>
      <c r="F19" s="2574"/>
    </row>
    <row r="20" spans="1:6" ht="20.65" customHeight="1" x14ac:dyDescent="0.2">
      <c r="A20" s="1059"/>
      <c r="B20" s="1060" t="s">
        <v>2075</v>
      </c>
      <c r="C20" s="1061" t="s">
        <v>2079</v>
      </c>
      <c r="D20" s="2574">
        <v>65287</v>
      </c>
      <c r="E20" s="2574"/>
      <c r="F20" s="2574"/>
    </row>
    <row r="21" spans="1:6" ht="20.65" customHeight="1" x14ac:dyDescent="0.2">
      <c r="A21" s="1059"/>
      <c r="B21" s="1060" t="s">
        <v>2076</v>
      </c>
      <c r="C21" s="1061" t="s">
        <v>2079</v>
      </c>
      <c r="D21" s="2574">
        <v>87610</v>
      </c>
      <c r="E21" s="2574"/>
      <c r="F21" s="2574"/>
    </row>
    <row r="22" spans="1:6" ht="20.65" customHeight="1" x14ac:dyDescent="0.2">
      <c r="A22" s="1059"/>
      <c r="B22" s="1060" t="s">
        <v>2077</v>
      </c>
      <c r="C22" s="1061" t="s">
        <v>2079</v>
      </c>
      <c r="D22" s="2574">
        <v>95239</v>
      </c>
      <c r="E22" s="2574"/>
      <c r="F22" s="2574"/>
    </row>
    <row r="23" spans="1:6" ht="20.65" customHeight="1" x14ac:dyDescent="0.2">
      <c r="A23" s="1059"/>
      <c r="B23" s="1060" t="s">
        <v>2078</v>
      </c>
      <c r="C23" s="1061" t="s">
        <v>2079</v>
      </c>
      <c r="D23" s="2574">
        <v>119584</v>
      </c>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2094</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816</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8" colorId="8" zoomScaleNormal="100" workbookViewId="0">
      <selection sqref="A1:F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1986</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1986</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2048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2066</v>
      </c>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O15" sqref="O1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Three Rivers EFE System</v>
      </c>
      <c r="C1" s="2587"/>
      <c r="D1" s="2587"/>
      <c r="E1" s="2587"/>
      <c r="F1" s="2587"/>
      <c r="G1" s="2587"/>
      <c r="H1" s="2587"/>
      <c r="I1" s="2587"/>
      <c r="J1" s="1178"/>
    </row>
    <row r="2" spans="2:10" s="295" customFormat="1" ht="12.75" customHeight="1" x14ac:dyDescent="0.2">
      <c r="B2" s="2588">
        <f>'Single Audit Cover'!E7</f>
        <v>56099711045</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t="s">
        <v>1154</v>
      </c>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t="s">
        <v>2080</v>
      </c>
      <c r="E29" s="2593"/>
      <c r="F29" s="2593"/>
      <c r="G29" s="2593"/>
      <c r="H29" s="2593"/>
      <c r="I29" s="259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2049</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4" t="s">
        <v>1725</v>
      </c>
      <c r="D37" s="2595"/>
      <c r="E37" s="2595"/>
      <c r="F37" s="2596"/>
      <c r="G37" s="2594" t="s">
        <v>1575</v>
      </c>
      <c r="H37" s="2595"/>
      <c r="I37" s="2596"/>
    </row>
    <row r="38" spans="2:9" ht="16.5" customHeight="1" x14ac:dyDescent="0.2">
      <c r="B38" s="1200" t="s">
        <v>2081</v>
      </c>
      <c r="C38" s="2582" t="s">
        <v>2082</v>
      </c>
      <c r="D38" s="2583"/>
      <c r="E38" s="2583"/>
      <c r="F38" s="2584"/>
      <c r="G38" s="2597">
        <v>836685</v>
      </c>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836685</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836685</v>
      </c>
      <c r="E45" s="2605"/>
    </row>
    <row r="46" spans="2:9" ht="5.25" customHeight="1" x14ac:dyDescent="0.2">
      <c r="B46" s="1201"/>
      <c r="D46" s="1202"/>
      <c r="E46" s="1203"/>
    </row>
    <row r="47" spans="2:9" ht="12.75" customHeight="1" x14ac:dyDescent="0.2">
      <c r="B47" s="1076" t="s">
        <v>1577</v>
      </c>
      <c r="C47" s="1076"/>
      <c r="D47" s="1204">
        <f>+G43/D45</f>
        <v>1</v>
      </c>
      <c r="E47" s="1205"/>
      <c r="F47" s="1206"/>
      <c r="I47" s="1207"/>
    </row>
    <row r="48" spans="2:9" ht="9.9499999999999993" customHeight="1" x14ac:dyDescent="0.2"/>
    <row r="49" spans="1:9" x14ac:dyDescent="0.2">
      <c r="B49" s="1138" t="s">
        <v>1262</v>
      </c>
      <c r="C49" s="1058"/>
      <c r="D49" s="1058"/>
      <c r="E49" s="2606">
        <v>750000</v>
      </c>
      <c r="F49" s="2606"/>
      <c r="G49" s="2606"/>
      <c r="H49" s="300"/>
    </row>
    <row r="51" spans="1:9" ht="13.5" customHeight="1" x14ac:dyDescent="0.2">
      <c r="B51" s="1138" t="s">
        <v>1261</v>
      </c>
      <c r="C51" s="1058"/>
      <c r="E51" s="1194"/>
      <c r="F51" s="1076" t="s">
        <v>879</v>
      </c>
      <c r="G51" s="1194" t="s">
        <v>2049</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Three Rivers EFE System</v>
      </c>
      <c r="C1" s="2586"/>
      <c r="D1" s="2586"/>
      <c r="E1" s="2586"/>
      <c r="F1" s="2586"/>
      <c r="G1" s="2586"/>
      <c r="H1" s="2586"/>
      <c r="I1" s="2586"/>
      <c r="J1" s="2586"/>
      <c r="K1" s="2586"/>
      <c r="L1" s="1144"/>
      <c r="M1" s="1144"/>
    </row>
    <row r="2" spans="1:13" ht="12" customHeight="1" x14ac:dyDescent="0.2">
      <c r="B2" s="2588">
        <f>'Single Audit Cover'!E7</f>
        <v>56099711045</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2057</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Three Rivers EFE System</v>
      </c>
      <c r="C1" s="2613"/>
      <c r="D1" s="2613"/>
      <c r="E1" s="2613"/>
      <c r="F1" s="2613"/>
      <c r="G1" s="2613"/>
      <c r="H1" s="2613"/>
      <c r="I1" s="2613"/>
      <c r="J1" s="2613"/>
      <c r="K1" s="2613"/>
      <c r="L1" s="1221"/>
    </row>
    <row r="2" spans="1:12" ht="12.75" customHeight="1" x14ac:dyDescent="0.2">
      <c r="B2" s="2614">
        <f>'Single Audit Cover'!E7</f>
        <v>56099711045</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2057</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Three Rivers EFE System</v>
      </c>
      <c r="C1" s="2586"/>
      <c r="D1" s="2586"/>
      <c r="E1" s="1240"/>
    </row>
    <row r="2" spans="2:5" s="1058" customFormat="1" ht="12.75" customHeight="1" x14ac:dyDescent="0.2">
      <c r="B2" s="2588">
        <f>'Single Audit Cover'!E7</f>
        <v>56099711045</v>
      </c>
      <c r="C2" s="2588"/>
      <c r="D2" s="2588"/>
      <c r="E2" s="1241"/>
    </row>
    <row r="3" spans="2:5" ht="12.75" customHeight="1" x14ac:dyDescent="0.2">
      <c r="B3" s="2609" t="s">
        <v>1740</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2083</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3027947</v>
      </c>
      <c r="E16" s="1547"/>
      <c r="F16" s="1546">
        <f>SUM('Acct Summary 7-8'!C17,'Acct Summary 7-8'!D17,'Acct Summary 7-8'!F17)</f>
        <v>3015216</v>
      </c>
      <c r="G16" s="1547"/>
      <c r="H16" s="1546">
        <f>SUM(D16-F16)</f>
        <v>12731</v>
      </c>
      <c r="I16" s="1548"/>
      <c r="J16" s="1546">
        <f>SUM('Acct Summary 7-8'!C81,'Acct Summary 7-8'!D81,'Acct Summary 7-8'!F81,'Acct Summary 7-8'!I81)</f>
        <v>337357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F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Three Rivers EFE System</v>
      </c>
      <c r="E7" s="368"/>
      <c r="G7" s="247"/>
      <c r="H7" s="364"/>
      <c r="I7" s="364"/>
      <c r="J7" s="364"/>
      <c r="K7" s="364"/>
      <c r="L7" s="307"/>
      <c r="M7" s="307"/>
      <c r="N7" s="307"/>
      <c r="O7" s="307"/>
      <c r="P7" s="307"/>
    </row>
    <row r="8" spans="1:18" ht="12.75" x14ac:dyDescent="0.2">
      <c r="A8" s="307"/>
      <c r="B8" s="307"/>
      <c r="C8" s="366" t="s">
        <v>1115</v>
      </c>
      <c r="D8" s="369">
        <f>COVER!A13</f>
        <v>56099711045</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337357</v>
      </c>
      <c r="I12" s="380"/>
      <c r="J12" s="380"/>
      <c r="K12" s="1559">
        <f>TRUNC((H12/H13*100000),5)/100000</f>
        <v>0.11141443359999999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3027947</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3015216</v>
      </c>
      <c r="I17" s="380"/>
      <c r="J17" s="389"/>
      <c r="K17" s="1559">
        <f>TRUNC((H17/H18*100000),5)/100000</f>
        <v>0.99579550099999992</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3027947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302457</v>
      </c>
      <c r="I24" s="394"/>
      <c r="J24" s="394"/>
      <c r="K24" s="1555">
        <f>TRUNC(((H24/H25*100000)/100000),2)</f>
        <v>36.11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8375.6</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sqref="A1:F1"/>
      <selection pane="bottomLeft" activeCell="C13" sqref="C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302457</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34900</v>
      </c>
      <c r="D12" s="1573"/>
      <c r="E12" s="1573"/>
      <c r="F12" s="1573"/>
      <c r="G12" s="1573"/>
      <c r="H12" s="1573"/>
      <c r="I12" s="1573"/>
      <c r="J12" s="1574"/>
      <c r="K12" s="1573"/>
      <c r="L12" s="1573"/>
      <c r="M12" s="1576"/>
      <c r="N12" s="1576"/>
    </row>
    <row r="13" spans="1:14" ht="13.5" customHeight="1" thickBot="1" x14ac:dyDescent="0.25">
      <c r="A13" s="1426" t="s">
        <v>639</v>
      </c>
      <c r="B13" s="1407"/>
      <c r="C13" s="1587">
        <f>SUM(C4:C12)</f>
        <v>337357</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337357</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337357</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sqref="A1:F1"/>
      <selection pane="bottomLeft" sqref="A1:F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85798</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2105464</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836685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3027947</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16349</v>
      </c>
      <c r="D9" s="1613"/>
      <c r="E9" s="1586"/>
      <c r="F9" s="1586"/>
      <c r="G9" s="1614"/>
      <c r="H9" s="1586"/>
      <c r="I9" s="1609" t="s">
        <v>1159</v>
      </c>
      <c r="J9" s="1583"/>
      <c r="K9" s="1586"/>
      <c r="L9" s="325"/>
    </row>
    <row r="10" spans="1:13" s="452" customFormat="1" ht="13.5" thickBot="1" x14ac:dyDescent="0.25">
      <c r="A10" s="1426" t="s">
        <v>1163</v>
      </c>
      <c r="B10" s="1407"/>
      <c r="C10" s="1594">
        <f>SUM(C8:C9)</f>
        <v>3044296</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55697</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455175</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2504344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3015216</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16349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3031565</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12731</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12731</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324626</v>
      </c>
      <c r="D79" s="1630"/>
      <c r="E79" s="1630"/>
      <c r="F79" s="1630"/>
      <c r="G79" s="1630"/>
      <c r="H79" s="1630"/>
      <c r="I79" s="1630"/>
      <c r="J79" s="1630"/>
      <c r="K79" s="1630"/>
      <c r="L79" s="325"/>
    </row>
    <row r="80" spans="1:12" x14ac:dyDescent="0.2">
      <c r="A80" s="2233" t="s">
        <v>1769</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337357</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12731</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3.7737470987707383E-2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78" activePane="bottomLeft" state="frozen"/>
      <selection sqref="A1:F1"/>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1776</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1464</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1464</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97</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82689</v>
      </c>
      <c r="D106" s="1598"/>
      <c r="E106" s="1574"/>
      <c r="F106" s="1574"/>
      <c r="G106" s="1574"/>
      <c r="H106" s="1574"/>
      <c r="I106" s="1617"/>
      <c r="J106" s="1574"/>
      <c r="K106" s="1574"/>
    </row>
    <row r="107" spans="1:12" ht="12.75" customHeight="1" x14ac:dyDescent="0.2">
      <c r="A107" s="427" t="s">
        <v>78</v>
      </c>
      <c r="B107" s="429">
        <v>1999</v>
      </c>
      <c r="C107" s="1632">
        <v>1548</v>
      </c>
      <c r="D107" s="1573"/>
      <c r="E107" s="1573"/>
      <c r="F107" s="1573"/>
      <c r="G107" s="1573"/>
      <c r="H107" s="1573"/>
      <c r="I107" s="1573"/>
      <c r="J107" s="1574"/>
      <c r="K107" s="1573"/>
    </row>
    <row r="108" spans="1:12" ht="12.75" customHeight="1" thickBot="1" x14ac:dyDescent="0.25">
      <c r="A108" s="1406" t="s">
        <v>484</v>
      </c>
      <c r="B108" s="1408"/>
      <c r="C108" s="1633">
        <f>SUM(C95:C107)</f>
        <v>84334</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85798</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2105464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2105464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2105464</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2105464</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1777</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836685</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836685</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836685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836685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3027947</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74" activePane="bottomLeft" state="frozen"/>
      <selection sqref="A1:F1"/>
      <selection pane="bottomLeft" sqref="A1:F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v>22843</v>
      </c>
      <c r="F5" s="1573">
        <v>31001</v>
      </c>
      <c r="G5" s="1573">
        <v>1853</v>
      </c>
      <c r="H5" s="1573"/>
      <c r="I5" s="1574"/>
      <c r="J5" s="1574"/>
      <c r="K5" s="1672">
        <f>SUM(C5:J5)</f>
        <v>55697</v>
      </c>
      <c r="L5" s="1573">
        <v>43077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22843</v>
      </c>
      <c r="F33" s="1674">
        <f t="shared" si="1"/>
        <v>31001</v>
      </c>
      <c r="G33" s="1674">
        <f t="shared" si="1"/>
        <v>1853</v>
      </c>
      <c r="H33" s="1674">
        <f t="shared" si="1"/>
        <v>0</v>
      </c>
      <c r="I33" s="1674">
        <f t="shared" si="1"/>
        <v>0</v>
      </c>
      <c r="J33" s="1674">
        <f t="shared" si="1"/>
        <v>0</v>
      </c>
      <c r="K33" s="1674">
        <f t="shared" si="1"/>
        <v>55697</v>
      </c>
      <c r="L33" s="1674">
        <f t="shared" si="1"/>
        <v>43077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139007</v>
      </c>
      <c r="D44" s="1586">
        <v>36656</v>
      </c>
      <c r="E44" s="1586">
        <v>56289</v>
      </c>
      <c r="F44" s="1586">
        <v>1348</v>
      </c>
      <c r="G44" s="1586"/>
      <c r="H44" s="1586"/>
      <c r="I44" s="1574"/>
      <c r="J44" s="1574"/>
      <c r="K44" s="1678">
        <f>SUM(C44:J44)</f>
        <v>233300</v>
      </c>
      <c r="L44" s="1586">
        <v>281999</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139007</v>
      </c>
      <c r="D47" s="1674">
        <f t="shared" ref="D47:K47" si="4">SUM(D44:D46)</f>
        <v>36656</v>
      </c>
      <c r="E47" s="1674">
        <f t="shared" si="4"/>
        <v>56289</v>
      </c>
      <c r="F47" s="1674">
        <f t="shared" si="4"/>
        <v>1348</v>
      </c>
      <c r="G47" s="1674">
        <f t="shared" si="4"/>
        <v>0</v>
      </c>
      <c r="H47" s="1674">
        <f t="shared" si="4"/>
        <v>0</v>
      </c>
      <c r="I47" s="1674">
        <f t="shared" si="4"/>
        <v>0</v>
      </c>
      <c r="J47" s="1674">
        <f t="shared" si="4"/>
        <v>0</v>
      </c>
      <c r="K47" s="1674">
        <f t="shared" si="4"/>
        <v>233300</v>
      </c>
      <c r="L47" s="1674">
        <f>SUM(L44:L46)</f>
        <v>281999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133491</v>
      </c>
      <c r="D49" s="1586">
        <v>60305</v>
      </c>
      <c r="E49" s="1586">
        <v>24298</v>
      </c>
      <c r="F49" s="1586">
        <v>2129</v>
      </c>
      <c r="G49" s="1586"/>
      <c r="H49" s="1586">
        <v>1061</v>
      </c>
      <c r="I49" s="1574"/>
      <c r="J49" s="1574"/>
      <c r="K49" s="1678">
        <f>SUM(C49:J49)</f>
        <v>221284</v>
      </c>
      <c r="L49" s="1586">
        <v>230661</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133491</v>
      </c>
      <c r="D53" s="1674">
        <f t="shared" ref="D53:L53" si="5">SUM(D49:D52)</f>
        <v>60305</v>
      </c>
      <c r="E53" s="1674">
        <f t="shared" si="5"/>
        <v>24298</v>
      </c>
      <c r="F53" s="1674">
        <f t="shared" si="5"/>
        <v>2129</v>
      </c>
      <c r="G53" s="1674">
        <f t="shared" si="5"/>
        <v>0</v>
      </c>
      <c r="H53" s="1674">
        <f t="shared" si="5"/>
        <v>1061</v>
      </c>
      <c r="I53" s="1674">
        <f t="shared" si="5"/>
        <v>0</v>
      </c>
      <c r="J53" s="1674">
        <f t="shared" si="5"/>
        <v>0</v>
      </c>
      <c r="K53" s="1674">
        <f t="shared" si="5"/>
        <v>221284</v>
      </c>
      <c r="L53" s="1674">
        <f t="shared" si="5"/>
        <v>230661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591</v>
      </c>
      <c r="F60" s="1573"/>
      <c r="G60" s="1573"/>
      <c r="H60" s="1573"/>
      <c r="I60" s="1574"/>
      <c r="J60" s="1574"/>
      <c r="K60" s="1678">
        <f t="shared" si="7"/>
        <v>591</v>
      </c>
      <c r="L60" s="1573">
        <v>800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591</v>
      </c>
      <c r="F65" s="1674">
        <f t="shared" si="8"/>
        <v>0</v>
      </c>
      <c r="G65" s="1674">
        <f t="shared" si="8"/>
        <v>0</v>
      </c>
      <c r="H65" s="1674">
        <f t="shared" si="8"/>
        <v>0</v>
      </c>
      <c r="I65" s="1674">
        <f t="shared" si="8"/>
        <v>0</v>
      </c>
      <c r="J65" s="1674">
        <f t="shared" si="8"/>
        <v>0</v>
      </c>
      <c r="K65" s="1674">
        <f t="shared" si="8"/>
        <v>591</v>
      </c>
      <c r="L65" s="1674">
        <f t="shared" si="8"/>
        <v>800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272498</v>
      </c>
      <c r="D74" s="1681">
        <f t="shared" ref="D74:K74" si="10">SUM(D42,D47,D53,D57,D65,D72,D73)</f>
        <v>96961</v>
      </c>
      <c r="E74" s="1681">
        <f t="shared" si="10"/>
        <v>81178</v>
      </c>
      <c r="F74" s="1681">
        <f t="shared" si="10"/>
        <v>3477</v>
      </c>
      <c r="G74" s="1681">
        <f t="shared" si="10"/>
        <v>0</v>
      </c>
      <c r="H74" s="1681">
        <f t="shared" si="10"/>
        <v>1061</v>
      </c>
      <c r="I74" s="1681">
        <f t="shared" si="10"/>
        <v>0</v>
      </c>
      <c r="J74" s="1681">
        <f t="shared" si="10"/>
        <v>0</v>
      </c>
      <c r="K74" s="1681">
        <f t="shared" si="10"/>
        <v>455175</v>
      </c>
      <c r="L74" s="1681">
        <f>SUM(L42,L47,L53,L57,L65,L72,L73)</f>
        <v>513460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2504344</v>
      </c>
      <c r="I81" s="1582"/>
      <c r="J81" s="1582"/>
      <c r="K81" s="1672">
        <f t="shared" si="11"/>
        <v>2504344</v>
      </c>
      <c r="L81" s="1573">
        <v>2504344</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2504344</v>
      </c>
      <c r="I84" s="1582"/>
      <c r="J84" s="1582"/>
      <c r="K84" s="1674">
        <f>SUM(K78:K83)</f>
        <v>2504344</v>
      </c>
      <c r="L84" s="1674">
        <f>SUM(L78:L83)</f>
        <v>2504344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2504344</v>
      </c>
      <c r="I102" s="1582"/>
      <c r="J102" s="1582"/>
      <c r="K102" s="1681">
        <f>SUM(K84,K92,K100,K101)</f>
        <v>2504344</v>
      </c>
      <c r="L102" s="1681">
        <f>SUM(L84,L92,L100,L101)</f>
        <v>2504344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272498</v>
      </c>
      <c r="D114" s="1674">
        <f t="shared" ref="D114:K114" si="13">SUM(D33,D74,D75,D102,D112,D113)</f>
        <v>96961</v>
      </c>
      <c r="E114" s="1674">
        <f t="shared" si="13"/>
        <v>104021</v>
      </c>
      <c r="F114" s="1674">
        <f t="shared" si="13"/>
        <v>34478</v>
      </c>
      <c r="G114" s="1674">
        <f t="shared" si="13"/>
        <v>1853</v>
      </c>
      <c r="H114" s="1674">
        <f>SUM(H33,H74,H75,H102,H112,H113)</f>
        <v>2505405</v>
      </c>
      <c r="I114" s="1674">
        <f t="shared" si="13"/>
        <v>0</v>
      </c>
      <c r="J114" s="1674">
        <f t="shared" si="13"/>
        <v>0</v>
      </c>
      <c r="K114" s="1674">
        <f t="shared" si="13"/>
        <v>3015216</v>
      </c>
      <c r="L114" s="1674">
        <f>SUM(L33,L74,L75,L102,L112,L113)</f>
        <v>3060881</v>
      </c>
    </row>
    <row r="115" spans="1:14" ht="13.5" thickTop="1" x14ac:dyDescent="0.2">
      <c r="A115" s="2261" t="s">
        <v>989</v>
      </c>
      <c r="B115" s="2262"/>
      <c r="C115" s="1675"/>
      <c r="D115" s="1675"/>
      <c r="E115" s="1675"/>
      <c r="F115" s="1675"/>
      <c r="G115" s="1675"/>
      <c r="H115" s="1675"/>
      <c r="I115" s="1675"/>
      <c r="J115" s="1675"/>
      <c r="K115" s="1689">
        <f>'Revenues 9-14'!C268-'Expenditures 15-22'!K114</f>
        <v>12731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schemas.microsoft.com/sharepoint/v3"/>
    <ds:schemaRef ds:uri="6ce3111e-7420-4802-b50a-75d4e9a0b980"/>
    <ds:schemaRef ds:uri="4d435f69-8686-490b-bd6d-b153bf22ab50"/>
    <ds:schemaRef ds:uri="d21dc803-237d-4c68-8692-8d731fd29118"/>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2020-10-28T20:50:34Z</cp:lastPrinted>
  <dcterms:created xsi:type="dcterms:W3CDTF">2003-10-29T19:06:34Z</dcterms:created>
  <dcterms:modified xsi:type="dcterms:W3CDTF">2020-11-13T20:42:28Z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