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A7420AF-722D-4421-9828-150A40315C2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8" i="179" l="1"/>
  <c r="H18" i="179"/>
  <c r="E27" i="179"/>
  <c r="E22" i="179"/>
  <c r="E18" i="179"/>
  <c r="F21" i="185" l="1"/>
  <c r="G21" i="185"/>
  <c r="L21" i="185" s="1"/>
  <c r="I21" i="185"/>
  <c r="G27" i="179"/>
  <c r="I27" i="179"/>
  <c r="F27" i="179"/>
  <c r="G22" i="179"/>
  <c r="I22" i="179"/>
  <c r="F22" i="179"/>
  <c r="M18" i="179"/>
  <c r="F18" i="179"/>
  <c r="G18" i="179"/>
  <c r="I18" i="179"/>
  <c r="F19" i="185"/>
  <c r="G19" i="185"/>
  <c r="L19" i="185" s="1"/>
  <c r="I19" i="185"/>
  <c r="E19" i="185"/>
  <c r="E21" i="185" s="1"/>
  <c r="L27" i="185"/>
  <c r="L26" i="185"/>
  <c r="L25" i="185"/>
  <c r="L24" i="185"/>
  <c r="L23" i="185"/>
  <c r="L22" i="185"/>
  <c r="L20" i="185"/>
  <c r="L18" i="185"/>
  <c r="L17" i="185"/>
  <c r="L16" i="185"/>
  <c r="L15" i="185"/>
  <c r="L14" i="185"/>
  <c r="L13" i="185"/>
  <c r="L12" i="185"/>
  <c r="L11" i="185"/>
  <c r="I9" i="185"/>
  <c r="G9" i="185"/>
  <c r="F9" i="185"/>
  <c r="E9" i="185"/>
  <c r="J8" i="185"/>
  <c r="H8" i="185"/>
  <c r="B4" i="185"/>
  <c r="J24" i="24" l="1"/>
  <c r="D84" i="36" l="1"/>
  <c r="N59" i="184" l="1"/>
  <c r="N58" i="184"/>
  <c r="N57" i="184"/>
  <c r="N67" i="184"/>
  <c r="N66" i="184"/>
  <c r="N65" i="184"/>
  <c r="N64" i="184"/>
  <c r="N63" i="184"/>
  <c r="N62" i="184"/>
  <c r="N61" i="184"/>
  <c r="N60" i="184"/>
  <c r="E67" i="184" l="1"/>
  <c r="E66" i="184"/>
  <c r="E65" i="184"/>
  <c r="E64" i="184"/>
  <c r="E63" i="184"/>
  <c r="E62" i="184"/>
  <c r="E61" i="184"/>
  <c r="E60" i="184"/>
  <c r="E59" i="184"/>
  <c r="E58" i="184"/>
  <c r="E57" i="184"/>
  <c r="F15" i="184" l="1"/>
  <c r="F19" i="184" s="1"/>
  <c r="E17" i="184"/>
  <c r="E16" i="184"/>
  <c r="E15" i="184"/>
  <c r="E14" i="184"/>
  <c r="E13" i="184"/>
  <c r="J7" i="184"/>
  <c r="L53" i="184" s="1"/>
  <c r="J6" i="184"/>
  <c r="L52" i="184" s="1"/>
  <c r="M68" i="184"/>
  <c r="L68" i="184"/>
  <c r="K68" i="184"/>
  <c r="G16" i="184" s="1"/>
  <c r="J68" i="184"/>
  <c r="G15" i="184" s="1"/>
  <c r="I68" i="184"/>
  <c r="G14" i="184" s="1"/>
  <c r="H68" i="184"/>
  <c r="G13" i="184" s="1"/>
  <c r="G68" i="184"/>
  <c r="G12" i="184" s="1"/>
  <c r="E68" i="184"/>
  <c r="K19" i="184"/>
  <c r="J19" i="184"/>
  <c r="I19" i="184"/>
  <c r="L18" i="184"/>
  <c r="H18" i="184"/>
  <c r="L17" i="184"/>
  <c r="G17" i="184"/>
  <c r="L16" i="184"/>
  <c r="L15" i="184"/>
  <c r="L14" i="184"/>
  <c r="L13" i="184"/>
  <c r="L12" i="184"/>
  <c r="L19" i="184" l="1"/>
  <c r="N68" i="184"/>
  <c r="H17" i="184"/>
  <c r="H16" i="184"/>
  <c r="H15"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E22" i="183"/>
  <c r="E21" i="183"/>
  <c r="F21" i="183" s="1"/>
  <c r="E20" i="183"/>
  <c r="E19" i="183"/>
  <c r="E18" i="183"/>
  <c r="F18" i="183" s="1"/>
  <c r="F17" i="183"/>
  <c r="E17" i="183"/>
  <c r="D7887" i="106" l="1"/>
  <c r="D7886" i="106"/>
  <c r="B7887" i="106"/>
  <c r="B7886" i="106"/>
  <c r="F80" i="34"/>
  <c r="F76" i="34"/>
  <c r="F75" i="34"/>
  <c r="B3674" i="106" l="1"/>
  <c r="B3635" i="106"/>
  <c r="B7885" i="106"/>
  <c r="D7885" i="106" s="1"/>
  <c r="B7884" i="106"/>
  <c r="B7883" i="106"/>
  <c r="B7882" i="106"/>
  <c r="D7884" i="106"/>
  <c r="D7883" i="106"/>
  <c r="D7882" i="106"/>
  <c r="B11" i="7" l="1"/>
  <c r="D7836" i="106" l="1"/>
  <c r="D7817"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E19" i="184" l="1"/>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<sst xmlns="http://schemas.openxmlformats.org/spreadsheetml/2006/main" count="5296" uniqueCount="2145">
  <si>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</si>
  <si>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</si>
  <si>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</si>
  <si>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</si>
  <si>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</si>
  <si>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</si>
  <si>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</si>
  <si>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</si>
  <si>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</si>
  <si>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</si>
  <si>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</si>
  <si>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</si>
  <si>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</si>
  <si>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</si>
  <si>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</si>
  <si>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</si>
  <si>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</si>
  <si>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</si>
  <si>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</si>
  <si>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</si>
  <si>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</si>
  <si>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</si>
  <si>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</si>
  <si>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</si>
  <si>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</si>
  <si>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</si>
  <si>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</si>
  <si>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</si>
  <si>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</si>
  <si>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</si>
  <si>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</si>
  <si>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</si>
  <si>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</si>
  <si>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</si>
  <si>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</si>
  <si>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</si>
  <si>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</si>
  <si>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</si>
  <si>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</si>
  <si>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</si>
  <si>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</si>
  <si>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</si>
  <si>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</si>
  <si>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</si>
  <si>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</si>
  <si>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</si>
  <si>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</si>
  <si>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</si>
  <si>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</si>
  <si>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</si>
  <si>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</si>
  <si>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</si>
  <si>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</si>
  <si>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</si>
  <si>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</si>
  <si>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</si>
  <si>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</si>
  <si>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</si>
  <si>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</si>
  <si>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</si>
  <si>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</si>
  <si>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</si>
  <si>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</si>
  <si>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</si>
  <si>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</si>
  <si>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</si>
  <si>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</si>
  <si>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</si>
  <si>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</si>
  <si>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</si>
  <si>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</si>
  <si>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</si>
  <si>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</si>
  <si>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</si>
  <si>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</si>
  <si>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</si>
  <si>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</si>
  <si>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</si>
  <si>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</si>
  <si>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</si>
  <si>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</si>
  <si>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</si>
  <si>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</si>
  <si>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</si>
  <si>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</si>
  <si>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</si>
  <si>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</si>
  <si>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</si>
  <si>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</si>
  <si>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</si>
  <si>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</si>
  <si>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</si>
  <si>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</si>
  <si>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</si>
  <si>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</si>
  <si>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</si>
  <si>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</si>
  <si>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</si>
  <si>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</si>
  <si>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</si>
  <si>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</si>
  <si>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</si>
  <si>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</si>
  <si>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</si>
  <si>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</si>
  <si>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</si>
  <si>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</si>
  <si>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</si>
  <si>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</si>
  <si>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</si>
  <si>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</si>
  <si>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</si>
  <si>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</si>
  <si>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</si>
  <si>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</si>
  <si>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</si>
  <si>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</si>
  <si>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</si>
  <si>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</si>
  <si>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</si>
  <si>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</si>
  <si>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</si>
  <si>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</si>
  <si>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</si>
  <si>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</si>
  <si>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</si>
  <si>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</si>
  <si>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</si>
  <si>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</si>
  <si>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</si>
  <si>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</si>
  <si>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</si>
  <si>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</si>
  <si>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</si>
  <si>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</si>
  <si>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</si>
  <si>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</si>
  <si>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</si>
  <si>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</si>
  <si>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</si>
  <si>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</si>
  <si>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</si>
  <si>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</si>
  <si>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</si>
  <si>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</si>
  <si>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</si>
  <si>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</si>
  <si>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</si>
  <si>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</si>
  <si>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</si>
  <si>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</si>
  <si>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</si>
  <si>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</si>
  <si>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</si>
  <si>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</si>
  <si>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</si>
  <si>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</si>
  <si>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</si>
  <si>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</si>
  <si>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</si>
  <si>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</si>
  <si>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</si>
  <si>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</si>
  <si>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</si>
  <si>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</si>
  <si>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</si>
  <si>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</si>
  <si>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</si>
  <si>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</si>
  <si>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</si>
  <si>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</si>
  <si>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</si>
  <si>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</si>
  <si>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</si>
  <si>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</si>
  <si>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</si>
  <si>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</si>
  <si>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</si>
  <si>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</si>
  <si>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</si>
  <si>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</si>
  <si>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</si>
  <si>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</si>
  <si>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</si>
  <si>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</si>
  <si>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</si>
  <si>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</si>
  <si>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</si>
  <si>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</si>
  <si>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</si>
  <si>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</si>
  <si>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</si>
  <si>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</si>
  <si>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</si>
  <si>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</si>
  <si>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</si>
  <si>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</si>
  <si>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</si>
  <si>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</si>
  <si>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</si>
  <si>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</si>
  <si>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</si>
  <si>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</si>
  <si>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</si>
  <si>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</si>
  <si>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</si>
  <si>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</si>
  <si>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</si>
  <si>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</si>
  <si>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</si>
  <si>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</si>
  <si>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</si>
  <si>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</si>
  <si>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</si>
  <si>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</si>
  <si>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</si>
  <si>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</si>
  <si>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</si>
  <si>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</si>
  <si>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</si>
  <si>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</si>
  <si>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</si>
  <si>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</si>
  <si>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</si>
  <si>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</si>
  <si>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</si>
  <si>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</si>
  <si>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</si>
  <si>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</si>
  <si>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</si>
  <si>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</si>
  <si>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</si>
  <si>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</si>
  <si>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</si>
  <si>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</si>
  <si>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</si>
  <si>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</si>
  <si>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</si>
  <si>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</si>
  <si>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</si>
  <si>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</si>
  <si>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</si>
  <si>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</si>
  <si>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</si>
  <si>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</si>
  <si>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</si>
  <si>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</si>
  <si>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</si>
  <si>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</si>
  <si>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</si>
  <si>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</si>
  <si>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</si>
  <si>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</si>
  <si>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</si>
  <si>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</si>
  <si>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</si>
  <si>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</si>
  <si>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</si>
  <si>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</si>
  <si>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</si>
  <si>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</si>
  <si>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</si>
  <si>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</si>
  <si>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</si>
  <si>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</si>
  <si>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</si>
  <si>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</si>
  <si>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</si>
  <si>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</si>
  <si>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</si>
  <si>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</si>
  <si>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</si>
  <si>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</si>
  <si>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</si>
  <si>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</si>
  <si>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</si>
  <si>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</si>
  <si>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</si>
  <si>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</si>
  <si>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</si>
  <si>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</si>
  <si>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</si>
  <si>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</si>
  <si>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</si>
  <si>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</si>
  <si>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</si>
  <si>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</si>
  <si>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</si>
  <si>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</si>
  <si>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</si>
  <si>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</si>
  <si>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</si>
  <si>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</si>
  <si>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</si>
  <si>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</si>
  <si>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</si>
  <si>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</si>
  <si>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</si>
  <si>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</si>
  <si>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</si>
  <si>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</si>
  <si>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</si>
  <si>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</si>
  <si>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</si>
  <si>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</si>
  <si>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</si>
  <si>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</si>
  <si>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</si>
  <si>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</si>
  <si>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</si>
  <si>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</si>
  <si>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</si>
  <si>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</si>
  <si>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</si>
  <si>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</si>
  <si>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</si>
  <si>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</si>
  <si>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</si>
  <si>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</si>
  <si>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</si>
  <si>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</si>
  <si>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</si>
  <si>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</si>
  <si>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</si>
  <si>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</si>
  <si>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</si>
  <si>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</si>
  <si>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</si>
  <si>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</si>
  <si>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</si>
  <si>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</si>
  <si>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</si>
  <si>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</si>
  <si>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</si>
  <si>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</si>
  <si>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</si>
  <si>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</si>
  <si>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</si>
  <si>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</si>
  <si>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</si>
  <si>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</si>
  <si>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</si>
  <si>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</si>
  <si>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</si>
  <si>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</si>
  <si>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</si>
  <si>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</si>
  <si>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</si>
  <si>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</si>
  <si>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</si>
  <si>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</si>
  <si>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</si>
  <si>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</si>
  <si>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</si>
  <si>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</si>
  <si>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</si>
  <si>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</si>
  <si>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</si>
  <si>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</si>
  <si>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</si>
  <si>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</si>
  <si>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</si>
  <si>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</si>
  <si>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</si>
  <si>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</si>
  <si>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</si>
  <si>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</si>
  <si>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</si>
  <si>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</si>
  <si>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</si>
  <si>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</si>
  <si>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</si>
  <si>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</si>
  <si>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</si>
  <si>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</si>
  <si>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</si>
  <si>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</si>
  <si>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</si>
  <si>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</si>
  <si>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</si>
  <si>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</si>
  <si>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</si>
  <si>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</si>
  <si>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</si>
  <si>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</si>
  <si>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</si>
  <si>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</si>
  <si>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</si>
  <si>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</si>
  <si>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</si>
  <si>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</si>
  <si>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</si>
  <si>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</si>
  <si>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</si>
  <si>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</si>
  <si>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</si>
  <si>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</si>
  <si>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</si>
  <si>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</si>
  <si>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</si>
  <si>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</si>
  <si>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</si>
  <si>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</si>
  <si>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</si>
  <si>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</si>
  <si>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</si>
  <si>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</si>
  <si>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</si>
  <si>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</si>
  <si>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</si>
  <si>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</si>
  <si>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</si>
  <si>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</si>
  <si>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</si>
  <si>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</si>
  <si>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</si>
  <si>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</si>
  <si>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</si>
  <si>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</si>
  <si>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</si>
  <si>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</si>
  <si>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</si>
  <si>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</si>
  <si>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</si>
  <si>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</si>
  <si>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</si>
  <si>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</si>
  <si>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</si>
  <si>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</si>
  <si>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</si>
  <si>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</si>
  <si>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</si>
  <si>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</si>
  <si>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</si>
  <si>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</si>
  <si>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</si>
  <si>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</si>
  <si>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</si>
  <si>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</si>
  <si>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</si>
  <si>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</si>
  <si>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</si>
  <si>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</si>
  <si>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</si>
  <si>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</si>
  <si>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</si>
  <si>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</si>
  <si>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</si>
  <si>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</si>
  <si>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</si>
  <si>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</si>
  <si>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</si>
  <si>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</si>
  <si>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</si>
  <si>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</si>
  <si>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</si>
  <si>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</si>
  <si>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</si>
  <si>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</si>
  <si>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</si>
  <si>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</si>
  <si>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</si>
  <si>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</si>
  <si>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</si>
  <si>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</si>
  <si>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</si>
  <si>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</si>
  <si>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</si>
  <si>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</si>
  <si>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</si>
  <si>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</si>
  <si>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</si>
  <si>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</si>
  <si>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</si>
  <si>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</si>
  <si>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</si>
  <si>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</si>
  <si>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</si>
  <si>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</si>
  <si>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</si>
  <si>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</si>
  <si>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</si>
  <si>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</si>
  <si>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</si>
  <si>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</si>
  <si>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</si>
  <si>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</si>
  <si>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</si>
  <si>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</si>
  <si>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</si>
  <si>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</si>
  <si>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</si>
  <si>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</si>
  <si>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</si>
  <si>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</si>
  <si>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</si>
  <si>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</si>
  <si>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</si>
  <si>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</si>
  <si>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</si>
  <si>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</si>
  <si>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</si>
  <si>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</si>
  <si>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</si>
  <si>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</si>
  <si>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</si>
  <si>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</si>
  <si>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</si>
  <si>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</si>
  <si>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</si>
  <si>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</si>
  <si>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</si>
  <si>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</si>
  <si>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</si>
  <si>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</si>
  <si>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</si>
  <si>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</si>
  <si>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</si>
  <si>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</si>
  <si>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</si>
  <si>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</si>
  <si>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</si>
  <si>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</si>
  <si>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</si>
  <si>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</si>
  <si>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</si>
  <si>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</si>
  <si>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</si>
  <si>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</si>
  <si>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</si>
  <si>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</si>
  <si>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</si>
  <si>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</si>
  <si>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</si>
  <si>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</si>
  <si>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</si>
  <si>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</si>
  <si>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</si>
  <si>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</si>
  <si>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</si>
  <si>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</si>
  <si>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</si>
  <si>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</si>
  <si>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</si>
  <si>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</si>
  <si>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</si>
  <si>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</si>
  <si>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</si>
  <si>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</si>
  <si>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</si>
  <si>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</si>
  <si>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</si>
  <si>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</si>
  <si>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</si>
  <si>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</si>
  <si>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</si>
  <si>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</si>
  <si>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</si>
  <si>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</si>
  <si>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</si>
  <si>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</si>
  <si>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</si>
  <si>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</si>
  <si>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</si>
  <si>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</si>
  <si>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</si>
  <si>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</si>
  <si>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</si>
  <si>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</si>
  <si>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</si>
  <si>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</si>
  <si>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</si>
  <si>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</si>
  <si>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</si>
  <si>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</si>
  <si>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</si>
  <si>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</si>
  <si>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</si>
  <si>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</si>
  <si>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</si>
  <si>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</si>
  <si>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</si>
  <si>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</si>
  <si>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</si>
  <si>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</si>
  <si>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</si>
  <si>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</si>
  <si>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</si>
  <si>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</si>
  <si>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</si>
  <si>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</si>
  <si>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</si>
  <si>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</si>
  <si>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</si>
  <si>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</si>
  <si>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</si>
  <si>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</si>
  <si>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</si>
  <si>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</si>
  <si>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</si>
  <si>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</si>
  <si>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</si>
  <si>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</si>
  <si>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</si>
  <si>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</si>
  <si>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</si>
  <si>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</si>
  <si>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</si>
  <si>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</si>
  <si>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</si>
  <si>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</si>
  <si>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</si>
  <si>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</si>
  <si>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</si>
  <si>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</si>
  <si>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</si>
  <si>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</si>
  <si>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</si>
  <si>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</si>
  <si>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</si>
  <si>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</si>
  <si>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</si>
  <si>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</si>
  <si>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</si>
  <si>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</si>
  <si>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</si>
  <si>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</si>
  <si>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</si>
  <si>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</si>
  <si>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</si>
  <si>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</si>
  <si>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</si>
  <si>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</si>
  <si>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</si>
  <si>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</si>
  <si>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</si>
  <si>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</si>
  <si>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</si>
  <si>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</si>
  <si>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</si>
  <si>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</si>
  <si>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</si>
  <si>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</si>
  <si>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</si>
  <si>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</si>
  <si>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</si>
  <si>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</si>
  <si>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</si>
  <si>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</si>
  <si>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</si>
  <si>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</si>
  <si>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</si>
  <si>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</si>
  <si>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</si>
  <si>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</si>
  <si>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</si>
  <si>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</si>
  <si>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</si>
  <si>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</si>
  <si>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</si>
  <si>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</si>
  <si>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</si>
  <si>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</si>
  <si>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</si>
  <si>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</si>
  <si>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</si>
  <si>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</si>
  <si>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</si>
  <si>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</si>
  <si>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</si>
  <si>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</si>
  <si>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</si>
  <si>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</si>
  <si>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</si>
  <si>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</si>
  <si>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</si>
  <si>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</si>
  <si>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</si>
  <si>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</si>
  <si>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</si>
  <si>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</si>
  <si>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</si>
  <si>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</si>
  <si>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</si>
  <si>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</si>
  <si>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</si>
  <si>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</si>
  <si>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</si>
  <si>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</si>
  <si>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</si>
  <si>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</si>
  <si>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</si>
  <si>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</si>
  <si>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</si>
  <si>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</si>
  <si>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</si>
  <si>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</si>
  <si>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</si>
  <si>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</si>
  <si>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</si>
  <si>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</si>
  <si>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</si>
  <si>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</si>
  <si>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</si>
  <si>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</si>
  <si>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</si>
  <si>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</si>
  <si>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</si>
  <si>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</si>
  <si>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</si>
  <si>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</si>
  <si>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</si>
  <si>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</si>
  <si>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</si>
  <si>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</si>
  <si>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</si>
  <si>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</si>
  <si>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</si>
  <si>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</si>
  <si>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</si>
  <si>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</si>
  <si>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</si>
  <si>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</si>
  <si>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</si>
  <si>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</si>
  <si>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</si>
  <si>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</si>
  <si>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</si>
  <si>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</si>
  <si>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</si>
  <si>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</si>
  <si>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</si>
  <si>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</si>
  <si>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</si>
  <si>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</si>
  <si>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</si>
  <si>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</si>
  <si>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</si>
  <si>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</si>
  <si>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</si>
  <si>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</si>
  <si>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</si>
  <si>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</si>
  <si>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</si>
  <si>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</si>
  <si>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</si>
  <si>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</si>
  <si>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</si>
  <si>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</si>
  <si>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</si>
  <si>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</si>
  <si>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</si>
  <si>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</si>
  <si>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</si>
  <si>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</si>
  <si>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</si>
  <si>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</si>
  <si>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</si>
  <si>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</si>
  <si>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</si>
  <si>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</si>
  <si>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</si>
  <si>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</si>
  <si>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</si>
  <si>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</si>
  <si>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</si>
  <si>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</si>
  <si>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</si>
  <si>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</si>
  <si>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</si>
  <si>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</si>
  <si>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</si>
  <si>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</si>
  <si>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</si>
  <si>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</si>
  <si>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</si>
  <si>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</si>
  <si>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</si>
  <si>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</si>
  <si>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</si>
  <si>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</si>
  <si>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</si>
  <si>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</si>
  <si>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</si>
  <si>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</si>
  <si>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</si>
  <si>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</si>
  <si>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</si>
  <si>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</si>
  <si>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</si>
  <si>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</si>
  <si>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</si>
  <si>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</si>
  <si>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</si>
  <si>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</si>
  <si>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</si>
  <si>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</si>
  <si>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</si>
  <si>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</si>
  <si>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</si>
  <si>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</si>
  <si>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</si>
  <si>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</si>
  <si>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</si>
  <si>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</si>
  <si>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</si>
  <si>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</si>
  <si>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</si>
  <si>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</si>
  <si>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</si>
  <si>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</si>
  <si>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</si>
  <si>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</si>
  <si>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</si>
  <si>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</si>
  <si>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</si>
  <si>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</si>
  <si>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</si>
  <si>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</si>
  <si>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</si>
  <si>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</si>
  <si>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</si>
  <si>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</si>
  <si>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</si>
  <si>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</si>
  <si>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</si>
  <si>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</si>
  <si>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</si>
  <si>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</si>
  <si>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</si>
  <si>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</si>
  <si>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</si>
  <si>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</si>
  <si>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</si>
  <si>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</si>
  <si>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</si>
  <si>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</si>
  <si>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</si>
  <si>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</si>
  <si>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</si>
  <si>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</si>
  <si>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</si>
  <si>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</si>
  <si>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</si>
  <si>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</si>
  <si>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</si>
  <si>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</si>
  <si>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</si>
  <si>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</si>
  <si>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</si>
  <si>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</si>
  <si>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</si>
  <si>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</si>
  <si>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</si>
  <si>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</si>
  <si>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</si>
  <si>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</si>
  <si>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</si>
  <si>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</si>
  <si>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</si>
  <si>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</si>
  <si>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</si>
  <si>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</si>
  <si>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</si>
  <si>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</si>
  <si>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</si>
  <si>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</si>
  <si>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</si>
  <si>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</si>
  <si>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</si>
  <si>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</si>
  <si>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</si>
  <si>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</si>
  <si>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</si>
  <si>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</si>
  <si>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</si>
  <si>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</si>
  <si>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</si>
  <si>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</si>
  <si>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</si>
  <si>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</si>
  <si>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</si>
  <si>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</si>
  <si>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</si>
  <si>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</si>
  <si>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</si>
  <si>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</si>
  <si>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</si>
  <si>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</si>
  <si>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</si>
  <si>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</si>
  <si>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</si>
  <si>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</si>
  <si>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</si>
  <si>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</si>
  <si>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</si>
  <si>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</si>
  <si>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</si>
  <si>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</si>
  <si>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</si>
  <si>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</si>
  <si>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</si>
  <si>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</si>
  <si>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</si>
  <si>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</si>
  <si>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</si>
  <si>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</si>
  <si>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</si>
  <si>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</si>
  <si>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</si>
  <si>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</si>
  <si>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</si>
  <si>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</si>
  <si>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</si>
  <si>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</si>
  <si>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</si>
  <si>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</si>
  <si>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</si>
  <si>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</si>
  <si>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</si>
  <si>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</si>
  <si>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</si>
  <si>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</si>
  <si>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</si>
  <si>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</si>
  <si>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</si>
  <si>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</si>
  <si>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</si>
  <si>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</si>
  <si>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</si>
  <si>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</si>
  <si>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</si>
  <si>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</si>
  <si>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</si>
  <si>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</si>
  <si>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</si>
  <si>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</si>
  <si>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</si>
  <si>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</si>
  <si>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</si>
  <si>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</si>
  <si>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</si>
  <si>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</si>
  <si>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</si>
  <si>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</si>
  <si>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</si>
  <si>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</si>
  <si>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</si>
  <si>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</si>
  <si>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</si>
  <si>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</si>
  <si>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</si>
  <si>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</si>
  <si>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</si>
  <si>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</si>
  <si>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</si>
  <si>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</si>
  <si>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</si>
  <si>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</si>
  <si>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</si>
  <si>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</si>
  <si>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</si>
  <si>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</si>
  <si>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</si>
  <si>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</si>
  <si>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</si>
  <si>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</si>
  <si>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</si>
  <si>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</si>
  <si>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</si>
  <si>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</si>
  <si>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</si>
  <si>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</si>
  <si>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</si>
  <si>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</si>
  <si>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</si>
  <si>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</si>
  <si>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</si>
  <si>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</si>
  <si>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</si>
  <si>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</si>
  <si>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</si>
  <si>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</si>
  <si>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</si>
  <si>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</si>
  <si>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</si>
  <si>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</si>
  <si>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</si>
  <si>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</si>
  <si>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</si>
  <si>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</si>
  <si>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</si>
  <si>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</si>
  <si>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</si>
  <si>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</si>
  <si>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</si>
  <si>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</si>
  <si>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</si>
  <si>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</si>
  <si>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</si>
  <si>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</si>
  <si>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</si>
  <si>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</si>
  <si>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</si>
  <si>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</si>
  <si>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</si>
  <si>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</si>
  <si>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</si>
  <si>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</si>
  <si>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</si>
  <si>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</si>
  <si>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</si>
  <si>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</si>
  <si>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</si>
  <si>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</si>
  <si>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</si>
  <si>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</si>
  <si>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</si>
  <si>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</si>
  <si>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</si>
  <si>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</si>
  <si>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</si>
  <si>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</si>
  <si>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</si>
  <si>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</si>
  <si>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</si>
  <si>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</si>
  <si>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</si>
  <si>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</si>
  <si>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</si>
  <si>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</si>
  <si>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</si>
  <si>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</si>
  <si>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</si>
  <si>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</si>
  <si>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</si>
  <si>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</si>
  <si>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</si>
  <si>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</si>
  <si>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</si>
  <si>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</si>
  <si>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</si>
  <si>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</si>
  <si>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</si>
  <si>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</si>
  <si>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</si>
  <si>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</si>
  <si>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</si>
  <si>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</si>
  <si>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</si>
  <si>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</si>
  <si>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</si>
  <si>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</si>
  <si>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</si>
  <si>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</si>
  <si>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</si>
  <si>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</si>
  <si>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</si>
  <si>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</si>
  <si>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</si>
  <si>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</si>
  <si>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</si>
  <si>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</si>
  <si>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</si>
  <si>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</si>
  <si>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</si>
  <si>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</si>
  <si>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</si>
  <si>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</si>
  <si>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</si>
  <si>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</si>
  <si>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</si>
  <si>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</si>
  <si>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</si>
  <si>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</si>
  <si>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</si>
  <si>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</si>
  <si>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</si>
  <si>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</si>
  <si>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</si>
  <si>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</si>
  <si>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</si>
  <si>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</si>
  <si>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</si>
  <si>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</si>
  <si>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</si>
  <si>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</si>
  <si>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</si>
  <si>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</si>
  <si>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</si>
  <si>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</si>
  <si>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</si>
  <si>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</si>
  <si>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</si>
  <si>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</si>
  <si>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</si>
  <si>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</si>
  <si>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</si>
  <si>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</si>
  <si>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</si>
  <si>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</si>
  <si>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</si>
  <si>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</si>
  <si>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</si>
  <si>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</si>
  <si>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</si>
  <si>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</si>
  <si>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</si>
  <si>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</si>
  <si>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</si>
  <si>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</si>
  <si>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</si>
  <si>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</si>
  <si>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</si>
  <si>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</si>
  <si>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</si>
  <si>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</si>
  <si>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</si>
  <si>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</si>
  <si>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</si>
  <si>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</si>
  <si>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</si>
  <si>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</si>
  <si>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</si>
  <si>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</si>
  <si>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</si>
  <si>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</si>
  <si>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</si>
  <si>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</si>
  <si>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</si>
  <si>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</si>
  <si>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</si>
  <si>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</si>
  <si>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</si>
  <si>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</si>
  <si>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</si>
  <si>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</si>
  <si>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</si>
  <si>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</si>
  <si>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</si>
  <si>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</si>
  <si>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</si>
  <si>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</si>
  <si>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</si>
  <si>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</si>
  <si>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</si>
  <si>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</si>
  <si>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</si>
  <si>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</si>
  <si>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</si>
  <si>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</si>
  <si>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</si>
  <si>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</si>
  <si>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</si>
  <si>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</si>
  <si>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</si>
  <si>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</si>
  <si>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</si>
  <si>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</si>
  <si>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</si>
  <si>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</si>
  <si>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</si>
  <si>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</si>
  <si>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</si>
  <si>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</si>
  <si>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</si>
  <si>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</si>
  <si>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</si>
  <si>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</si>
  <si>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</si>
  <si>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</si>
  <si>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</si>
  <si>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</si>
  <si>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</si>
  <si>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</si>
  <si>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</si>
  <si>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</si>
  <si>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</si>
  <si>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</si>
  <si>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</si>
  <si>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</si>
  <si>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</si>
  <si>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</si>
  <si>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</si>
  <si>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</si>
  <si>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</si>
  <si>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</si>
  <si>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</si>
  <si>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</si>
  <si>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</si>
  <si>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</si>
  <si>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</si>
  <si>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</si>
  <si>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</si>
  <si>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</si>
  <si>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</si>
  <si>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</si>
  <si>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</si>
  <si>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</si>
  <si>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</si>
  <si>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</si>
  <si>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</si>
  <si>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</si>
  <si>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</si>
  <si>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</si>
  <si>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</si>
  <si>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</si>
  <si>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</si>
  <si>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</si>
  <si>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</si>
  <si>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</si>
  <si>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</si>
  <si>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</si>
  <si>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</si>
  <si>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</si>
  <si>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</si>
  <si>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</si>
  <si>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</si>
  <si>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</si>
  <si>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</si>
  <si>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</si>
  <si>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</si>
  <si>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</si>
  <si>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</si>
  <si>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</si>
  <si>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</si>
  <si>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</si>
  <si>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</si>
  <si>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</si>
  <si>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</si>
  <si>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</si>
  <si>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</si>
  <si>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</si>
  <si>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</si>
  <si>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</si>
  <si>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</si>
  <si>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</si>
  <si>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</si>
  <si>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</si>
  <si>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</si>
  <si>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</si>
  <si>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</si>
  <si>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</si>
  <si>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</si>
  <si>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</si>
  <si>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</si>
  <si>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</si>
  <si>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</si>
  <si>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</si>
  <si>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</si>
  <si>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</si>
  <si>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</si>
  <si>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</si>
  <si>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</si>
  <si>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</si>
  <si>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</si>
  <si>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</si>
  <si>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</si>
  <si>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</si>
  <si>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</si>
  <si>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</si>
  <si>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</si>
  <si>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</si>
  <si>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</si>
  <si>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</si>
  <si>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</si>
  <si>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</si>
  <si>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</si>
  <si>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</si>
  <si>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</si>
  <si>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</si>
  <si>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</si>
  <si>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</si>
  <si>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</si>
  <si>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</si>
  <si>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</si>
  <si>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</si>
  <si>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</si>
  <si>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</si>
  <si>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</si>
  <si>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</si>
  <si>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</si>
  <si>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</si>
  <si>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</si>
  <si>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</si>
  <si>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</si>
  <si>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</si>
  <si>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</si>
  <si>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</si>
  <si>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</si>
  <si>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</si>
  <si>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</si>
  <si>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</si>
  <si>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</si>
  <si>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</si>
  <si>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</si>
  <si>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</si>
  <si>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</si>
  <si>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</si>
  <si>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</si>
  <si>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</si>
  <si>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</si>
  <si>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</si>
  <si>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</si>
  <si>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</si>
  <si>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</si>
  <si>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</si>
  <si>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</si>
  <si>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</si>
  <si>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</si>
  <si>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</si>
  <si>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</si>
  <si>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</si>
  <si>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</si>
  <si>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</si>
  <si>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</si>
  <si>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</si>
  <si>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</si>
  <si>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</si>
  <si>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</si>
  <si>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</si>
  <si>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</si>
  <si>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</si>
  <si>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</si>
  <si>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</si>
  <si>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</si>
  <si>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</si>
  <si>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</si>
  <si>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</si>
  <si>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</si>
  <si>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</si>
  <si>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</si>
  <si>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</si>
  <si>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</si>
  <si>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</si>
  <si>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</si>
  <si>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</si>
  <si>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</si>
  <si>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</si>
  <si>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</si>
  <si>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</si>
  <si>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</si>
  <si>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</si>
  <si>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</si>
  <si>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</si>
  <si>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</si>
  <si>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</si>
  <si>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</si>
  <si>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</si>
  <si>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</si>
  <si>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</si>
  <si>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</si>
  <si>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</si>
  <si>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</si>
  <si>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</si>
  <si>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</si>
  <si>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</si>
  <si>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</si>
  <si>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</si>
  <si>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</si>
  <si>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</si>
  <si>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</si>
  <si>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</si>
  <si>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</si>
  <si>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</si>
  <si>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</si>
  <si>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</si>
  <si>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</si>
  <si>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</si>
  <si>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</si>
  <si>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</si>
  <si>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</si>
  <si>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</si>
  <si>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</si>
  <si>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</si>
  <si>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</si>
  <si>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</si>
  <si>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</si>
  <si>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</si>
  <si>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</si>
  <si>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</si>
  <si>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</si>
  <si>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</si>
  <si>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</si>
  <si>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</si>
  <si>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</si>
  <si>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</si>
  <si>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</si>
  <si>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</si>
  <si>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</si>
  <si>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</si>
  <si>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</si>
  <si>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</si>
  <si>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</si>
  <si>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</si>
  <si>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</si>
  <si>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</si>
  <si>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</si>
  <si>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</si>
  <si>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</si>
  <si>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</si>
  <si>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</si>
  <si>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</si>
  <si>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</si>
  <si>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</si>
  <si>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</si>
  <si>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</si>
  <si>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</si>
  <si>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</si>
  <si>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</si>
  <si>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</si>
  <si>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</si>
  <si>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</si>
  <si>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</si>
  <si>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</si>
  <si>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</si>
  <si>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</si>
  <si>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</si>
  <si>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</si>
  <si>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</si>
  <si>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</si>
  <si>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</si>
  <si>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</si>
  <si>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</si>
  <si>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</si>
  <si>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</si>
  <si>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</si>
  <si>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</si>
  <si>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</si>
  <si>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</si>
  <si>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</si>
  <si>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</si>
  <si>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</si>
  <si>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</si>
  <si>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</si>
  <si>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</si>
  <si>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</si>
  <si>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</si>
  <si>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</si>
  <si>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</si>
  <si>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</si>
  <si>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</si>
  <si>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</si>
  <si>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</si>
  <si>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</si>
  <si>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</si>
  <si>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</si>
  <si>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</si>
  <si>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</si>
  <si>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</si>
  <si>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</si>
  <si>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</si>
  <si>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</si>
  <si>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</si>
  <si>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</si>
  <si>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</si>
  <si>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</si>
  <si>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</si>
  <si>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</si>
  <si>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</si>
  <si>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</si>
  <si>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</si>
  <si>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</si>
  <si>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</si>
  <si>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</si>
  <si>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</si>
  <si>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</si>
  <si>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</si>
  <si>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</si>
  <si>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</si>
  <si>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</si>
  <si>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</si>
  <si>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</si>
  <si>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</si>
  <si>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</si>
  <si>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</si>
  <si>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</si>
  <si>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</si>
  <si>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</si>
  <si>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</si>
  <si>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</si>
  <si>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</si>
  <si>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</si>
  <si>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</si>
  <si>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</si>
  <si>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</si>
  <si>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</si>
  <si>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</si>
  <si>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</si>
  <si>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</si>
  <si>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</si>
  <si>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</si>
  <si>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</si>
  <si>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</si>
  <si>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</si>
  <si>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</si>
  <si>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</si>
  <si>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</si>
  <si>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</si>
  <si>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</si>
  <si>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</si>
  <si>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</si>
  <si>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</si>
  <si>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</si>
  <si>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</si>
  <si>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</si>
  <si>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</si>
  <si>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</si>
  <si>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</si>
  <si>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</si>
  <si>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</si>
  <si>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</si>
  <si>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</si>
  <si>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</si>
  <si>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</si>
  <si>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</si>
  <si>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</si>
  <si>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</si>
  <si>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</si>
  <si>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</si>
  <si>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</si>
  <si>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</si>
  <si>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</si>
  <si>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</si>
  <si>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</si>
  <si>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</si>
  <si>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</si>
  <si>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</si>
  <si>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</si>
  <si>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</si>
  <si>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</si>
  <si>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</si>
  <si>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</si>
  <si>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</si>
  <si>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</si>
  <si>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</si>
  <si>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</si>
  <si>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</si>
  <si>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</si>
  <si>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</si>
  <si>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</si>
  <si>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</si>
  <si>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</si>
  <si>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</si>
  <si>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</si>
  <si>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</si>
  <si>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</si>
  <si>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</si>
  <si>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</si>
  <si>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</si>
  <si>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</si>
  <si>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</si>
  <si>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</si>
  <si>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</si>
  <si>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</si>
  <si>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</si>
  <si>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</si>
  <si>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</si>
  <si>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</si>
  <si>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</si>
  <si>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</si>
  <si>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</si>
  <si>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</si>
  <si>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</si>
  <si>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</si>
  <si>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</si>
  <si>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</si>
  <si>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</si>
  <si>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</si>
  <si>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</si>
  <si>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</si>
  <si>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</si>
  <si>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</si>
  <si>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</si>
  <si>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</si>
  <si>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</si>
  <si>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</si>
  <si>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</si>
  <si>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</si>
  <si>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</si>
  <si>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</si>
  <si>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</si>
  <si>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</si>
  <si>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</si>
  <si>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</si>
  <si>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</si>
  <si>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</si>
  <si>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</si>
  <si>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</si>
  <si>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</si>
  <si>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</si>
  <si>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</si>
  <si>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</si>
  <si>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</si>
  <si>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</si>
  <si>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</si>
  <si>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</si>
  <si>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</si>
  <si>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</si>
  <si>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</si>
  <si>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</si>
  <si>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</si>
  <si>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</si>
  <si>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</si>
  <si>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</si>
  <si>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</si>
  <si>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</si>
  <si>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</si>
  <si>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</si>
  <si>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</si>
  <si>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</si>
  <si>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</si>
  <si>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</si>
  <si>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</si>
  <si>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</si>
  <si>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</si>
  <si>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</si>
  <si>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</si>
  <si>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</si>
  <si>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</si>
  <si>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</si>
  <si>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</si>
  <si>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</si>
  <si>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</si>
  <si>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</si>
  <si>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</si>
  <si>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</si>
  <si>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</si>
  <si>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</si>
  <si>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</si>
  <si>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</si>
  <si>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</si>
  <si>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</si>
  <si>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</si>
  <si>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</si>
  <si>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</si>
  <si>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</si>
  <si>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</si>
  <si>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</si>
  <si>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</si>
  <si>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</si>
  <si>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</si>
  <si>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</si>
  <si>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</si>
  <si>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</si>
  <si>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</si>
  <si>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</si>
  <si>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</si>
  <si>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</si>
  <si>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</si>
  <si>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</si>
  <si>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</si>
  <si>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</si>
  <si>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</si>
  <si>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</si>
  <si>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</si>
  <si>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</si>
  <si>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</si>
  <si>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</si>
  <si>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</si>
  <si>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</si>
  <si>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</si>
  <si>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</si>
  <si>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</si>
  <si>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</si>
  <si>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</si>
  <si>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</si>
  <si>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</si>
  <si>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</si>
  <si>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</si>
  <si>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</si>
  <si>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</si>
  <si>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</si>
  <si>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</si>
  <si>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</si>
  <si>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</si>
  <si>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</si>
  <si>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</si>
  <si>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</si>
  <si>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</si>
  <si>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</si>
  <si>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</si>
  <si>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</si>
  <si>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</si>
  <si>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</si>
  <si>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</si>
  <si>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</si>
  <si>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</si>
  <si>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</si>
  <si>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</si>
  <si>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</si>
  <si>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</si>
  <si>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</si>
  <si>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</si>
  <si>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</si>
  <si>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</si>
  <si>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</si>
  <si>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</si>
  <si>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</si>
  <si>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</si>
  <si>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</si>
  <si>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</si>
  <si>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</si>
  <si>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</si>
  <si>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</si>
  <si>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</si>
  <si>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</si>
  <si>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</si>
  <si>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</si>
  <si>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</si>
  <si>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</si>
  <si>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</si>
  <si>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</si>
  <si>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</si>
  <si>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</si>
  <si>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</si>
  <si>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</si>
  <si>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</si>
  <si>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</si>
  <si>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</si>
  <si>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</si>
  <si>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</si>
  <si>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</si>
  <si>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</si>
  <si>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</si>
  <si>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</si>
  <si>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</si>
  <si>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</si>
  <si>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</si>
  <si>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</si>
  <si>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</si>
  <si>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</si>
  <si>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</si>
  <si>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</si>
  <si>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</si>
  <si>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</si>
  <si>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</si>
  <si>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</si>
  <si>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</si>
  <si>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</si>
  <si>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</si>
  <si>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</si>
  <si>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</si>
  <si>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</si>
  <si>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</si>
  <si>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</si>
  <si>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</si>
  <si>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</si>
  <si>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</si>
  <si>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</si>
  <si>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</si>
  <si>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</si>
  <si>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</si>
  <si>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</si>
  <si>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</si>
  <si>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</si>
  <si>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</si>
  <si>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</si>
  <si>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</si>
  <si>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</si>
  <si>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</si>
  <si>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</si>
  <si>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</si>
  <si>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</si>
  <si>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</si>
  <si>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</si>
  <si>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</si>
  <si>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</si>
  <si>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</si>
  <si>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</si>
  <si>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</si>
  <si>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</si>
  <si>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</si>
  <si>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</si>
  <si>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</si>
  <si>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</si>
  <si>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</si>
  <si>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</si>
  <si>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</si>
  <si>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</si>
  <si>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</si>
  <si>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</si>
  <si>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</si>
  <si>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</si>
  <si>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</si>
  <si>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</si>
  <si>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</si>
  <si>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</si>
  <si>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</si>
  <si>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</si>
  <si>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</si>
  <si>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</si>
  <si>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</si>
  <si>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</si>
  <si>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</si>
  <si>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</si>
  <si>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</si>
  <si>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</si>
  <si>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</si>
  <si>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</si>
  <si>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</si>
  <si>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</si>
  <si>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</si>
  <si>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</si>
  <si>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</si>
  <si>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</si>
  <si>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</si>
  <si>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</si>
  <si>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</si>
  <si>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</si>
  <si>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</si>
  <si>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</si>
  <si>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</si>
  <si>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</si>
  <si>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</si>
  <si>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</si>
  <si>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</si>
  <si>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</si>
  <si>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</si>
  <si>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</si>
  <si>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</si>
  <si>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</si>
  <si>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</si>
  <si>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</si>
  <si>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</si>
  <si>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</si>
  <si>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</si>
  <si>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</si>
  <si>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</si>
  <si>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</si>
  <si>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</si>
  <si>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</si>
  <si>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</si>
  <si>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</si>
  <si>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</si>
  <si>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</si>
  <si>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</si>
  <si>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</si>
  <si>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</si>
  <si>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</si>
  <si>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</si>
  <si>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</si>
  <si>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</si>
  <si>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</si>
  <si>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</si>
  <si>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</si>
  <si>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</si>
  <si>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</si>
  <si>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</si>
  <si>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</si>
  <si>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</si>
  <si>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</si>
  <si>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</si>
  <si>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</si>
  <si>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</si>
  <si>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</si>
  <si>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</si>
  <si>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</si>
  <si>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</si>
  <si>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</si>
  <si>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</si>
  <si>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</si>
  <si>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</si>
  <si>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</si>
  <si>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</si>
  <si>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</si>
  <si>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</si>
  <si>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</si>
  <si>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</si>
  <si>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</si>
  <si>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</si>
  <si>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</si>
  <si>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</si>
  <si>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</si>
  <si>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</si>
  <si>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</si>
  <si>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</si>
  <si>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</si>
  <si>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</si>
  <si>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</si>
  <si>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</si>
  <si>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</si>
  <si>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</si>
  <si>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</si>
  <si>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</si>
  <si>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</si>
  <si>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</si>
  <si>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</si>
  <si>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</si>
  <si>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</si>
  <si>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</si>
  <si>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</si>
  <si>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</si>
  <si>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</si>
  <si>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</si>
  <si>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</si>
  <si>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</si>
  <si>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</si>
  <si>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</si>
  <si>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</si>
  <si>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</si>
  <si>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</si>
  <si>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</si>
  <si>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</si>
  <si>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</si>
  <si>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</si>
  <si>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</si>
  <si>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</si>
  <si>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</si>
  <si>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</si>
  <si>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</si>
  <si>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</si>
  <si>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</si>
  <si>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</si>
  <si>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</si>
  <si>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</si>
  <si>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</si>
  <si>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</si>
  <si>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</si>
  <si>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</si>
  <si>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</si>
  <si>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</si>
  <si>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</si>
  <si>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</si>
  <si>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</si>
  <si>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</si>
  <si>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</si>
  <si>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</si>
  <si>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</si>
  <si>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</si>
  <si>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</si>
  <si>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</si>
  <si>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</si>
  <si>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</si>
  <si>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</si>
  <si>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</si>
  <si>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</si>
  <si>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</si>
  <si>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</si>
  <si>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</si>
  <si>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</si>
  <si>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</si>
  <si>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</si>
  <si>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</si>
  <si>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</si>
  <si>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</si>
  <si>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</si>
  <si>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</si>
  <si>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</si>
  <si>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</si>
  <si>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</si>
  <si>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</si>
  <si>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</si>
  <si>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</si>
  <si>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</si>
  <si>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</si>
  <si>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</si>
  <si>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</si>
  <si>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</si>
  <si>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</si>
  <si>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</si>
  <si>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</si>
  <si>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</si>
  <si>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</si>
  <si>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</si>
  <si>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</si>
  <si>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</si>
  <si>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</si>
  <si>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</si>
  <si>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</si>
  <si>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</si>
  <si>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</si>
  <si>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</si>
  <si>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</si>
  <si>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</si>
  <si>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</si>
  <si>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</si>
  <si>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</si>
  <si>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</si>
  <si>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</si>
  <si>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</si>
  <si>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</si>
  <si>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</si>
  <si>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</si>
  <si>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</si>
  <si>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</si>
  <si>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</si>
  <si>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</si>
  <si>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</si>
  <si>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</si>
  <si>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</si>
  <si>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</si>
  <si>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</si>
  <si>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</si>
  <si>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</si>
  <si>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</si>
  <si>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</si>
  <si>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</si>
  <si>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</si>
  <si>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</si>
  <si>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</si>
  <si>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</si>
  <si>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</si>
  <si>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</si>
  <si>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</si>
  <si>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</si>
  <si>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</si>
  <si>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</si>
  <si>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</si>
  <si>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</si>
  <si>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</si>
  <si>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</si>
  <si>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</si>
  <si>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</si>
  <si>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</si>
  <si>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</si>
  <si>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</si>
  <si>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</si>
  <si>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</si>
  <si>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</si>
  <si>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</si>
  <si>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</si>
  <si>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</si>
  <si>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</si>
  <si>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</si>
  <si>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</si>
  <si>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</si>
  <si>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</si>
  <si>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</si>
  <si>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</si>
  <si>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</si>
  <si>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</si>
  <si>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</si>
  <si>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</si>
  <si>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</si>
  <si>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</si>
  <si>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</si>
  <si>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</si>
  <si>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</si>
  <si>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</si>
  <si>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</si>
  <si>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</si>
  <si>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</si>
  <si>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</si>
  <si>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</si>
  <si>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</si>
  <si>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</si>
  <si>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</si>
  <si>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Will</t>
  </si>
  <si>
    <t>1207 N. Larkin Ave.</t>
  </si>
  <si>
    <t>Joliet</t>
  </si>
  <si>
    <t>mturk@sowic.org</t>
  </si>
  <si>
    <t>x</t>
  </si>
  <si>
    <t>Bill Roseland</t>
  </si>
  <si>
    <t>broseland@sowic.org</t>
  </si>
  <si>
    <t>815-741-7777</t>
  </si>
  <si>
    <t>815-741-7779</t>
  </si>
  <si>
    <t>Mack &amp; Associates, P.C.</t>
  </si>
  <si>
    <t>Tawnya Mack, CPA</t>
  </si>
  <si>
    <t>116 E. Washington St., Suite One</t>
  </si>
  <si>
    <t>Morris</t>
  </si>
  <si>
    <t>IL</t>
  </si>
  <si>
    <t>815-942-3306</t>
  </si>
  <si>
    <t>815-942-9430</t>
  </si>
  <si>
    <t>066-005100</t>
  </si>
  <si>
    <t>tmack@mackcpas.com</t>
  </si>
  <si>
    <t>See PDF in Opinion Page with signature</t>
  </si>
  <si>
    <t>Page 14, Line 265 - Educational - STEP Grant</t>
  </si>
  <si>
    <t>Lincoln Way Area Affiliation</t>
  </si>
  <si>
    <t>Direct Energy</t>
  </si>
  <si>
    <t>Joliet Township District 204; Wilmington 209U</t>
  </si>
  <si>
    <t>Greenscape</t>
  </si>
  <si>
    <t>Mudron Kane Insurance</t>
  </si>
  <si>
    <t>PMA</t>
  </si>
  <si>
    <t>Franczek Radelet; Hinshaw &amp; Culbertson</t>
  </si>
  <si>
    <t>IAASE; Professional Development Alliance</t>
  </si>
  <si>
    <t>See Below</t>
  </si>
  <si>
    <t>Dave's D Computers</t>
  </si>
  <si>
    <t>Illinois Central School Bus</t>
  </si>
  <si>
    <t>Line 16 Continued: Reed Custer 255U; Channahon #17</t>
  </si>
  <si>
    <t>Line 26: Reed Custer 255U; Troy District 30C; Channahon District 17; Union District 81; Elwood CCSD 203; Beecher CUSD 200U; Wilmington 209U; Laraway CCSD 70C; Peotone 207U; Rockdale 84</t>
  </si>
  <si>
    <t>Page 11, Line 107 - Educational - Health Ins. Reimb., TRS Reimb.</t>
  </si>
  <si>
    <t>US DEPARTMENT OF EDUCATION:</t>
  </si>
  <si>
    <t xml:space="preserve">   PASSED THROUGH ISBE:</t>
  </si>
  <si>
    <t xml:space="preserve">      SPECIAL EDUCATION (IDEA) CLUSTER (M):</t>
  </si>
  <si>
    <t xml:space="preserve">         PRESCHOOL FLOW-THROUGH 2019</t>
  </si>
  <si>
    <t xml:space="preserve">         PRESCHOOL FLOW-THROUGH 2020</t>
  </si>
  <si>
    <t xml:space="preserve">         IDEA FLOW-THROUGH 2019</t>
  </si>
  <si>
    <t xml:space="preserve">         IDEA FLOW-THROUGH 2020</t>
  </si>
  <si>
    <t xml:space="preserve">      TOTAL SPECIAL EDUCATION (IDEA) CLUSTER</t>
  </si>
  <si>
    <t xml:space="preserve">   PASSED THROUGH IL DEPT OF REHABILITATION</t>
  </si>
  <si>
    <t xml:space="preserve">      STEP GRANT 2019</t>
  </si>
  <si>
    <t xml:space="preserve">      STEP GRANT 2020</t>
  </si>
  <si>
    <t>TOTAL US DEPARTMENT OF EDUCATION</t>
  </si>
  <si>
    <t>US DEPARTMENT OF HEALTH AND HUMAN SERVICES</t>
  </si>
  <si>
    <t xml:space="preserve">   PASSED THROUGH IL DHCFS:</t>
  </si>
  <si>
    <t xml:space="preserve">      MEDICAL ASSISTANCE PROGRAM 2019</t>
  </si>
  <si>
    <t xml:space="preserve">      MEDICAL ASSISTANCE PROGRAM 2020</t>
  </si>
  <si>
    <t>TOTAL US DEPARTMENT OF HEALTH AND HUMAN SERVICES</t>
  </si>
  <si>
    <t>US DEPARTMENT OF AGRICULTURE:</t>
  </si>
  <si>
    <t xml:space="preserve">      NATIONAL SCHOOL LUNCH PROGRAM 2019</t>
  </si>
  <si>
    <t xml:space="preserve">      NATIONAL SCHOOL LUNCH PROGRAM 2020</t>
  </si>
  <si>
    <t xml:space="preserve">      SCHOOL BREAKFAST PROGRAM 2019</t>
  </si>
  <si>
    <t xml:space="preserve">      SCHOOL BREAKFAST PROGRAM 2020</t>
  </si>
  <si>
    <t xml:space="preserve">      SPECIAL MILK PROGRAM 2019</t>
  </si>
  <si>
    <t xml:space="preserve">      SPECIAL MILK PROGRAM 2020</t>
  </si>
  <si>
    <t>TOTAL US DEPARTMENT OF AGRICULTURE</t>
  </si>
  <si>
    <t>TOTAL FEDERAL AWARDS</t>
  </si>
  <si>
    <t>4600-2019</t>
  </si>
  <si>
    <t>4600-2020</t>
  </si>
  <si>
    <t>4620-2019</t>
  </si>
  <si>
    <t>4620-2020</t>
  </si>
  <si>
    <t>4951-2019</t>
  </si>
  <si>
    <t>4951-2020</t>
  </si>
  <si>
    <t>4991-2019</t>
  </si>
  <si>
    <t>4991-2020</t>
  </si>
  <si>
    <t>4210-2019</t>
  </si>
  <si>
    <t>4210-2020</t>
  </si>
  <si>
    <t>4220-2019</t>
  </si>
  <si>
    <t>4220-2020</t>
  </si>
  <si>
    <t>4215-2019</t>
  </si>
  <si>
    <t>4215-2020</t>
  </si>
  <si>
    <t>X</t>
  </si>
  <si>
    <t>Unmodified</t>
  </si>
  <si>
    <t>SPECIAL EDUCATION (IDEA) CLUSTER</t>
  </si>
  <si>
    <t>84.173A/84.027A</t>
  </si>
  <si>
    <t>N/A</t>
  </si>
  <si>
    <t>None</t>
  </si>
  <si>
    <t>ED - EXEC ADMIN - OTHER</t>
  </si>
  <si>
    <t>SPECIALIZED DATA SYSTEMS</t>
  </si>
  <si>
    <t>WILMINGTON CUSD 209U</t>
  </si>
  <si>
    <t>CHANNAHON SD 17</t>
  </si>
  <si>
    <t>JOLIET TOWNSHIP HSD 204</t>
  </si>
  <si>
    <t>REED CUSTER CUSD 255</t>
  </si>
  <si>
    <t>ED - EXEC ADMIN - PURCH SERV</t>
  </si>
  <si>
    <t>R&amp;G CONSULTANTS</t>
  </si>
  <si>
    <t>ED - INSTRUCTION - PURCH SERV</t>
  </si>
  <si>
    <t>ILLINOIS CENTRAL SCHOOL BUS</t>
  </si>
  <si>
    <r>
      <t xml:space="preserve">The accompanying Schedule of Expenditures of Federal Awards includes the federal grant activity of Southern Will County Cooperative for Special Education and is presented on the </t>
    </r>
    <r>
      <rPr>
        <b/>
        <sz val="9"/>
        <rFont val="Calibri"/>
        <family val="2"/>
        <scheme val="minor"/>
      </rPr>
      <t>Modified Cash</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 xml:space="preserve"> financial statements.</t>
    </r>
  </si>
  <si>
    <r>
      <t xml:space="preserve">Of the federal expenditures presented in the schedule, </t>
    </r>
    <r>
      <rPr>
        <b/>
        <sz val="9"/>
        <rFont val="Calibri"/>
        <family val="2"/>
        <scheme val="minor"/>
      </rPr>
      <t>Southern Will County Cooperative for Special Education</t>
    </r>
    <r>
      <rPr>
        <sz val="9"/>
        <rFont val="Calibri"/>
        <family val="2"/>
        <scheme val="minor"/>
      </rPr>
      <t xml:space="preserve"> provided federal awards to subrecipients as follows:</t>
    </r>
  </si>
  <si>
    <t>IDEA - Flow Through (See Page 33 of Audit in Opinion Tab for Detail)</t>
  </si>
  <si>
    <t>IDEA - Preschool (See Page 33 of Audit in Opinion Tab for Detail)</t>
  </si>
  <si>
    <r>
      <t xml:space="preserve">The following amounts were expended in the form of non-cash assistance by Southern Will County Cooperative for Special Education and </t>
    </r>
    <r>
      <rPr>
        <b/>
        <sz val="9"/>
        <rFont val="Calibri"/>
        <family val="2"/>
        <scheme val="minor"/>
      </rPr>
      <t>should be</t>
    </r>
    <r>
      <rPr>
        <sz val="9"/>
        <rFont val="Calibri"/>
        <family val="2"/>
        <scheme val="minor"/>
      </rPr>
      <t xml:space="preserve"> included in the Schedule of Expenditures of Federal Awards:</t>
    </r>
  </si>
  <si>
    <t xml:space="preserve">  S Will Co Coop for Spec Ed </t>
  </si>
  <si>
    <t xml:space="preserve">56099030C61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</si>
</sst>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2000</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2052</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2052</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t="s">
        <v>2144</v>
      </c>
      <c r="B13" s="2087"/>
      <c r="C13" s="2087"/>
      <c r="D13" s="2087"/>
      <c r="E13" s="2087"/>
      <c r="F13" s="2087"/>
      <c r="G13" s="2087"/>
      <c r="H13" s="2088"/>
      <c r="I13" s="31"/>
      <c r="J13" s="30"/>
      <c r="K13" s="28"/>
      <c r="L13" s="30"/>
      <c r="M13" s="30"/>
      <c r="N13" s="30"/>
      <c r="O13" s="30"/>
      <c r="P13" s="30"/>
      <c r="Q13" s="30"/>
      <c r="R13" s="30"/>
      <c r="S13" s="30"/>
      <c r="T13" s="2091" t="s">
        <v>2057</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2048</v>
      </c>
      <c r="B15" s="2089"/>
      <c r="C15" s="2089"/>
      <c r="D15" s="2089"/>
      <c r="E15" s="2089"/>
      <c r="F15" s="2089"/>
      <c r="G15" s="2089"/>
      <c r="H15" s="2090"/>
      <c r="T15" s="2052" t="s">
        <v>2058</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2143</v>
      </c>
      <c r="B17" s="2114"/>
      <c r="C17" s="2114"/>
      <c r="D17" s="2114"/>
      <c r="E17" s="2114"/>
      <c r="F17" s="2114"/>
      <c r="G17" s="2114"/>
      <c r="H17" s="2115"/>
      <c r="T17" s="2101" t="s">
        <v>2059</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2049</v>
      </c>
      <c r="B19" s="2085"/>
      <c r="C19" s="2085"/>
      <c r="D19" s="2085"/>
      <c r="E19" s="2085"/>
      <c r="F19" s="2085"/>
      <c r="G19" s="2085"/>
      <c r="H19" s="2083"/>
      <c r="I19" s="30"/>
      <c r="J19" s="96"/>
      <c r="K19" s="40"/>
      <c r="L19" s="38"/>
      <c r="M19" s="109" t="s">
        <v>312</v>
      </c>
      <c r="P19" s="27"/>
      <c r="Q19" s="27"/>
      <c r="R19" s="27"/>
      <c r="S19" s="31"/>
      <c r="T19" s="2084" t="s">
        <v>2060</v>
      </c>
      <c r="U19" s="2082"/>
      <c r="V19" s="2082"/>
      <c r="W19" s="2083"/>
      <c r="X19" s="2099" t="s">
        <v>2061</v>
      </c>
      <c r="Y19" s="2100"/>
      <c r="Z19" s="2097">
        <v>60450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2050</v>
      </c>
      <c r="B21" s="2082"/>
      <c r="C21" s="2082"/>
      <c r="D21" s="2082"/>
      <c r="E21" s="2082"/>
      <c r="F21" s="2082"/>
      <c r="G21" s="2082"/>
      <c r="H21" s="2083"/>
      <c r="I21" s="2107" t="s">
        <v>673</v>
      </c>
      <c r="J21" s="2070"/>
      <c r="K21" s="2070"/>
      <c r="L21" s="2070"/>
      <c r="M21" s="2070"/>
      <c r="N21" s="2070"/>
      <c r="O21" s="2070"/>
      <c r="P21" s="2070"/>
      <c r="Q21" s="2070"/>
      <c r="R21" s="2070"/>
      <c r="S21" s="2071"/>
      <c r="T21" s="2049" t="s">
        <v>2062</v>
      </c>
      <c r="U21" s="2050"/>
      <c r="V21" s="2050"/>
      <c r="W21" s="2050"/>
      <c r="X21" s="2063" t="s">
        <v>2063</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2051</v>
      </c>
      <c r="B23" s="2105"/>
      <c r="C23" s="2105"/>
      <c r="D23" s="2105"/>
      <c r="E23" s="2105"/>
      <c r="F23" s="2105"/>
      <c r="G23" s="2105"/>
      <c r="H23" s="2106"/>
      <c r="T23" s="2044" t="s">
        <v>2064</v>
      </c>
      <c r="U23" s="2045"/>
      <c r="V23" s="2045"/>
      <c r="W23" s="2045"/>
      <c r="X23" s="2060">
        <v>44530</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60435</v>
      </c>
      <c r="B25" s="2082"/>
      <c r="C25" s="2082"/>
      <c r="D25" s="2082"/>
      <c r="E25" s="2082"/>
      <c r="F25" s="2082"/>
      <c r="G25" s="2082"/>
      <c r="H25" s="2083"/>
      <c r="I25" s="110"/>
      <c r="J25" s="2148"/>
      <c r="K25" s="2148"/>
      <c r="L25" s="2148"/>
      <c r="M25" s="2148"/>
      <c r="N25" s="2148"/>
      <c r="O25" s="2148"/>
      <c r="P25" s="2148"/>
      <c r="Q25" s="2148"/>
      <c r="R25" s="2148"/>
      <c r="S25" s="2149"/>
      <c r="T25" s="2041" t="s">
        <v>2065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2052</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2052</v>
      </c>
      <c r="C30" s="121" t="s">
        <v>1154</v>
      </c>
      <c r="D30" s="28"/>
      <c r="E30" s="28"/>
      <c r="F30" s="136"/>
      <c r="G30" s="111"/>
      <c r="H30" s="111"/>
      <c r="I30" s="51"/>
      <c r="J30" s="144" t="s">
        <v>2052</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2052</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2053</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2055</v>
      </c>
      <c r="B42" s="2131"/>
      <c r="C42" s="2132"/>
      <c r="D42" s="2145" t="s">
        <v>2056</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I9" sqref="I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I9" sqref="I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1776</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2003</v>
      </c>
      <c r="B24" s="2291"/>
      <c r="C24" s="2299"/>
      <c r="D24" s="2300"/>
      <c r="E24" s="2300"/>
      <c r="F24" s="2301"/>
    </row>
    <row r="25" spans="1:11" ht="13.5" thickBot="1" x14ac:dyDescent="0.25">
      <c r="A25" s="2305" t="s">
        <v>2004</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I9" sqref="I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1786</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1787</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1783</v>
      </c>
      <c r="B19" s="2356"/>
      <c r="C19" s="2356"/>
      <c r="D19" s="2356"/>
      <c r="E19" s="2357"/>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1789</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548700</v>
      </c>
      <c r="D5" s="1770"/>
      <c r="E5" s="1770"/>
      <c r="F5" s="1765">
        <f>(C5+D5)-E5</f>
        <v>548700</v>
      </c>
      <c r="G5" s="676"/>
      <c r="H5" s="680"/>
      <c r="I5" s="680"/>
      <c r="J5" s="680"/>
      <c r="K5" s="637"/>
      <c r="L5" s="1442">
        <f>F5-K5</f>
        <v>548700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630330</v>
      </c>
      <c r="D8" s="1771"/>
      <c r="E8" s="1771"/>
      <c r="F8" s="1765">
        <f>(C8+D8)-E8</f>
        <v>630330</v>
      </c>
      <c r="G8" s="681">
        <v>50</v>
      </c>
      <c r="H8" s="619">
        <v>453316</v>
      </c>
      <c r="I8" s="619">
        <v>29746</v>
      </c>
      <c r="J8" s="619"/>
      <c r="K8" s="1442">
        <f>(H8+I8)-J8</f>
        <v>483062</v>
      </c>
      <c r="L8" s="1442">
        <f>F8-K8</f>
        <v>147268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3270089</v>
      </c>
      <c r="D10" s="1772"/>
      <c r="E10" s="1772"/>
      <c r="F10" s="1773">
        <f>(C10+D10)-E10</f>
        <v>3270089</v>
      </c>
      <c r="G10" s="681">
        <v>20</v>
      </c>
      <c r="H10" s="683">
        <v>1281130</v>
      </c>
      <c r="I10" s="683">
        <v>162754</v>
      </c>
      <c r="J10" s="683"/>
      <c r="K10" s="1442">
        <f>(H10+I10)-J10</f>
        <v>1443884</v>
      </c>
      <c r="L10" s="1442">
        <f>F10-K10</f>
        <v>1826205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317330</v>
      </c>
      <c r="D13" s="1771">
        <v>7914</v>
      </c>
      <c r="E13" s="1771"/>
      <c r="F13" s="1765">
        <f>(C13+D13)-E13</f>
        <v>325244</v>
      </c>
      <c r="G13" s="681">
        <v>5</v>
      </c>
      <c r="H13" s="619">
        <v>291677</v>
      </c>
      <c r="I13" s="619">
        <v>11647</v>
      </c>
      <c r="J13" s="619"/>
      <c r="K13" s="1442">
        <f>(H13+I13)-J13</f>
        <v>303324</v>
      </c>
      <c r="L13" s="1442">
        <f>F13-K13</f>
        <v>21920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4766449</v>
      </c>
      <c r="D16" s="1765">
        <f>SUM(D3,D5:D6,D8:D10,D12:D15)</f>
        <v>7914</v>
      </c>
      <c r="E16" s="1765">
        <f>SUM(E3,E5:E6,E8:E10,E12:E15)</f>
        <v>0</v>
      </c>
      <c r="F16" s="1765">
        <f>SUM(F3,F5:F6,F8:F10,F12:F15)</f>
        <v>4774363</v>
      </c>
      <c r="G16" s="681"/>
      <c r="H16" s="1435">
        <f>SUM(H3,H6,H8:H10,H12:H14,)</f>
        <v>2026123</v>
      </c>
      <c r="I16" s="1435">
        <f>SUM(I3,I6,I8:I10,I12:I14,)</f>
        <v>204147</v>
      </c>
      <c r="J16" s="1435">
        <f>SUM(J3,J6,J8:J10,J12:J14,)</f>
        <v>0</v>
      </c>
      <c r="K16" s="1435">
        <f>(H16+I16)-J16</f>
        <v>2230270</v>
      </c>
      <c r="L16" s="1435">
        <f>F16-K16</f>
        <v>2544093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204147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3" colorId="8" zoomScale="110" zoomScaleNormal="110" workbookViewId="0">
      <selection activeCell="D203" sqref="D20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15884065</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15884065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493515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139807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1378070</v>
      </c>
      <c r="G53" s="701"/>
    </row>
    <row r="54" spans="1:7" x14ac:dyDescent="0.2">
      <c r="A54" s="705" t="s">
        <v>456</v>
      </c>
      <c r="B54" s="705" t="s">
        <v>1459</v>
      </c>
      <c r="C54" s="724" t="s">
        <v>975</v>
      </c>
      <c r="D54" s="720" t="s">
        <v>1086</v>
      </c>
      <c r="E54" s="704"/>
      <c r="F54" s="1782">
        <f>'Expenditures 15-22'!G114</f>
        <v>10810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2022202</v>
      </c>
      <c r="G77" s="701"/>
    </row>
    <row r="78" spans="1:9" s="728" customFormat="1" ht="12" customHeight="1" thickTop="1" thickBot="1" x14ac:dyDescent="0.25">
      <c r="A78" s="1450"/>
      <c r="B78" s="1448"/>
      <c r="C78" s="1445"/>
      <c r="D78" s="1449" t="s">
        <v>2009</v>
      </c>
      <c r="E78" s="1447"/>
      <c r="F78" s="1788">
        <f>(F14-F77)</f>
        <v>13861863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5107</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596849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1376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5066</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85965</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2352345</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69742</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324735</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31200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3472385</v>
      </c>
    </row>
    <row r="176" spans="1:7" ht="12" customHeight="1" x14ac:dyDescent="0.2">
      <c r="A176" s="1443"/>
      <c r="B176" s="1453"/>
      <c r="C176" s="1454"/>
      <c r="D176" s="1455" t="s">
        <v>2011</v>
      </c>
      <c r="E176" s="1456"/>
      <c r="F176" s="1793">
        <f>'PCTC-OEPP 27-28'!F78-F175</f>
        <v>10389478</v>
      </c>
    </row>
    <row r="177" spans="1:9" ht="12" customHeight="1" x14ac:dyDescent="0.2">
      <c r="A177" s="1443"/>
      <c r="B177" s="1453"/>
      <c r="C177" s="1454"/>
      <c r="D177" s="1455" t="s">
        <v>1791</v>
      </c>
      <c r="E177" s="1456"/>
      <c r="F177" s="1793">
        <f>'Cap Outlay Deprec 26'!I18</f>
        <v>204147</v>
      </c>
    </row>
    <row r="178" spans="1:9" ht="12" customHeight="1" x14ac:dyDescent="0.2">
      <c r="A178" s="1443"/>
      <c r="B178" s="1453"/>
      <c r="C178" s="1454"/>
      <c r="D178" s="1455" t="s">
        <v>2012</v>
      </c>
      <c r="E178" s="1456"/>
      <c r="F178" s="1793">
        <f>F176+F177</f>
        <v>10593625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25" zoomScaleNormal="100" workbookViewId="0">
      <selection activeCell="B19" sqref="B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2134</v>
      </c>
      <c r="B18" s="1908">
        <v>102300300</v>
      </c>
      <c r="C18" s="2036" t="s">
        <v>2129</v>
      </c>
      <c r="D18" s="1886">
        <v>10635</v>
      </c>
      <c r="E18" s="1906">
        <f t="shared" ref="E18:E81" si="0">IF(D18&lt;25000,D18,"25,000")</f>
        <v>10635</v>
      </c>
      <c r="F18" s="1906" t="str">
        <f t="shared" ref="F18:F81" si="1">IF(D18&gt;=25000,(D18-E18),"0")</f>
        <v>0</v>
      </c>
      <c r="G18" s="1887"/>
    </row>
    <row r="19" spans="1:7" x14ac:dyDescent="0.25">
      <c r="A19" s="2035" t="s">
        <v>2134</v>
      </c>
      <c r="B19" s="1908">
        <v>102300300</v>
      </c>
      <c r="C19" s="2036" t="s">
        <v>2130</v>
      </c>
      <c r="D19" s="1886">
        <v>16698</v>
      </c>
      <c r="E19" s="1906">
        <f t="shared" si="0"/>
        <v>16698</v>
      </c>
      <c r="F19" s="1906" t="str">
        <f t="shared" si="1"/>
        <v>0</v>
      </c>
    </row>
    <row r="20" spans="1:7" x14ac:dyDescent="0.25">
      <c r="A20" s="2035" t="s">
        <v>2134</v>
      </c>
      <c r="B20" s="1908">
        <v>102300300</v>
      </c>
      <c r="C20" s="2036" t="s">
        <v>2131</v>
      </c>
      <c r="D20" s="1886">
        <v>9781</v>
      </c>
      <c r="E20" s="1906">
        <f t="shared" si="0"/>
        <v>9781</v>
      </c>
      <c r="F20" s="1906" t="str">
        <f t="shared" si="1"/>
        <v>0</v>
      </c>
    </row>
    <row r="21" spans="1:7" x14ac:dyDescent="0.25">
      <c r="A21" s="2035" t="s">
        <v>2134</v>
      </c>
      <c r="B21" s="1908">
        <v>102300300</v>
      </c>
      <c r="C21" s="2036" t="s">
        <v>2132</v>
      </c>
      <c r="D21" s="1886">
        <v>31194</v>
      </c>
      <c r="E21" s="1906" t="str">
        <f t="shared" si="0"/>
        <v>25,000</v>
      </c>
      <c r="F21" s="1906">
        <f t="shared" si="1"/>
        <v>6194</v>
      </c>
    </row>
    <row r="22" spans="1:7" x14ac:dyDescent="0.25">
      <c r="A22" s="2035" t="s">
        <v>2134</v>
      </c>
      <c r="B22" s="1908">
        <v>102300300</v>
      </c>
      <c r="C22" s="2036" t="s">
        <v>2133</v>
      </c>
      <c r="D22" s="1886">
        <v>15495</v>
      </c>
      <c r="E22" s="1906">
        <f t="shared" si="0"/>
        <v>15495</v>
      </c>
      <c r="F22" s="1906" t="str">
        <f t="shared" si="1"/>
        <v>0</v>
      </c>
    </row>
    <row r="23" spans="1:7" x14ac:dyDescent="0.25">
      <c r="A23" s="2035" t="s">
        <v>2128</v>
      </c>
      <c r="B23" s="1908">
        <v>102300600</v>
      </c>
      <c r="C23" s="2036" t="s">
        <v>2135</v>
      </c>
      <c r="D23" s="1886">
        <v>18499</v>
      </c>
      <c r="E23" s="1906">
        <f t="shared" si="0"/>
        <v>18499</v>
      </c>
      <c r="F23" s="1906" t="str">
        <f t="shared" si="1"/>
        <v>0</v>
      </c>
    </row>
    <row r="24" spans="1:7" x14ac:dyDescent="0.25">
      <c r="A24" s="2035" t="s">
        <v>2136</v>
      </c>
      <c r="B24" s="1908">
        <v>101000300</v>
      </c>
      <c r="C24" s="2036" t="s">
        <v>2131</v>
      </c>
      <c r="D24" s="1886">
        <v>38400</v>
      </c>
      <c r="E24" s="1906" t="str">
        <f t="shared" si="0"/>
        <v>25,000</v>
      </c>
      <c r="F24" s="1906">
        <f t="shared" si="1"/>
        <v>13400</v>
      </c>
    </row>
    <row r="25" spans="1:7" x14ac:dyDescent="0.25">
      <c r="A25" s="2035" t="s">
        <v>2136</v>
      </c>
      <c r="B25" s="1908">
        <v>101000300</v>
      </c>
      <c r="C25" s="2036" t="s">
        <v>2130</v>
      </c>
      <c r="D25" s="1886">
        <v>28875</v>
      </c>
      <c r="E25" s="1906" t="str">
        <f t="shared" si="0"/>
        <v>25,000</v>
      </c>
      <c r="F25" s="1906">
        <f t="shared" si="1"/>
        <v>3875</v>
      </c>
    </row>
    <row r="26" spans="1:7" x14ac:dyDescent="0.25">
      <c r="A26" s="2035" t="s">
        <v>2136</v>
      </c>
      <c r="B26" s="1908">
        <v>101000300</v>
      </c>
      <c r="C26" s="2036" t="s">
        <v>2137</v>
      </c>
      <c r="D26" s="1886">
        <v>11117</v>
      </c>
      <c r="E26" s="1906">
        <f t="shared" si="0"/>
        <v>11117</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180694</v>
      </c>
      <c r="E142" s="1893">
        <f>SUM(E18:E141)</f>
        <v>82225</v>
      </c>
      <c r="F142" s="1894">
        <f>SUM(F18:F141)</f>
        <v>23469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8478928</v>
      </c>
      <c r="F19" s="1802"/>
      <c r="G19" s="1804">
        <f>'Expenditures 15-22'!K33-SUM('Expenditures 15-22'!G33,'Expenditures 15-22'!I33)+'Expenditures 15-22'!D229</f>
        <v>8478928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3699753</v>
      </c>
      <c r="F21" s="1805"/>
      <c r="G21" s="1808">
        <f>'Expenditures 15-22'!K42-SUM('Expenditures 15-22'!G42,'Expenditures 15-22'!I42)+'Expenditures 15-22'!K120-SUM('Expenditures 15-22'!G120,'Expenditures 15-22'!I120)+'Expenditures 15-22'!K180-SUM('Expenditures 15-22'!G180,'Expenditures 15-22'!I180)+'Expenditures 15-22'!D238</f>
        <v>3699753</v>
      </c>
      <c r="H21" s="817"/>
      <c r="I21" s="157"/>
    </row>
    <row r="22" spans="1:9" s="542" customFormat="1" ht="12" customHeight="1" x14ac:dyDescent="0.2">
      <c r="A22" s="824" t="s">
        <v>560</v>
      </c>
      <c r="B22" s="825"/>
      <c r="C22" s="823">
        <v>2200</v>
      </c>
      <c r="D22" s="1805"/>
      <c r="E22" s="1807">
        <f>'Expenditures 15-22'!K47-SUM('Expenditures 15-22'!G47,'Expenditures 15-22'!I47)+'Expenditures 15-22'!D243</f>
        <v>109197</v>
      </c>
      <c r="F22" s="1805"/>
      <c r="G22" s="1808">
        <f>'Expenditures 15-22'!K47-SUM('Expenditures 15-22'!G47,'Expenditures 15-22'!I47)+'Expenditures 15-22'!D243</f>
        <v>109197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2171916</v>
      </c>
      <c r="F23" s="1805"/>
      <c r="G23" s="1807">
        <f>'Expenditures 15-22'!K53-SUM('Expenditures 15-22'!G53,'Expenditures 15-22'!I53)+'Expenditures 15-22'!D257+'Expenditures 15-22'!K330-SUM('Expenditures 15-22'!G330,'Expenditures 15-22'!I330)</f>
        <v>2171916</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35391</v>
      </c>
      <c r="F28" s="1809">
        <f>'Expenditures 15-22'!K61-SUM('Expenditures 15-22'!G61,'Expenditures 15-22'!I61)+'Expenditures 15-22'!K124-SUM('Expenditures 15-22'!G124,'Expenditures 15-22'!I124)+'Expenditures 15-22'!D266-E9</f>
        <v>35391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-23469</v>
      </c>
      <c r="F40" s="1805"/>
      <c r="G40" s="1809">
        <f>-'Contracts Paid in CY 29'!F142</f>
        <v>-23469</v>
      </c>
    </row>
    <row r="41" spans="1:7" ht="12" customHeight="1" x14ac:dyDescent="0.2">
      <c r="A41" s="828" t="s">
        <v>155</v>
      </c>
      <c r="B41" s="829"/>
      <c r="C41" s="830"/>
      <c r="D41" s="1809">
        <f>SUM(D19:D39)</f>
        <v>0</v>
      </c>
      <c r="E41" s="1809">
        <f>SUM(E19:E40)</f>
        <v>14471716</v>
      </c>
      <c r="F41" s="1809">
        <f>SUM(F19:F39)</f>
        <v>35391</v>
      </c>
      <c r="G41" s="1809">
        <f>SUM(G19:G40)</f>
        <v>14436325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35391</v>
      </c>
    </row>
    <row r="44" spans="1:7" ht="12" customHeight="1" x14ac:dyDescent="0.2">
      <c r="A44" s="817"/>
      <c r="B44" s="157"/>
      <c r="C44" s="831"/>
      <c r="D44" s="1458" t="s">
        <v>471</v>
      </c>
      <c r="E44" s="1810">
        <f>E41</f>
        <v>14471716</v>
      </c>
      <c r="F44" s="1458" t="s">
        <v>471</v>
      </c>
      <c r="G44" s="1810">
        <f>G41</f>
        <v>14436325</v>
      </c>
    </row>
    <row r="45" spans="1:7" ht="12" customHeight="1" x14ac:dyDescent="0.2">
      <c r="A45" s="817"/>
      <c r="B45" s="157"/>
      <c r="C45" s="157"/>
      <c r="D45" s="1459" t="s">
        <v>999</v>
      </c>
      <c r="E45" s="1811">
        <f>(E43/E44)</f>
        <v>0</v>
      </c>
      <c r="F45" s="1459" t="s">
        <v>999</v>
      </c>
      <c r="G45" s="1811">
        <f>(G43/G44)</f>
        <v>2.4515241933109706E-3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16" zoomScale="110" zoomScaleNormal="110" workbookViewId="0">
      <selection activeCell="G54" sqref="G5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S Will Co Coop for Spec Ed </v>
      </c>
      <c r="D6" s="2404"/>
      <c r="E6" s="2404"/>
      <c r="F6" s="1482"/>
      <c r="G6" s="1507"/>
      <c r="L6" s="1507"/>
      <c r="M6" s="1855"/>
      <c r="N6" s="1855"/>
      <c r="O6" s="1855"/>
    </row>
    <row r="7" spans="1:15" ht="11.25" customHeight="1" thickBot="1" x14ac:dyDescent="0.3">
      <c r="A7" s="1480"/>
      <c r="B7" s="1481"/>
      <c r="C7" s="2405" t="str">
        <f>COVER!A13</f>
        <v xml:space="preserve">56099030C61  </v>
      </c>
      <c r="D7" s="2405"/>
      <c r="E7" s="240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2052</v>
      </c>
      <c r="D14" s="1495" t="s">
        <v>2052</v>
      </c>
      <c r="E14" s="1498"/>
      <c r="F14" s="1497" t="s">
        <v>2068</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2052</v>
      </c>
      <c r="D15" s="1495" t="s">
        <v>2052</v>
      </c>
      <c r="E15" s="1498"/>
      <c r="F15" s="1497" t="s">
        <v>2069</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2052</v>
      </c>
      <c r="D16" s="1495" t="s">
        <v>2052</v>
      </c>
      <c r="E16" s="1498"/>
      <c r="F16" s="1497" t="s">
        <v>2070</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2052</v>
      </c>
      <c r="D18" s="1495" t="s">
        <v>2052</v>
      </c>
      <c r="E18" s="1498"/>
      <c r="F18" s="1497" t="s">
        <v>2071</v>
      </c>
      <c r="G18" s="1507"/>
      <c r="H18" s="1507">
        <f t="shared" si="0"/>
        <v>5</v>
      </c>
      <c r="I18" s="1507">
        <f t="shared" si="1"/>
        <v>5</v>
      </c>
      <c r="J18" s="1507">
        <f t="shared" si="2"/>
        <v>0</v>
      </c>
      <c r="L18" s="1507"/>
      <c r="M18" s="1855"/>
      <c r="N18" s="1855"/>
      <c r="O18" s="1855"/>
    </row>
    <row r="19" spans="1:15" ht="12" customHeight="1" x14ac:dyDescent="0.2">
      <c r="A19" s="1493" t="s">
        <v>1510</v>
      </c>
      <c r="B19" s="1494"/>
      <c r="C19" s="1495" t="s">
        <v>2052</v>
      </c>
      <c r="D19" s="1495" t="s">
        <v>2052</v>
      </c>
      <c r="E19" s="1498"/>
      <c r="F19" s="1497" t="s">
        <v>2072</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2052</v>
      </c>
      <c r="D20" s="1495" t="s">
        <v>2052</v>
      </c>
      <c r="E20" s="1498"/>
      <c r="F20" s="1497" t="s">
        <v>2073</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2052</v>
      </c>
      <c r="D21" s="1495" t="s">
        <v>2052</v>
      </c>
      <c r="E21" s="1498"/>
      <c r="F21" s="1497" t="s">
        <v>2074</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2052</v>
      </c>
      <c r="D24" s="1495" t="s">
        <v>2052</v>
      </c>
      <c r="E24" s="1498"/>
      <c r="F24" s="1497" t="s">
        <v>2075</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2052</v>
      </c>
      <c r="D26" s="1495" t="s">
        <v>2052</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2052</v>
      </c>
      <c r="D29" s="1495" t="s">
        <v>2052</v>
      </c>
      <c r="E29" s="1498"/>
      <c r="F29" s="1497" t="s">
        <v>2077</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2052</v>
      </c>
      <c r="D30" s="1495" t="s">
        <v>2052</v>
      </c>
      <c r="E30" s="1498"/>
      <c r="F30" s="1497" t="s">
        <v>2078</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t="s">
        <v>2079</v>
      </c>
      <c r="B41" s="2417"/>
      <c r="C41" s="2417"/>
      <c r="D41" s="2417"/>
      <c r="E41" s="2417"/>
      <c r="F41" s="2418"/>
      <c r="H41" s="1508"/>
      <c r="I41" s="1508"/>
      <c r="J41" s="1508"/>
      <c r="K41" s="1508"/>
    </row>
    <row r="42" spans="1:15" s="1499" customFormat="1" ht="12" customHeight="1" x14ac:dyDescent="0.25">
      <c r="A42" s="2416" t="s">
        <v>2080</v>
      </c>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0"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S Will Co Coop for Spec Ed </v>
      </c>
      <c r="K6" s="2420"/>
      <c r="L6" s="2421"/>
      <c r="M6" s="838"/>
      <c r="N6" s="1998"/>
    </row>
    <row r="7" spans="1:14" x14ac:dyDescent="0.2">
      <c r="A7" s="2422" t="s">
        <v>864</v>
      </c>
      <c r="B7" s="2423"/>
      <c r="C7" s="2423"/>
      <c r="D7" s="2423"/>
      <c r="E7" s="2424"/>
      <c r="F7" s="839"/>
      <c r="G7" s="838"/>
      <c r="H7" s="838"/>
      <c r="I7" s="1924" t="s">
        <v>369</v>
      </c>
      <c r="J7" s="2425" t="str">
        <f>COVER!A13</f>
        <v xml:space="preserve">56099030C61  </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2171916</v>
      </c>
      <c r="F12" s="1942"/>
      <c r="G12" s="1968">
        <f>G68</f>
        <v>0</v>
      </c>
      <c r="H12" s="1944">
        <f t="shared" ref="H12:H18" si="0">SUM(E12:G12)</f>
        <v>2171916</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2171916</v>
      </c>
      <c r="F19" s="1950">
        <f t="shared" si="2"/>
        <v>0</v>
      </c>
      <c r="G19" s="1950">
        <f t="shared" ref="G19" si="3">SUM(G12:G17)-G18</f>
        <v>0</v>
      </c>
      <c r="H19" s="1950">
        <f t="shared" si="2"/>
        <v>2171916</v>
      </c>
      <c r="I19" s="1950">
        <f t="shared" si="2"/>
        <v>0</v>
      </c>
      <c r="J19" s="1950">
        <f t="shared" si="2"/>
        <v>0</v>
      </c>
      <c r="K19" s="1950">
        <f t="shared" si="2"/>
        <v>0</v>
      </c>
      <c r="L19" s="1950">
        <f t="shared" si="2"/>
        <v>0</v>
      </c>
      <c r="M19" s="838"/>
      <c r="N19" s="1998"/>
    </row>
    <row r="20" spans="1:14" ht="13.5" thickTop="1" x14ac:dyDescent="0.2">
      <c r="A20" s="2003">
        <v>9</v>
      </c>
      <c r="B20" s="2432" t="s">
        <v>2018</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2021</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2022</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2023</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2024</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7" t="s">
        <v>2026</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S Will Co Coop for Spec Ed </v>
      </c>
      <c r="M52" s="2420"/>
      <c r="N52" s="2450"/>
    </row>
    <row r="53" spans="1:14" x14ac:dyDescent="0.2">
      <c r="A53" s="1982"/>
      <c r="B53" s="1983"/>
      <c r="C53" s="1983"/>
      <c r="D53" s="1983"/>
      <c r="E53" s="1983"/>
      <c r="F53" s="1983"/>
      <c r="G53" s="1983"/>
      <c r="H53" s="1983"/>
      <c r="I53" s="1983"/>
      <c r="J53" s="1983"/>
      <c r="K53" s="1924" t="s">
        <v>369</v>
      </c>
      <c r="L53" s="2425" t="str">
        <f>J7</f>
        <v xml:space="preserve">56099030C61  </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2027</v>
      </c>
      <c r="H55" s="2454"/>
      <c r="I55" s="2454"/>
      <c r="J55" s="2454"/>
      <c r="K55" s="2454"/>
      <c r="L55" s="2454"/>
      <c r="M55" s="2454"/>
      <c r="N55" s="2455"/>
    </row>
    <row r="56" spans="1:14" ht="63.75" x14ac:dyDescent="0.2">
      <c r="A56" s="2456" t="s">
        <v>2028</v>
      </c>
      <c r="B56" s="2457"/>
      <c r="C56" s="245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2038</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2039</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2067</v>
      </c>
    </row>
    <row r="6" spans="1:2" x14ac:dyDescent="0.2">
      <c r="A6" s="847">
        <v>2</v>
      </c>
      <c r="B6" s="307" t="s">
        <v>2081</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 Will Co Coop for Spec Ed </v>
      </c>
    </row>
    <row r="65" spans="2:2" x14ac:dyDescent="0.2">
      <c r="B65" s="849" t="str">
        <f>COVER!A13</f>
        <v xml:space="preserve">56099030C61  </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C80" sqref="C8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P34" sqref="P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P34" sqref="P3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15920980</v>
      </c>
      <c r="C8" s="1813">
        <f>'Acct Summary 7-8'!D8</f>
        <v>0</v>
      </c>
      <c r="D8" s="1813">
        <f>'Acct Summary 7-8'!F8</f>
        <v>0</v>
      </c>
      <c r="E8" s="1813">
        <f>'Acct Summary 7-8'!I8</f>
        <v>0</v>
      </c>
      <c r="F8" s="1813">
        <f>SUM(B8:E8)</f>
        <v>15920980</v>
      </c>
    </row>
    <row r="9" spans="1:8" s="858" customFormat="1" ht="14.25" customHeight="1" thickBot="1" x14ac:dyDescent="0.25">
      <c r="A9" s="857" t="s">
        <v>1353</v>
      </c>
      <c r="B9" s="1814">
        <f>'Acct Summary 7-8'!C17</f>
        <v>15884065</v>
      </c>
      <c r="C9" s="1814">
        <f>'Acct Summary 7-8'!D17</f>
        <v>0</v>
      </c>
      <c r="D9" s="1814">
        <f>'Acct Summary 7-8'!F17</f>
        <v>0</v>
      </c>
      <c r="E9" s="1813"/>
      <c r="F9" s="1813">
        <f>SUM(B9:E9)</f>
        <v>15884065</v>
      </c>
    </row>
    <row r="10" spans="1:8" s="858" customFormat="1" ht="14.25" thickTop="1" thickBot="1" x14ac:dyDescent="0.25">
      <c r="A10" s="859" t="s">
        <v>1354</v>
      </c>
      <c r="B10" s="1815">
        <f>(B8-B9)</f>
        <v>36915</v>
      </c>
      <c r="C10" s="1815">
        <f>(C8-C9)</f>
        <v>0</v>
      </c>
      <c r="D10" s="1815">
        <f>(D8-D9)</f>
        <v>0</v>
      </c>
      <c r="E10" s="1814">
        <f>(E8-E9)</f>
        <v>0</v>
      </c>
      <c r="F10" s="1816">
        <f>SUM(F8-F9)</f>
        <v>36915</v>
      </c>
    </row>
    <row r="11" spans="1:8" s="858" customFormat="1" ht="14.25" thickTop="1" thickBot="1" x14ac:dyDescent="0.25">
      <c r="A11" s="860" t="s">
        <v>1900</v>
      </c>
      <c r="B11" s="1817">
        <f>'Acct Summary 7-8'!C81</f>
        <v>4725264</v>
      </c>
      <c r="C11" s="1817">
        <f>'Acct Summary 7-8'!D81</f>
        <v>0</v>
      </c>
      <c r="D11" s="1817">
        <f>'Acct Summary 7-8'!F81</f>
        <v>0</v>
      </c>
      <c r="E11" s="1817">
        <f>'Acct Summary 7-8'!I81</f>
        <v>0</v>
      </c>
      <c r="F11" s="1818">
        <f>SUM(B11:E11)</f>
        <v>4725264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 xml:space="preserve">56099030C61  </v>
      </c>
      <c r="E2" s="1542">
        <v>2020</v>
      </c>
      <c r="F2" s="1542">
        <v>1</v>
      </c>
      <c r="G2" s="1899">
        <v>101000300</v>
      </c>
    </row>
    <row r="3" spans="1:7" ht="15" x14ac:dyDescent="0.25">
      <c r="A3" t="s">
        <v>950</v>
      </c>
      <c r="B3" s="135" t="str">
        <f>COVER!A15</f>
        <v>Will</v>
      </c>
      <c r="E3" s="1830" t="s">
        <v>1968</v>
      </c>
      <c r="F3" s="1830" t="s">
        <v>1967</v>
      </c>
      <c r="G3" s="1899">
        <v>101000400</v>
      </c>
    </row>
    <row r="4" spans="1:7" ht="15" x14ac:dyDescent="0.25">
      <c r="A4" t="s">
        <v>1000</v>
      </c>
      <c r="B4" s="135" t="str">
        <f>COVER!A17</f>
        <v xml:space="preserve">  S Will Co Coop for Spec Ed </v>
      </c>
      <c r="E4" s="1828">
        <v>44119</v>
      </c>
      <c r="F4" s="1829">
        <v>44151</v>
      </c>
      <c r="G4" s="1899">
        <v>101000600</v>
      </c>
    </row>
    <row r="5" spans="1:7" ht="15" x14ac:dyDescent="0.25">
      <c r="A5" t="s">
        <v>699</v>
      </c>
      <c r="B5" s="135" t="str">
        <f>COVER!A38</f>
        <v>Bill Roseland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4725264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3939331</v>
      </c>
      <c r="D92" s="2" t="str">
        <f t="shared" si="0"/>
        <v>Error?</v>
      </c>
      <c r="G92" s="1899">
        <v>102640600</v>
      </c>
    </row>
    <row r="93" spans="1:7" ht="15" x14ac:dyDescent="0.25">
      <c r="A93" s="5">
        <v>32</v>
      </c>
      <c r="B93" s="1832">
        <f>'Assets-Liab 5-6'!C41</f>
        <v>4725264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548700</v>
      </c>
      <c r="D273" s="2" t="str">
        <f t="shared" si="3"/>
        <v>Error?</v>
      </c>
    </row>
    <row r="274" spans="1:4" x14ac:dyDescent="0.2">
      <c r="A274" s="5">
        <v>213</v>
      </c>
      <c r="B274" s="1832">
        <f>'Assets-Liab 5-6'!M17</f>
        <v>1973473</v>
      </c>
      <c r="D274" s="2" t="str">
        <f t="shared" si="3"/>
        <v>Error?</v>
      </c>
    </row>
    <row r="275" spans="1:4" x14ac:dyDescent="0.2">
      <c r="A275" s="5">
        <v>214</v>
      </c>
      <c r="B275" s="1832">
        <f>'Assets-Liab 5-6'!M18</f>
        <v>0</v>
      </c>
      <c r="D275" s="2" t="str">
        <f t="shared" si="3"/>
        <v>Error?</v>
      </c>
    </row>
    <row r="276" spans="1:4" x14ac:dyDescent="0.2">
      <c r="A276" s="5">
        <v>215</v>
      </c>
      <c r="B276" s="1832">
        <f>'Assets-Liab 5-6'!M19</f>
        <v>21920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2544093</v>
      </c>
      <c r="C279" s="2" t="s">
        <v>569</v>
      </c>
      <c r="D279" s="2" t="str">
        <f t="shared" si="3"/>
        <v>Error?</v>
      </c>
    </row>
    <row r="280" spans="1:4" x14ac:dyDescent="0.2">
      <c r="A280" s="5">
        <v>219</v>
      </c>
      <c r="B280" s="1832">
        <f>'Assets-Liab 5-6'!M40</f>
        <v>2544093</v>
      </c>
      <c r="D280" s="2" t="str">
        <f t="shared" si="3"/>
        <v>Error?</v>
      </c>
    </row>
    <row r="281" spans="1:4" x14ac:dyDescent="0.2">
      <c r="A281" s="5">
        <v>220</v>
      </c>
      <c r="B281" s="1832">
        <f>'Assets-Liab 5-6'!M41</f>
        <v>2544093</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6288396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128033</v>
      </c>
      <c r="D719" s="2" t="str">
        <f t="shared" si="10"/>
        <v>Error?</v>
      </c>
    </row>
    <row r="720" spans="1:4" x14ac:dyDescent="0.2">
      <c r="A720" s="5">
        <v>659</v>
      </c>
      <c r="B720" s="1832">
        <f>'Expenditures 15-22'!C33</f>
        <v>6841573</v>
      </c>
      <c r="C720" s="2" t="s">
        <v>569</v>
      </c>
      <c r="D720" s="2" t="str">
        <f t="shared" si="10"/>
        <v>Error?</v>
      </c>
    </row>
    <row r="721" spans="1:4" x14ac:dyDescent="0.2">
      <c r="A721" s="5">
        <v>660</v>
      </c>
      <c r="B721" s="1832">
        <f>'Expenditures 15-22'!C36</f>
        <v>535095</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31372</v>
      </c>
      <c r="D723" s="2" t="str">
        <f t="shared" si="10"/>
        <v>Error?</v>
      </c>
    </row>
    <row r="724" spans="1:4" x14ac:dyDescent="0.2">
      <c r="A724" s="5">
        <v>663</v>
      </c>
      <c r="B724" s="1832">
        <f>'Expenditures 15-22'!C39</f>
        <v>814975</v>
      </c>
      <c r="D724" s="2" t="str">
        <f t="shared" si="10"/>
        <v>Error?</v>
      </c>
    </row>
    <row r="725" spans="1:4" x14ac:dyDescent="0.2">
      <c r="A725" s="5">
        <v>664</v>
      </c>
      <c r="B725" s="1832">
        <f>'Expenditures 15-22'!C40</f>
        <v>1720048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3101490</v>
      </c>
      <c r="C727" s="2" t="s">
        <v>569</v>
      </c>
      <c r="D727" s="2" t="str">
        <f t="shared" si="10"/>
        <v>Error?</v>
      </c>
    </row>
    <row r="728" spans="1:4" x14ac:dyDescent="0.2">
      <c r="A728" s="5">
        <v>667</v>
      </c>
      <c r="B728" s="1832">
        <f>'Expenditures 15-22'!C44</f>
        <v>43039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43039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1168362</v>
      </c>
      <c r="D733" s="2" t="str">
        <f t="shared" si="10"/>
        <v>Error?</v>
      </c>
    </row>
    <row r="734" spans="1:4" x14ac:dyDescent="0.2">
      <c r="A734" s="5">
        <v>673</v>
      </c>
      <c r="B734" s="1832">
        <f>'Expenditures 15-22'!C53</f>
        <v>1168362</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4312891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11154464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1271654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10342</v>
      </c>
      <c r="D777" s="2" t="str">
        <f t="shared" si="11"/>
        <v>Error?</v>
      </c>
    </row>
    <row r="778" spans="1:4" x14ac:dyDescent="0.2">
      <c r="A778" s="5">
        <v>717</v>
      </c>
      <c r="B778" s="1832">
        <f>'Expenditures 15-22'!D33</f>
        <v>1339159</v>
      </c>
      <c r="C778" s="2" t="s">
        <v>569</v>
      </c>
      <c r="D778" s="2" t="str">
        <f t="shared" si="11"/>
        <v>Error?</v>
      </c>
    </row>
    <row r="779" spans="1:4" x14ac:dyDescent="0.2">
      <c r="A779" s="5">
        <v>718</v>
      </c>
      <c r="B779" s="1832">
        <f>'Expenditures 15-22'!D36</f>
        <v>49949</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5506</v>
      </c>
      <c r="D781" s="2" t="str">
        <f t="shared" si="11"/>
        <v>Error?</v>
      </c>
    </row>
    <row r="782" spans="1:4" x14ac:dyDescent="0.2">
      <c r="A782" s="5">
        <v>721</v>
      </c>
      <c r="B782" s="1832">
        <f>'Expenditures 15-22'!D39</f>
        <v>90038</v>
      </c>
      <c r="D782" s="2" t="str">
        <f t="shared" si="11"/>
        <v>Error?</v>
      </c>
    </row>
    <row r="783" spans="1:4" x14ac:dyDescent="0.2">
      <c r="A783" s="5">
        <v>722</v>
      </c>
      <c r="B783" s="1832">
        <f>'Expenditures 15-22'!D40</f>
        <v>173255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318748</v>
      </c>
      <c r="C785" s="2" t="s">
        <v>569</v>
      </c>
      <c r="D785" s="2" t="str">
        <f t="shared" si="11"/>
        <v>Error?</v>
      </c>
    </row>
    <row r="786" spans="1:4" x14ac:dyDescent="0.2">
      <c r="A786" s="5">
        <v>725</v>
      </c>
      <c r="B786" s="1832">
        <f>'Expenditures 15-22'!D44</f>
        <v>4588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4588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663363</v>
      </c>
      <c r="D791" s="2" t="str">
        <f t="shared" si="11"/>
        <v>Error?</v>
      </c>
    </row>
    <row r="792" spans="1:4" x14ac:dyDescent="0.2">
      <c r="A792" s="5">
        <v>731</v>
      </c>
      <c r="B792" s="1832">
        <f>'Expenditures 15-22'!D53</f>
        <v>663363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986699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2325858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191145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197545</v>
      </c>
      <c r="C836" s="2" t="s">
        <v>569</v>
      </c>
      <c r="D836" s="2" t="str">
        <f t="shared" si="12"/>
        <v>Error?</v>
      </c>
    </row>
    <row r="837" spans="1:4" x14ac:dyDescent="0.2">
      <c r="A837" s="5">
        <v>776</v>
      </c>
      <c r="B837" s="1832">
        <f>'Expenditures 15-22'!E36</f>
        <v>70328</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48627</v>
      </c>
      <c r="D840" s="2" t="str">
        <f t="shared" si="12"/>
        <v>Error?</v>
      </c>
    </row>
    <row r="841" spans="1:4" x14ac:dyDescent="0.2">
      <c r="A841" s="5">
        <v>780</v>
      </c>
      <c r="B841" s="1832">
        <f>'Expenditures 15-22'!E40</f>
        <v>153924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272879</v>
      </c>
      <c r="C843" s="2" t="s">
        <v>569</v>
      </c>
      <c r="D843" s="2" t="str">
        <f t="shared" si="12"/>
        <v>Error?</v>
      </c>
    </row>
    <row r="844" spans="1:4" x14ac:dyDescent="0.2">
      <c r="A844" s="5">
        <v>783</v>
      </c>
      <c r="B844" s="1832">
        <f>'Expenditures 15-22'!E44</f>
        <v>61570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61570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248114</v>
      </c>
      <c r="D849" s="2" t="str">
        <f t="shared" si="12"/>
        <v>Error?</v>
      </c>
    </row>
    <row r="850" spans="1:4" x14ac:dyDescent="0.2">
      <c r="A850" s="5">
        <v>789</v>
      </c>
      <c r="B850" s="1832">
        <f>'Expenditures 15-22'!E53</f>
        <v>248114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35391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35391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617954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815499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34816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1432</v>
      </c>
      <c r="D893" s="2" t="str">
        <f t="shared" si="12"/>
        <v>Error?</v>
      </c>
    </row>
    <row r="894" spans="1:4" x14ac:dyDescent="0.2">
      <c r="A894" s="5">
        <v>833</v>
      </c>
      <c r="B894" s="1832">
        <f>'Expenditures 15-22'!F33</f>
        <v>37506</v>
      </c>
      <c r="C894" s="2" t="s">
        <v>569</v>
      </c>
      <c r="D894" s="2" t="str">
        <f t="shared" si="12"/>
        <v>Error?</v>
      </c>
    </row>
    <row r="895" spans="1:4" x14ac:dyDescent="0.2">
      <c r="A895" s="5">
        <v>834</v>
      </c>
      <c r="B895" s="1832">
        <f>'Expenditures 15-22'!F36</f>
        <v>1259</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286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5091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6636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41404</v>
      </c>
      <c r="D907" s="2" t="str">
        <f t="shared" si="13"/>
        <v>Error?</v>
      </c>
    </row>
    <row r="908" spans="1:4" x14ac:dyDescent="0.2">
      <c r="A908" s="5">
        <v>847</v>
      </c>
      <c r="B908" s="1832">
        <f>'Expenditures 15-22'!F53</f>
        <v>41404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48040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85546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10810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10810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10810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42595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46145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50673</v>
      </c>
      <c r="D1023" s="2" t="str">
        <f t="shared" ref="D1023:D1086" si="15">IF(ISBLANK(B1023),"OK",IF(A1023-B1023=0,"OK","Error?"))</f>
        <v>Error?</v>
      </c>
    </row>
    <row r="1024" spans="1:4" x14ac:dyDescent="0.2">
      <c r="A1024" s="5">
        <v>963</v>
      </c>
      <c r="B1024" s="1832">
        <f>'Expenditures 15-22'!H53</f>
        <v>50673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50673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1378070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1474888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7856416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139807</v>
      </c>
      <c r="C1107" s="2" t="s">
        <v>569</v>
      </c>
      <c r="D1107" s="2" t="str">
        <f t="shared" si="16"/>
        <v>Error?</v>
      </c>
    </row>
    <row r="1108" spans="1:4" x14ac:dyDescent="0.2">
      <c r="A1108" s="5">
        <v>1047</v>
      </c>
      <c r="B1108" s="1832">
        <f>'Expenditures 15-22'!K33</f>
        <v>8489738</v>
      </c>
      <c r="C1108" s="2" t="s">
        <v>569</v>
      </c>
      <c r="D1108" s="2" t="str">
        <f t="shared" si="16"/>
        <v>Error?</v>
      </c>
    </row>
    <row r="1109" spans="1:4" x14ac:dyDescent="0.2">
      <c r="A1109" s="5">
        <v>1048</v>
      </c>
      <c r="B1109" s="1832">
        <f>'Expenditures 15-22'!K36</f>
        <v>656631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37164</v>
      </c>
      <c r="C1111" s="2" t="s">
        <v>569</v>
      </c>
      <c r="D1111" s="2" t="str">
        <f t="shared" si="16"/>
        <v>Error?</v>
      </c>
    </row>
    <row r="1112" spans="1:4" x14ac:dyDescent="0.2">
      <c r="A1112" s="5">
        <v>1051</v>
      </c>
      <c r="B1112" s="1832">
        <f>'Expenditures 15-22'!K39</f>
        <v>953640</v>
      </c>
      <c r="C1112" s="2" t="s">
        <v>569</v>
      </c>
      <c r="D1112" s="2" t="str">
        <f t="shared" si="16"/>
        <v>Error?</v>
      </c>
    </row>
    <row r="1113" spans="1:4" x14ac:dyDescent="0.2">
      <c r="A1113" s="5">
        <v>1052</v>
      </c>
      <c r="B1113" s="1832">
        <f>'Expenditures 15-22'!K40</f>
        <v>2052318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3699753</v>
      </c>
      <c r="C1115" s="2" t="s">
        <v>569</v>
      </c>
      <c r="D1115" s="2" t="str">
        <f t="shared" si="16"/>
        <v>Error?</v>
      </c>
    </row>
    <row r="1116" spans="1:4" x14ac:dyDescent="0.2">
      <c r="A1116" s="5">
        <v>1055</v>
      </c>
      <c r="B1116" s="1832">
        <f>'Expenditures 15-22'!K44</f>
        <v>109197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109197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2171916</v>
      </c>
      <c r="C1121" s="2" t="s">
        <v>569</v>
      </c>
      <c r="D1121" s="2" t="str">
        <f t="shared" si="16"/>
        <v>Error?</v>
      </c>
    </row>
    <row r="1122" spans="1:4" x14ac:dyDescent="0.2">
      <c r="A1122" s="5">
        <v>1061</v>
      </c>
      <c r="B1122" s="1832">
        <f>'Expenditures 15-22'!K53</f>
        <v>2171916</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35391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35391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6016257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1378070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15884065</v>
      </c>
      <c r="C1152" s="2" t="s">
        <v>569</v>
      </c>
      <c r="D1152" s="2" t="str">
        <f t="shared" si="17"/>
        <v>Error?</v>
      </c>
    </row>
    <row r="1153" spans="1:4" x14ac:dyDescent="0.2">
      <c r="A1153" s="5">
        <v>1092</v>
      </c>
      <c r="B1153" s="1832">
        <f>'Expenditures 15-22'!K115</f>
        <v>36915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4688349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4725264</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548700</v>
      </c>
      <c r="D2008" s="2" t="str">
        <f t="shared" si="30"/>
        <v>Error?</v>
      </c>
    </row>
    <row r="2009" spans="1:4" x14ac:dyDescent="0.2">
      <c r="A2009" s="5">
        <v>1948</v>
      </c>
      <c r="B2009" s="1832">
        <f>'Cap Outlay Deprec 26'!C8</f>
        <v>630330</v>
      </c>
      <c r="D2009" s="2" t="str">
        <f t="shared" si="30"/>
        <v>Error?</v>
      </c>
    </row>
    <row r="2010" spans="1:4" x14ac:dyDescent="0.2">
      <c r="A2010" s="5">
        <v>1949</v>
      </c>
      <c r="B2010" s="1832">
        <f>'Cap Outlay Deprec 26'!C10</f>
        <v>3270089</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317330</v>
      </c>
      <c r="D2012" s="2" t="str">
        <f t="shared" si="30"/>
        <v>Error?</v>
      </c>
    </row>
    <row r="2013" spans="1:4" x14ac:dyDescent="0.2">
      <c r="A2013" s="5">
        <v>1952</v>
      </c>
      <c r="B2013" s="1832">
        <f>'Cap Outlay Deprec 26'!C16</f>
        <v>4766449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7914</v>
      </c>
      <c r="D2018" s="2" t="str">
        <f t="shared" si="30"/>
        <v>Error?</v>
      </c>
    </row>
    <row r="2019" spans="1:4" x14ac:dyDescent="0.2">
      <c r="A2019" s="5">
        <v>1958</v>
      </c>
      <c r="B2019" s="1832">
        <f>'Cap Outlay Deprec 26'!D16</f>
        <v>7914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548700</v>
      </c>
      <c r="C2026" s="2" t="s">
        <v>569</v>
      </c>
      <c r="D2026" s="2" t="str">
        <f t="shared" si="30"/>
        <v>Error?</v>
      </c>
    </row>
    <row r="2027" spans="1:4" x14ac:dyDescent="0.2">
      <c r="A2027" s="5">
        <v>1966</v>
      </c>
      <c r="B2027" s="1832">
        <f>'Cap Outlay Deprec 26'!F8</f>
        <v>630330</v>
      </c>
      <c r="C2027" s="2" t="s">
        <v>569</v>
      </c>
      <c r="D2027" s="2" t="str">
        <f t="shared" si="30"/>
        <v>Error?</v>
      </c>
    </row>
    <row r="2028" spans="1:4" x14ac:dyDescent="0.2">
      <c r="A2028" s="5">
        <v>1967</v>
      </c>
      <c r="B2028" s="1832">
        <f>'Cap Outlay Deprec 26'!F10</f>
        <v>3270089</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325244</v>
      </c>
      <c r="C2030" s="2" t="s">
        <v>569</v>
      </c>
      <c r="D2030" s="2" t="str">
        <f t="shared" si="30"/>
        <v>Error?</v>
      </c>
    </row>
    <row r="2031" spans="1:4" x14ac:dyDescent="0.2">
      <c r="A2031" s="5">
        <v>1970</v>
      </c>
      <c r="B2031" s="1832">
        <f>'Cap Outlay Deprec 26'!F16</f>
        <v>4774363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453316</v>
      </c>
      <c r="D2033" s="2" t="str">
        <f t="shared" si="30"/>
        <v>Error?</v>
      </c>
    </row>
    <row r="2034" spans="1:4" x14ac:dyDescent="0.2">
      <c r="A2034" s="5">
        <v>1973</v>
      </c>
      <c r="B2034" s="1832">
        <f>'Cap Outlay Deprec 26'!H10</f>
        <v>1281130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291677</v>
      </c>
      <c r="D2036" s="2" t="str">
        <f t="shared" si="30"/>
        <v>Error?</v>
      </c>
    </row>
    <row r="2037" spans="1:4" x14ac:dyDescent="0.2">
      <c r="A2037" s="5">
        <v>1976</v>
      </c>
      <c r="B2037" s="1832">
        <f>'Cap Outlay Deprec 26'!H16</f>
        <v>2026123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29746</v>
      </c>
      <c r="D2039" s="2" t="str">
        <f t="shared" si="30"/>
        <v>Error?</v>
      </c>
    </row>
    <row r="2040" spans="1:4" x14ac:dyDescent="0.2">
      <c r="A2040" s="5">
        <v>1979</v>
      </c>
      <c r="B2040" s="1832">
        <f>'Cap Outlay Deprec 26'!I10</f>
        <v>162754</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11647</v>
      </c>
      <c r="D2042" s="2" t="str">
        <f t="shared" si="30"/>
        <v>Error?</v>
      </c>
    </row>
    <row r="2043" spans="1:4" x14ac:dyDescent="0.2">
      <c r="A2043" s="5">
        <v>1982</v>
      </c>
      <c r="B2043" s="1832">
        <f>'Cap Outlay Deprec 26'!I16</f>
        <v>204147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483062</v>
      </c>
      <c r="C2051" s="2" t="s">
        <v>569</v>
      </c>
      <c r="D2051" s="2" t="str">
        <f t="shared" si="31"/>
        <v>Error?</v>
      </c>
    </row>
    <row r="2052" spans="1:4" x14ac:dyDescent="0.2">
      <c r="A2052" s="5">
        <v>1991</v>
      </c>
      <c r="B2052" s="1832">
        <f>'Cap Outlay Deprec 26'!K10</f>
        <v>1443884</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303324</v>
      </c>
      <c r="C2054" s="2" t="s">
        <v>569</v>
      </c>
      <c r="D2054" s="2" t="str">
        <f t="shared" si="31"/>
        <v>Error?</v>
      </c>
    </row>
    <row r="2055" spans="1:4" x14ac:dyDescent="0.2">
      <c r="A2055" s="5">
        <v>1994</v>
      </c>
      <c r="B2055" s="1832">
        <f>'Cap Outlay Deprec 26'!K16</f>
        <v>2230270</v>
      </c>
      <c r="C2055" s="2" t="s">
        <v>569</v>
      </c>
      <c r="D2055" s="2" t="str">
        <f t="shared" si="31"/>
        <v>Error?</v>
      </c>
    </row>
    <row r="2056" spans="1:4" x14ac:dyDescent="0.2">
      <c r="A2056" s="5">
        <v>1995</v>
      </c>
      <c r="B2056" s="1832">
        <f>'Cap Outlay Deprec 26'!L5</f>
        <v>548700</v>
      </c>
      <c r="C2056" s="2" t="s">
        <v>569</v>
      </c>
      <c r="D2056" s="2" t="str">
        <f t="shared" si="31"/>
        <v>Error?</v>
      </c>
    </row>
    <row r="2057" spans="1:4" x14ac:dyDescent="0.2">
      <c r="A2057" s="5">
        <v>1996</v>
      </c>
      <c r="B2057" s="1832">
        <f>'Cap Outlay Deprec 26'!L8</f>
        <v>147268</v>
      </c>
      <c r="C2057" s="2" t="s">
        <v>569</v>
      </c>
      <c r="D2057" s="2" t="str">
        <f t="shared" si="31"/>
        <v>Error?</v>
      </c>
    </row>
    <row r="2058" spans="1:4" x14ac:dyDescent="0.2">
      <c r="A2058" s="5">
        <v>1997</v>
      </c>
      <c r="B2058" s="1832">
        <f>'Cap Outlay Deprec 26'!L10</f>
        <v>1826205</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21920</v>
      </c>
      <c r="C2060" s="2" t="s">
        <v>569</v>
      </c>
      <c r="D2060" s="2" t="str">
        <f t="shared" si="31"/>
        <v>Error?</v>
      </c>
    </row>
    <row r="2061" spans="1:4" x14ac:dyDescent="0.2">
      <c r="A2061" s="5">
        <v>2000</v>
      </c>
      <c r="B2061" s="1832">
        <f>'Cap Outlay Deprec 26'!L16</f>
        <v>2544093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1378070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1378070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785933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11580066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1409479</v>
      </c>
      <c r="C2553" s="2" t="s">
        <v>569</v>
      </c>
      <c r="D2553" s="2" t="str">
        <f t="shared" si="38"/>
        <v>Error?</v>
      </c>
    </row>
    <row r="2554" spans="1:4" x14ac:dyDescent="0.2">
      <c r="A2554" s="5">
        <v>2493</v>
      </c>
      <c r="B2554" s="1832">
        <f>'Acct Summary 7-8'!C7</f>
        <v>2931435</v>
      </c>
      <c r="C2554" s="2" t="s">
        <v>569</v>
      </c>
      <c r="D2554" s="2" t="str">
        <f t="shared" si="38"/>
        <v>Error?</v>
      </c>
    </row>
    <row r="2555" spans="1:4" x14ac:dyDescent="0.2">
      <c r="A2555" s="5">
        <v>2494</v>
      </c>
      <c r="B2555" s="1832">
        <f>'Acct Summary 7-8'!C8</f>
        <v>15920980</v>
      </c>
      <c r="C2555" s="2" t="s">
        <v>569</v>
      </c>
      <c r="D2555" s="2" t="str">
        <f t="shared" si="38"/>
        <v>Error?</v>
      </c>
    </row>
    <row r="2556" spans="1:4" x14ac:dyDescent="0.2">
      <c r="A2556" s="5">
        <v>2495</v>
      </c>
      <c r="B2556" s="1832">
        <f>'Acct Summary 7-8'!C12</f>
        <v>8489738</v>
      </c>
      <c r="C2556" s="2" t="s">
        <v>569</v>
      </c>
      <c r="D2556" s="2" t="str">
        <f t="shared" si="38"/>
        <v>Error?</v>
      </c>
    </row>
    <row r="2557" spans="1:4" x14ac:dyDescent="0.2">
      <c r="A2557" s="5">
        <v>2496</v>
      </c>
      <c r="B2557" s="1832">
        <f>'Acct Summary 7-8'!C13</f>
        <v>6016257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1378070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15884065</v>
      </c>
      <c r="C2561" s="2" t="s">
        <v>569</v>
      </c>
      <c r="D2561" s="2" t="str">
        <f t="shared" si="39"/>
        <v>Error?</v>
      </c>
    </row>
    <row r="2562" spans="1:4" x14ac:dyDescent="0.2">
      <c r="A2562" s="5">
        <v>2501</v>
      </c>
      <c r="B2562" s="1832">
        <f>'Acct Summary 7-8'!C20</f>
        <v>36915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1378070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1378070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36915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4725264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967620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16888600</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967620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16851685</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4725264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69742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324735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596849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31200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10901264</v>
      </c>
      <c r="D5082" s="2" t="str">
        <f t="shared" si="78"/>
        <v>Error?</v>
      </c>
    </row>
    <row r="5083" spans="1:4" x14ac:dyDescent="0.2">
      <c r="A5083" s="5">
        <v>5022</v>
      </c>
      <c r="B5083" s="1832">
        <f>'Revenues 9-14'!C34</f>
        <v>41569</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10942833</v>
      </c>
      <c r="C5087" s="2" t="s">
        <v>569</v>
      </c>
      <c r="D5087" s="2" t="str">
        <f t="shared" si="78"/>
        <v>Error?</v>
      </c>
    </row>
    <row r="5088" spans="1:4" x14ac:dyDescent="0.2">
      <c r="A5088" s="5">
        <v>5027</v>
      </c>
      <c r="B5088" s="1832">
        <f>'Revenues 9-14'!C65</f>
        <v>25764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25764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5107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9513</v>
      </c>
      <c r="D5119" s="2" t="str">
        <f t="shared" ref="D5119:D5182" si="79">IF(ISBLANK(B5119),"OK",IF(A5119-B5119=0,"OK","Error?"))</f>
        <v>Error?</v>
      </c>
    </row>
    <row r="5120" spans="1:4" x14ac:dyDescent="0.2">
      <c r="A5120" s="5">
        <v>5059</v>
      </c>
      <c r="B5120" s="1832">
        <f>'Revenues 9-14'!C108</f>
        <v>606362</v>
      </c>
      <c r="C5120" s="2" t="s">
        <v>569</v>
      </c>
      <c r="D5120" s="2" t="str">
        <f t="shared" si="79"/>
        <v>Error?</v>
      </c>
    </row>
    <row r="5121" spans="1:4" x14ac:dyDescent="0.2">
      <c r="A5121" s="5">
        <v>5060</v>
      </c>
      <c r="B5121" s="1832">
        <f>'Revenues 9-14'!C109</f>
        <v>11580066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1403037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1403037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1376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4684</v>
      </c>
      <c r="D5175" s="2" t="str">
        <f t="shared" si="79"/>
        <v>Error?</v>
      </c>
    </row>
    <row r="5176" spans="1:4" x14ac:dyDescent="0.2">
      <c r="A5176" s="10">
        <v>5115</v>
      </c>
      <c r="B5176" s="1832"/>
      <c r="D5176" s="2" t="str">
        <f t="shared" si="79"/>
        <v>OK</v>
      </c>
    </row>
    <row r="5177" spans="1:4" x14ac:dyDescent="0.2">
      <c r="A5177" s="5">
        <v>5116</v>
      </c>
      <c r="B5177" s="1832">
        <f>'Revenues 9-14'!C153</f>
        <v>382</v>
      </c>
      <c r="D5177" s="2" t="str">
        <f t="shared" si="79"/>
        <v>Error?</v>
      </c>
    </row>
    <row r="5178" spans="1:4" x14ac:dyDescent="0.2">
      <c r="A5178" s="5">
        <v>5117</v>
      </c>
      <c r="B5178" s="1832">
        <f>'Revenues 9-14'!C155</f>
        <v>5066</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6442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1409479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54488</v>
      </c>
      <c r="D5239" s="2" t="str">
        <f t="shared" si="80"/>
        <v>Error?</v>
      </c>
    </row>
    <row r="5240" spans="1:4" x14ac:dyDescent="0.2">
      <c r="A5240" s="5">
        <v>5179</v>
      </c>
      <c r="B5240" s="1832">
        <f>'Revenues 9-14'!C192</f>
        <v>2029</v>
      </c>
      <c r="D5240" s="2" t="str">
        <f t="shared" si="80"/>
        <v>Error?</v>
      </c>
    </row>
    <row r="5241" spans="1:4" x14ac:dyDescent="0.2">
      <c r="A5241" s="5">
        <v>5180</v>
      </c>
      <c r="B5241" s="1832">
        <f>'Revenues 9-14'!C193</f>
        <v>29448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85965</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67448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2352345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2419793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2931435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2931435</v>
      </c>
      <c r="C5326" s="2" t="s">
        <v>569</v>
      </c>
      <c r="D5326" s="2" t="str">
        <f t="shared" si="82"/>
        <v>Error?</v>
      </c>
    </row>
    <row r="5327" spans="1:5" x14ac:dyDescent="0.2">
      <c r="A5327" s="5">
        <v>5266</v>
      </c>
      <c r="B5327" s="1832">
        <f>'Revenues 9-14'!C268</f>
        <v>15920980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5107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36915</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7.8122619180642609E-3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17000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493515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17000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17000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425144</v>
      </c>
      <c r="D7251" s="2" t="str">
        <f t="shared" si="112"/>
        <v>Error?</v>
      </c>
    </row>
    <row r="7252" spans="1:4" x14ac:dyDescent="0.2">
      <c r="A7252">
        <f t="shared" si="113"/>
        <v>7191</v>
      </c>
      <c r="B7252" s="1832">
        <f>'Expenditures 15-22'!D9</f>
        <v>57163</v>
      </c>
      <c r="D7252" s="2" t="str">
        <f t="shared" si="112"/>
        <v>Error?</v>
      </c>
    </row>
    <row r="7253" spans="1:4" x14ac:dyDescent="0.2">
      <c r="A7253">
        <f t="shared" si="113"/>
        <v>7192</v>
      </c>
      <c r="B7253" s="1832">
        <f>'Expenditures 15-22'!E9</f>
        <v>6400</v>
      </c>
      <c r="D7253" s="2" t="str">
        <f t="shared" si="112"/>
        <v>Error?</v>
      </c>
    </row>
    <row r="7254" spans="1:4" x14ac:dyDescent="0.2">
      <c r="A7254">
        <f t="shared" si="113"/>
        <v>7193</v>
      </c>
      <c r="B7254" s="1832">
        <f>'Expenditures 15-22'!F9</f>
        <v>1258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3550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204147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-23469</v>
      </c>
      <c r="D7820" s="2" t="str">
        <f t="shared" si="128"/>
        <v>Error?</v>
      </c>
    </row>
    <row r="7821" spans="1:5" x14ac:dyDescent="0.2">
      <c r="A7821">
        <v>7760</v>
      </c>
      <c r="B7821" s="1832">
        <f>'ICR Computation 30'!G40</f>
        <v>-23469</v>
      </c>
      <c r="D7821" s="2" t="str">
        <f t="shared" si="128"/>
        <v>Error?</v>
      </c>
    </row>
    <row r="7822" spans="1:5" x14ac:dyDescent="0.2">
      <c r="A7822" s="1">
        <v>7761</v>
      </c>
      <c r="B7822" s="1832">
        <f>'PCTC-OEPP 27-28'!F14</f>
        <v>15884065</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493515</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139807</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2022202</v>
      </c>
      <c r="D7834" s="2" t="str">
        <f t="shared" si="129"/>
        <v>Error?</v>
      </c>
      <c r="E7834" s="4" t="s">
        <v>1995</v>
      </c>
    </row>
    <row r="7835" spans="1:5" x14ac:dyDescent="0.2">
      <c r="A7835">
        <v>7774</v>
      </c>
      <c r="B7835" s="1832">
        <f>'PCTC-OEPP 27-28'!F78</f>
        <v>13861863</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596849</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5066</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85965</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2352345</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69742</v>
      </c>
      <c r="D7874" s="2" t="str">
        <f t="shared" si="129"/>
        <v>Error?</v>
      </c>
      <c r="E7874" s="4" t="s">
        <v>1995</v>
      </c>
    </row>
    <row r="7875" spans="1:5" x14ac:dyDescent="0.2">
      <c r="A7875">
        <v>7814</v>
      </c>
      <c r="B7875" s="1832">
        <f>'PCTC-OEPP 27-28'!F170</f>
        <v>324735</v>
      </c>
      <c r="D7875" s="2" t="str">
        <f t="shared" si="129"/>
        <v>Error?</v>
      </c>
      <c r="E7875" s="4" t="s">
        <v>1995</v>
      </c>
    </row>
    <row r="7876" spans="1:5" x14ac:dyDescent="0.2">
      <c r="A7876">
        <v>7815</v>
      </c>
      <c r="B7876" s="1832">
        <f>'PCTC-OEPP 27-28'!F171</f>
        <v>31200</v>
      </c>
      <c r="D7876" s="2" t="str">
        <f t="shared" si="129"/>
        <v>Error?</v>
      </c>
      <c r="E7876" s="4" t="s">
        <v>1995</v>
      </c>
    </row>
    <row r="7877" spans="1:5" x14ac:dyDescent="0.2">
      <c r="A7877">
        <v>7816</v>
      </c>
      <c r="B7877" s="1832">
        <f>'PCTC-OEPP 27-28'!F175</f>
        <v>3472385</v>
      </c>
      <c r="D7877" s="2" t="str">
        <f t="shared" si="129"/>
        <v>Error?</v>
      </c>
      <c r="E7877" s="4" t="s">
        <v>1995</v>
      </c>
    </row>
    <row r="7878" spans="1:5" x14ac:dyDescent="0.2">
      <c r="A7878">
        <v>7817</v>
      </c>
      <c r="B7878" s="1832">
        <f>'PCTC-OEPP 27-28'!F176</f>
        <v>10389478</v>
      </c>
      <c r="D7878" s="2" t="str">
        <f t="shared" si="129"/>
        <v>Error?</v>
      </c>
      <c r="E7878" s="4" t="s">
        <v>1995</v>
      </c>
    </row>
    <row r="7879" spans="1:5" x14ac:dyDescent="0.2">
      <c r="A7879">
        <v>7818</v>
      </c>
      <c r="B7879" s="1832">
        <f>'PCTC-OEPP 27-28'!F178</f>
        <v>10593625</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9" zoomScale="110" zoomScaleNormal="110" workbookViewId="0">
      <selection activeCell="P32" sqref="P3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S Will Co Coop for Spec Ed </v>
      </c>
      <c r="B7" s="2536"/>
      <c r="C7" s="2536"/>
      <c r="D7" s="2537"/>
      <c r="E7" s="2538" t="str">
        <f>COVER!A13</f>
        <v xml:space="preserve">56099030C61  </v>
      </c>
      <c r="F7" s="2539"/>
      <c r="G7" s="2545" t="str">
        <f>COVER!T23</f>
        <v>066-005100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Bill Roseland</v>
      </c>
      <c r="B10" s="2525"/>
      <c r="C10" s="2525"/>
      <c r="D10" s="2525"/>
      <c r="E10" s="2525"/>
      <c r="F10" s="2526"/>
      <c r="G10" s="2518" t="str">
        <f>COVER!T17</f>
        <v>116 E. Washington St., Suite One</v>
      </c>
      <c r="H10" s="2519"/>
      <c r="I10" s="2519"/>
      <c r="J10" s="2519"/>
      <c r="K10" s="2519"/>
      <c r="L10" s="2520"/>
    </row>
    <row r="11" spans="1:29" ht="13.5" customHeight="1" x14ac:dyDescent="0.2">
      <c r="A11" s="963" t="s">
        <v>1502</v>
      </c>
      <c r="B11" s="964"/>
      <c r="C11" s="965"/>
      <c r="D11" s="970"/>
      <c r="E11" s="965"/>
      <c r="F11" s="969"/>
      <c r="G11" s="2518" t="str">
        <f>COVER!T19</f>
        <v>Morris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tmack@mackcpas.com</v>
      </c>
      <c r="J13" s="2531"/>
      <c r="K13" s="2531"/>
      <c r="L13" s="2532"/>
    </row>
    <row r="14" spans="1:29" ht="13.5" customHeight="1" x14ac:dyDescent="0.2">
      <c r="A14" s="2518" t="str">
        <f>COVER!A19</f>
        <v>1207 N. Larkin Ave.</v>
      </c>
      <c r="B14" s="2519"/>
      <c r="C14" s="2519"/>
      <c r="D14" s="2519"/>
      <c r="E14" s="2519"/>
      <c r="F14" s="2520"/>
      <c r="G14" s="974" t="s">
        <v>1175</v>
      </c>
      <c r="H14" s="972"/>
      <c r="I14" s="972"/>
      <c r="J14" s="972"/>
      <c r="K14" s="972"/>
      <c r="L14" s="973"/>
    </row>
    <row r="15" spans="1:29" ht="13.5" customHeight="1" x14ac:dyDescent="0.2">
      <c r="A15" s="2518" t="str">
        <f>COVER!A21</f>
        <v>Joliet</v>
      </c>
      <c r="B15" s="2519"/>
      <c r="C15" s="2519"/>
      <c r="D15" s="2519"/>
      <c r="E15" s="2519"/>
      <c r="F15" s="2520"/>
      <c r="G15" s="2515" t="str">
        <f>COVER!T15</f>
        <v>Tawnya Mack, CPA</v>
      </c>
      <c r="H15" s="2516"/>
      <c r="I15" s="2516"/>
      <c r="J15" s="2516"/>
      <c r="K15" s="2516"/>
      <c r="L15" s="2517"/>
    </row>
    <row r="16" spans="1:29" ht="12.2" customHeight="1" x14ac:dyDescent="0.2">
      <c r="A16" s="2541">
        <f>COVER!A25</f>
        <v>60435</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2052</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2052</v>
      </c>
      <c r="C26" s="981" t="s">
        <v>1677</v>
      </c>
    </row>
    <row r="27" spans="1:13" s="977" customFormat="1" ht="9" customHeight="1" x14ac:dyDescent="0.2">
      <c r="B27" s="982"/>
      <c r="C27" s="981"/>
    </row>
    <row r="28" spans="1:13" s="977" customFormat="1" ht="12.2" customHeight="1" x14ac:dyDescent="0.2">
      <c r="A28" s="984"/>
      <c r="B28" s="980" t="s">
        <v>2052</v>
      </c>
      <c r="C28" s="981" t="s">
        <v>1678</v>
      </c>
    </row>
    <row r="29" spans="1:13" s="977" customFormat="1" ht="9" customHeight="1" x14ac:dyDescent="0.2">
      <c r="A29" s="984"/>
      <c r="B29" s="982"/>
      <c r="C29" s="981"/>
    </row>
    <row r="30" spans="1:13" s="977" customFormat="1" ht="12.2" customHeight="1" x14ac:dyDescent="0.2">
      <c r="B30" s="980" t="s">
        <v>2052</v>
      </c>
      <c r="C30" s="981" t="s">
        <v>1545</v>
      </c>
      <c r="D30" s="975"/>
      <c r="E30" s="975"/>
    </row>
    <row r="31" spans="1:13" s="977" customFormat="1" ht="9" customHeight="1" x14ac:dyDescent="0.2">
      <c r="B31" s="982"/>
      <c r="C31" s="981"/>
      <c r="D31" s="975"/>
      <c r="E31" s="975"/>
    </row>
    <row r="32" spans="1:13" s="977" customFormat="1" ht="12.2" customHeight="1" x14ac:dyDescent="0.2">
      <c r="B32" s="980" t="s">
        <v>2052</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2052</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2052</v>
      </c>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2052</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 Will Co Coop for Spec Ed </v>
      </c>
      <c r="B1" s="2558"/>
      <c r="C1" s="2558"/>
      <c r="D1" s="2558"/>
    </row>
    <row r="2" spans="1:11" s="991" customFormat="1" ht="12.75" x14ac:dyDescent="0.2">
      <c r="A2" s="2559" t="str">
        <f>'Single Audit Cover'!E7</f>
        <v xml:space="preserve">56099030C61  </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17" sqref="D1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 Will Co Coop for Spec Ed </v>
      </c>
      <c r="B1" s="2562"/>
      <c r="C1" s="2562"/>
      <c r="D1" s="2562"/>
      <c r="E1" s="2562"/>
    </row>
    <row r="2" spans="1:5" x14ac:dyDescent="0.2">
      <c r="A2" s="2563" t="str">
        <f>'Single Audit Cover'!E7</f>
        <v xml:space="preserve">56099030C61  </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2931435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-324735</v>
      </c>
    </row>
    <row r="19" spans="1:4" ht="13.5" thickBot="1" x14ac:dyDescent="0.25">
      <c r="A19" s="1041" t="s">
        <v>1224</v>
      </c>
      <c r="D19" s="1042">
        <f>SUM(D10:D17)</f>
        <v>2606700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2606700</v>
      </c>
    </row>
    <row r="33" spans="1:4" x14ac:dyDescent="0.2">
      <c r="D33" s="1045"/>
    </row>
    <row r="34" spans="1:4" x14ac:dyDescent="0.2">
      <c r="A34" s="295" t="s">
        <v>1221</v>
      </c>
    </row>
    <row r="35" spans="1:4" x14ac:dyDescent="0.2">
      <c r="A35" s="295" t="s">
        <v>1220</v>
      </c>
      <c r="B35" s="1034" t="s">
        <v>1219</v>
      </c>
      <c r="D35" s="1046">
        <v>2606700</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2606700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H19" sqref="H19"/>
    </sheetView>
  </sheetViews>
  <sheetFormatPr defaultColWidth="33.5703125" defaultRowHeight="12.75" x14ac:dyDescent="0.2"/>
  <cols>
    <col min="1" max="1" width="0.140625" style="295" customWidth="1"/>
    <col min="2" max="2" width="34.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S Will Co Coop for Spec Ed </v>
      </c>
      <c r="C1" s="2566"/>
      <c r="D1" s="2566"/>
      <c r="E1" s="2566"/>
      <c r="F1" s="2566"/>
      <c r="G1" s="2566"/>
      <c r="H1" s="2566"/>
      <c r="I1" s="2566"/>
      <c r="J1" s="2566"/>
      <c r="K1" s="2566"/>
      <c r="L1" s="2566"/>
      <c r="M1" s="2566"/>
    </row>
    <row r="2" spans="2:14" ht="15" x14ac:dyDescent="0.2">
      <c r="B2" s="2567" t="str">
        <f>'Single Audit Cover'!E7</f>
        <v xml:space="preserve">56099030C61  </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2082</v>
      </c>
      <c r="C11" s="1821"/>
      <c r="D11" s="1822"/>
      <c r="E11" s="1823"/>
      <c r="F11" s="1823"/>
      <c r="G11" s="1823"/>
      <c r="H11" s="1823"/>
      <c r="I11" s="1823"/>
      <c r="J11" s="1823"/>
      <c r="K11" s="1823"/>
      <c r="L11" s="1823">
        <f>+G11+I11+K11</f>
        <v>0</v>
      </c>
      <c r="M11" s="1823"/>
    </row>
    <row r="12" spans="2:14" ht="20.100000000000001" customHeight="1" x14ac:dyDescent="0.2">
      <c r="B12" s="1113" t="s">
        <v>2083</v>
      </c>
      <c r="C12" s="1824"/>
      <c r="D12" s="1825"/>
      <c r="E12" s="1826"/>
      <c r="F12" s="1826"/>
      <c r="G12" s="1826"/>
      <c r="H12" s="1826"/>
      <c r="I12" s="1826"/>
      <c r="J12" s="1826"/>
      <c r="K12" s="1826"/>
      <c r="L12" s="1823">
        <f t="shared" ref="L12:L27" si="0">+G12+I12+K12</f>
        <v>0</v>
      </c>
      <c r="M12" s="1826"/>
    </row>
    <row r="13" spans="2:14" ht="20.100000000000001" customHeight="1" x14ac:dyDescent="0.2">
      <c r="B13" s="1113" t="s">
        <v>2084</v>
      </c>
      <c r="C13" s="1824"/>
      <c r="D13" s="1825"/>
      <c r="E13" s="1826"/>
      <c r="F13" s="1826"/>
      <c r="G13" s="1826"/>
      <c r="H13" s="1826"/>
      <c r="I13" s="1826"/>
      <c r="J13" s="1826"/>
      <c r="K13" s="1826"/>
      <c r="L13" s="1823">
        <f t="shared" si="0"/>
        <v>0</v>
      </c>
      <c r="M13" s="1826"/>
    </row>
    <row r="14" spans="2:14" ht="20.100000000000001" customHeight="1" x14ac:dyDescent="0.2">
      <c r="B14" s="1113" t="s">
        <v>2085</v>
      </c>
      <c r="C14" s="1824">
        <v>84.173000000000002</v>
      </c>
      <c r="D14" s="1825" t="s">
        <v>2108</v>
      </c>
      <c r="E14" s="1826">
        <v>34923</v>
      </c>
      <c r="F14" s="1826">
        <v>39554</v>
      </c>
      <c r="G14" s="1826">
        <v>74477</v>
      </c>
      <c r="H14" s="1826">
        <v>33240</v>
      </c>
      <c r="I14" s="1826"/>
      <c r="J14" s="1826"/>
      <c r="K14" s="1826"/>
      <c r="L14" s="1823">
        <f t="shared" si="0"/>
        <v>74477</v>
      </c>
      <c r="M14" s="1826">
        <v>74738</v>
      </c>
    </row>
    <row r="15" spans="2:14" ht="20.100000000000001" customHeight="1" x14ac:dyDescent="0.2">
      <c r="B15" s="1113" t="s">
        <v>2086</v>
      </c>
      <c r="C15" s="1824">
        <v>84.173000000000002</v>
      </c>
      <c r="D15" s="1825" t="s">
        <v>2109</v>
      </c>
      <c r="E15" s="1826"/>
      <c r="F15" s="1826">
        <v>27894</v>
      </c>
      <c r="G15" s="1826"/>
      <c r="H15" s="1826"/>
      <c r="I15" s="1826">
        <v>72111</v>
      </c>
      <c r="J15" s="1826">
        <v>33985</v>
      </c>
      <c r="K15" s="1826"/>
      <c r="L15" s="1823">
        <f t="shared" si="0"/>
        <v>72111</v>
      </c>
      <c r="M15" s="1826">
        <v>72869</v>
      </c>
    </row>
    <row r="16" spans="2:14" ht="20.100000000000001" customHeight="1" x14ac:dyDescent="0.2">
      <c r="B16" s="1113" t="s">
        <v>2087</v>
      </c>
      <c r="C16" s="1824">
        <v>84.027000000000001</v>
      </c>
      <c r="D16" s="1825" t="s">
        <v>2110</v>
      </c>
      <c r="E16" s="1826">
        <v>1180215</v>
      </c>
      <c r="F16" s="1826">
        <v>1401401</v>
      </c>
      <c r="G16" s="1826">
        <v>2581616</v>
      </c>
      <c r="H16" s="1826">
        <v>1379466</v>
      </c>
      <c r="I16" s="1826"/>
      <c r="J16" s="1826"/>
      <c r="K16" s="1826"/>
      <c r="L16" s="1823">
        <f t="shared" si="0"/>
        <v>2581616</v>
      </c>
      <c r="M16" s="1826">
        <v>2669525</v>
      </c>
    </row>
    <row r="17" spans="2:14" ht="20.100000000000001" customHeight="1" x14ac:dyDescent="0.2">
      <c r="B17" s="1113" t="s">
        <v>2088</v>
      </c>
      <c r="C17" s="1824">
        <v>84.027000000000001</v>
      </c>
      <c r="D17" s="1825" t="s">
        <v>2111</v>
      </c>
      <c r="E17" s="1826"/>
      <c r="F17" s="1826">
        <v>950944</v>
      </c>
      <c r="G17" s="1826"/>
      <c r="H17" s="1826"/>
      <c r="I17" s="1826">
        <v>2493312</v>
      </c>
      <c r="J17" s="1826">
        <v>1344085</v>
      </c>
      <c r="K17" s="1826"/>
      <c r="L17" s="1823">
        <f t="shared" si="0"/>
        <v>2493312</v>
      </c>
      <c r="M17" s="1826">
        <v>2554291</v>
      </c>
    </row>
    <row r="18" spans="2:14" ht="20.100000000000001" customHeight="1" x14ac:dyDescent="0.2">
      <c r="B18" s="1113" t="s">
        <v>2089</v>
      </c>
      <c r="C18" s="1824"/>
      <c r="D18" s="1825"/>
      <c r="E18" s="1826">
        <f>+E14+E16</f>
        <v>1215138</v>
      </c>
      <c r="F18" s="1826">
        <f t="shared" ref="F18:I18" si="1">SUM(F14:F17)</f>
        <v>2419793</v>
      </c>
      <c r="G18" s="1826">
        <f t="shared" si="1"/>
        <v>2656093</v>
      </c>
      <c r="H18" s="1826">
        <f>+H14+H16</f>
        <v>1412706</v>
      </c>
      <c r="I18" s="1826">
        <f t="shared" si="1"/>
        <v>2565423</v>
      </c>
      <c r="J18" s="1826">
        <f>+J15+J17</f>
        <v>1378070</v>
      </c>
      <c r="K18" s="1826"/>
      <c r="L18" s="1823">
        <f t="shared" si="0"/>
        <v>5221516</v>
      </c>
      <c r="M18" s="1826">
        <f>SUM(M14:M17)</f>
        <v>5371423</v>
      </c>
    </row>
    <row r="19" spans="2:14" ht="20.100000000000001" customHeight="1" x14ac:dyDescent="0.2">
      <c r="B19" s="1113" t="s">
        <v>2090</v>
      </c>
      <c r="C19" s="1824"/>
      <c r="D19" s="1825"/>
      <c r="E19" s="1826"/>
      <c r="F19" s="1826"/>
      <c r="G19" s="1826"/>
      <c r="H19" s="1826"/>
      <c r="I19" s="1826"/>
      <c r="J19" s="1826"/>
      <c r="K19" s="1826"/>
      <c r="L19" s="1823">
        <f t="shared" si="0"/>
        <v>0</v>
      </c>
      <c r="M19" s="1826"/>
    </row>
    <row r="20" spans="2:14" ht="20.100000000000001" customHeight="1" x14ac:dyDescent="0.2">
      <c r="B20" s="1113" t="s">
        <v>2091</v>
      </c>
      <c r="C20" s="1824">
        <v>84.126000000000005</v>
      </c>
      <c r="D20" s="1825" t="s">
        <v>2112</v>
      </c>
      <c r="E20" s="1826">
        <v>29972</v>
      </c>
      <c r="F20" s="1826"/>
      <c r="G20" s="1826">
        <v>29972</v>
      </c>
      <c r="H20" s="1826"/>
      <c r="I20" s="1826"/>
      <c r="J20" s="1826"/>
      <c r="K20" s="1826"/>
      <c r="L20" s="1823">
        <f t="shared" si="0"/>
        <v>29972</v>
      </c>
      <c r="M20" s="1826">
        <v>29972</v>
      </c>
    </row>
    <row r="21" spans="2:14" ht="20.100000000000001" customHeight="1" x14ac:dyDescent="0.2">
      <c r="B21" s="1113" t="s">
        <v>2092</v>
      </c>
      <c r="C21" s="1824">
        <v>84.126000000000005</v>
      </c>
      <c r="D21" s="1825" t="s">
        <v>2113</v>
      </c>
      <c r="E21" s="1826"/>
      <c r="F21" s="1826">
        <v>31200</v>
      </c>
      <c r="G21" s="1826"/>
      <c r="H21" s="1826"/>
      <c r="I21" s="1826">
        <v>31200</v>
      </c>
      <c r="J21" s="1826"/>
      <c r="K21" s="1826"/>
      <c r="L21" s="1823">
        <f t="shared" si="0"/>
        <v>31200</v>
      </c>
      <c r="M21" s="1826">
        <v>31200</v>
      </c>
    </row>
    <row r="22" spans="2:14" ht="20.100000000000001" customHeight="1" x14ac:dyDescent="0.2">
      <c r="B22" s="1113" t="s">
        <v>2093</v>
      </c>
      <c r="C22" s="1824"/>
      <c r="D22" s="1825"/>
      <c r="E22" s="1826">
        <f>+E20</f>
        <v>29972</v>
      </c>
      <c r="F22" s="1826">
        <f>SUM(F18:F21)</f>
        <v>2450993</v>
      </c>
      <c r="G22" s="1826">
        <f t="shared" ref="G22:I22" si="2">SUM(G18:G21)</f>
        <v>2686065</v>
      </c>
      <c r="H22" s="1826"/>
      <c r="I22" s="1826">
        <f t="shared" si="2"/>
        <v>2596623</v>
      </c>
      <c r="J22" s="1826"/>
      <c r="K22" s="1826"/>
      <c r="L22" s="1823">
        <f t="shared" si="0"/>
        <v>5282688</v>
      </c>
      <c r="M22" s="1826"/>
    </row>
    <row r="23" spans="2:14" ht="20.100000000000001" customHeight="1" x14ac:dyDescent="0.2">
      <c r="B23" s="1113" t="s">
        <v>2094</v>
      </c>
      <c r="C23" s="1824"/>
      <c r="D23" s="1825"/>
      <c r="E23" s="1826"/>
      <c r="F23" s="1826"/>
      <c r="G23" s="1826"/>
      <c r="H23" s="1826"/>
      <c r="I23" s="1826"/>
      <c r="J23" s="1826"/>
      <c r="K23" s="1826"/>
      <c r="L23" s="1823">
        <f t="shared" si="0"/>
        <v>0</v>
      </c>
      <c r="M23" s="1826"/>
    </row>
    <row r="24" spans="2:14" ht="20.100000000000001" customHeight="1" x14ac:dyDescent="0.2">
      <c r="B24" s="1113" t="s">
        <v>2095</v>
      </c>
      <c r="C24" s="1824"/>
      <c r="D24" s="1825"/>
      <c r="E24" s="1826"/>
      <c r="F24" s="1826"/>
      <c r="G24" s="1826"/>
      <c r="H24" s="1826"/>
      <c r="I24" s="1826"/>
      <c r="J24" s="1826"/>
      <c r="K24" s="1826"/>
      <c r="L24" s="1823">
        <f t="shared" si="0"/>
        <v>0</v>
      </c>
      <c r="M24" s="1826"/>
    </row>
    <row r="25" spans="2:14" ht="20.100000000000001" customHeight="1" x14ac:dyDescent="0.2">
      <c r="B25" s="1113" t="s">
        <v>2096</v>
      </c>
      <c r="C25" s="1824">
        <v>93.778000000000006</v>
      </c>
      <c r="D25" s="1825" t="s">
        <v>2114</v>
      </c>
      <c r="E25" s="1826">
        <v>47628</v>
      </c>
      <c r="F25" s="1826"/>
      <c r="G25" s="1826">
        <v>49613</v>
      </c>
      <c r="H25" s="1826"/>
      <c r="I25" s="1826"/>
      <c r="J25" s="1826"/>
      <c r="K25" s="1826"/>
      <c r="L25" s="1823">
        <f t="shared" si="0"/>
        <v>49613</v>
      </c>
      <c r="M25" s="1826"/>
    </row>
    <row r="26" spans="2:14" ht="20.100000000000001" customHeight="1" x14ac:dyDescent="0.2">
      <c r="B26" s="1113" t="s">
        <v>2097</v>
      </c>
      <c r="C26" s="1824">
        <v>93.778000000000006</v>
      </c>
      <c r="D26" s="1825" t="s">
        <v>2115</v>
      </c>
      <c r="E26" s="1826"/>
      <c r="F26" s="1826">
        <v>69742</v>
      </c>
      <c r="G26" s="1826"/>
      <c r="H26" s="1826"/>
      <c r="I26" s="1826">
        <v>72648</v>
      </c>
      <c r="J26" s="1826"/>
      <c r="K26" s="1826"/>
      <c r="L26" s="1823">
        <f t="shared" si="0"/>
        <v>72648</v>
      </c>
      <c r="M26" s="1826"/>
    </row>
    <row r="27" spans="2:14" ht="20.100000000000001" customHeight="1" x14ac:dyDescent="0.2">
      <c r="B27" s="1113" t="s">
        <v>2098</v>
      </c>
      <c r="C27" s="1824"/>
      <c r="D27" s="1825"/>
      <c r="E27" s="1826">
        <f>+E25</f>
        <v>47628</v>
      </c>
      <c r="F27" s="1826">
        <f>SUM(F25:F26)</f>
        <v>69742</v>
      </c>
      <c r="G27" s="1826">
        <f t="shared" ref="G27:I27" si="3">SUM(G25:G26)</f>
        <v>49613</v>
      </c>
      <c r="H27" s="1826"/>
      <c r="I27" s="1826">
        <f t="shared" si="3"/>
        <v>72648</v>
      </c>
      <c r="J27" s="1826"/>
      <c r="K27" s="1826"/>
      <c r="L27" s="1823">
        <f t="shared" si="0"/>
        <v>122261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10F90-F37B-476B-AA66-C697A051B320}">
  <dimension ref="B1:N152"/>
  <sheetViews>
    <sheetView showGridLines="0" zoomScaleNormal="100" workbookViewId="0">
      <selection activeCell="E18" sqref="E18"/>
    </sheetView>
  </sheetViews>
  <sheetFormatPr defaultColWidth="33.5703125" defaultRowHeight="12.75" x14ac:dyDescent="0.2"/>
  <cols>
    <col min="1" max="1" width="0.140625" style="295" customWidth="1"/>
    <col min="2" max="2" width="34.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S Will Co Coop for Spec Ed </v>
      </c>
      <c r="C1" s="2566"/>
      <c r="D1" s="2566"/>
      <c r="E1" s="2566"/>
      <c r="F1" s="2566"/>
      <c r="G1" s="2566"/>
      <c r="H1" s="2566"/>
      <c r="I1" s="2566"/>
      <c r="J1" s="2566"/>
      <c r="K1" s="2566"/>
      <c r="L1" s="2566"/>
      <c r="M1" s="2566"/>
    </row>
    <row r="2" spans="2:14" ht="15" x14ac:dyDescent="0.2">
      <c r="B2" s="2567" t="str">
        <f>'Single Audit Cover'!E7</f>
        <v xml:space="preserve">56099030C61  </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2099</v>
      </c>
      <c r="C11" s="1821"/>
      <c r="D11" s="1822"/>
      <c r="E11" s="1823"/>
      <c r="F11" s="1823"/>
      <c r="G11" s="1823"/>
      <c r="H11" s="1823"/>
      <c r="I11" s="1823"/>
      <c r="J11" s="1823"/>
      <c r="K11" s="1823"/>
      <c r="L11" s="1823">
        <f>+G11+I11+K11</f>
        <v>0</v>
      </c>
      <c r="M11" s="1823"/>
    </row>
    <row r="12" spans="2:14" ht="20.100000000000001" customHeight="1" x14ac:dyDescent="0.2">
      <c r="B12" s="1113" t="s">
        <v>2083</v>
      </c>
      <c r="C12" s="1824"/>
      <c r="D12" s="1825"/>
      <c r="E12" s="1826"/>
      <c r="F12" s="1826"/>
      <c r="G12" s="1826"/>
      <c r="H12" s="1826"/>
      <c r="I12" s="1826"/>
      <c r="J12" s="1826"/>
      <c r="K12" s="1826"/>
      <c r="L12" s="1823">
        <f t="shared" ref="L12:L27" si="0">+G12+I12+K12</f>
        <v>0</v>
      </c>
      <c r="M12" s="1826"/>
    </row>
    <row r="13" spans="2:14" ht="20.100000000000001" customHeight="1" x14ac:dyDescent="0.2">
      <c r="B13" s="1113" t="s">
        <v>2100</v>
      </c>
      <c r="C13" s="1824">
        <v>10.555</v>
      </c>
      <c r="D13" s="1825" t="s">
        <v>2116</v>
      </c>
      <c r="E13" s="1826">
        <v>38531</v>
      </c>
      <c r="F13" s="1826">
        <v>18636</v>
      </c>
      <c r="G13" s="1826">
        <v>46182</v>
      </c>
      <c r="H13" s="1826"/>
      <c r="I13" s="1826">
        <v>10985</v>
      </c>
      <c r="J13" s="1826"/>
      <c r="K13" s="1826"/>
      <c r="L13" s="1823">
        <f t="shared" si="0"/>
        <v>57167</v>
      </c>
      <c r="M13" s="1826"/>
    </row>
    <row r="14" spans="2:14" ht="20.100000000000001" customHeight="1" x14ac:dyDescent="0.2">
      <c r="B14" s="1113" t="s">
        <v>2101</v>
      </c>
      <c r="C14" s="1824">
        <v>10.555</v>
      </c>
      <c r="D14" s="1825" t="s">
        <v>2117</v>
      </c>
      <c r="E14" s="1826"/>
      <c r="F14" s="1826">
        <v>35853</v>
      </c>
      <c r="G14" s="1826"/>
      <c r="H14" s="1826"/>
      <c r="I14" s="1826">
        <v>35853</v>
      </c>
      <c r="J14" s="1826"/>
      <c r="K14" s="1826"/>
      <c r="L14" s="1823">
        <f t="shared" si="0"/>
        <v>35853</v>
      </c>
      <c r="M14" s="1826"/>
    </row>
    <row r="15" spans="2:14" ht="20.100000000000001" customHeight="1" x14ac:dyDescent="0.2">
      <c r="B15" s="1113" t="s">
        <v>2102</v>
      </c>
      <c r="C15" s="1824">
        <v>10.553000000000001</v>
      </c>
      <c r="D15" s="1825" t="s">
        <v>2118</v>
      </c>
      <c r="E15" s="1826">
        <v>19933</v>
      </c>
      <c r="F15" s="1826">
        <v>9535</v>
      </c>
      <c r="G15" s="1826">
        <v>24236</v>
      </c>
      <c r="H15" s="1826"/>
      <c r="I15" s="1826">
        <v>5233</v>
      </c>
      <c r="J15" s="1826"/>
      <c r="K15" s="1826"/>
      <c r="L15" s="1823">
        <f t="shared" si="0"/>
        <v>29469</v>
      </c>
      <c r="M15" s="1826"/>
    </row>
    <row r="16" spans="2:14" ht="20.100000000000001" customHeight="1" x14ac:dyDescent="0.2">
      <c r="B16" s="1113" t="s">
        <v>2103</v>
      </c>
      <c r="C16" s="1824">
        <v>10.553000000000001</v>
      </c>
      <c r="D16" s="1825" t="s">
        <v>2119</v>
      </c>
      <c r="E16" s="1826"/>
      <c r="F16" s="1826">
        <v>19912</v>
      </c>
      <c r="G16" s="1826"/>
      <c r="H16" s="1826"/>
      <c r="I16" s="1826">
        <v>19912</v>
      </c>
      <c r="J16" s="1826"/>
      <c r="K16" s="1826"/>
      <c r="L16" s="1823">
        <f t="shared" si="0"/>
        <v>19912</v>
      </c>
      <c r="M16" s="1826"/>
    </row>
    <row r="17" spans="2:14" ht="20.100000000000001" customHeight="1" x14ac:dyDescent="0.2">
      <c r="B17" s="1113" t="s">
        <v>2104</v>
      </c>
      <c r="C17" s="1824">
        <v>10.555999999999999</v>
      </c>
      <c r="D17" s="1825" t="s">
        <v>2120</v>
      </c>
      <c r="E17" s="1826">
        <v>1023</v>
      </c>
      <c r="F17" s="1826">
        <v>678</v>
      </c>
      <c r="G17" s="1826">
        <v>1514</v>
      </c>
      <c r="H17" s="1826"/>
      <c r="I17" s="1826">
        <v>187</v>
      </c>
      <c r="J17" s="1826"/>
      <c r="K17" s="1826"/>
      <c r="L17" s="1823">
        <f t="shared" si="0"/>
        <v>1701</v>
      </c>
      <c r="M17" s="1826"/>
    </row>
    <row r="18" spans="2:14" ht="20.100000000000001" customHeight="1" x14ac:dyDescent="0.2">
      <c r="B18" s="1113" t="s">
        <v>2105</v>
      </c>
      <c r="C18" s="1824">
        <v>10.555999999999999</v>
      </c>
      <c r="D18" s="1825" t="s">
        <v>2121</v>
      </c>
      <c r="E18" s="1826"/>
      <c r="F18" s="1826">
        <v>1350</v>
      </c>
      <c r="G18" s="1826"/>
      <c r="H18" s="1826"/>
      <c r="I18" s="1826">
        <v>1350</v>
      </c>
      <c r="J18" s="1826"/>
      <c r="K18" s="1826"/>
      <c r="L18" s="1823">
        <f t="shared" si="0"/>
        <v>1350</v>
      </c>
      <c r="M18" s="1826"/>
    </row>
    <row r="19" spans="2:14" ht="20.100000000000001" customHeight="1" x14ac:dyDescent="0.2">
      <c r="B19" s="1113" t="s">
        <v>2106</v>
      </c>
      <c r="C19" s="1824"/>
      <c r="D19" s="1825"/>
      <c r="E19" s="1826">
        <f>SUM(E13:E18)</f>
        <v>59487</v>
      </c>
      <c r="F19" s="1826">
        <f t="shared" ref="F19:I19" si="1">SUM(F13:F18)</f>
        <v>85964</v>
      </c>
      <c r="G19" s="1826">
        <f t="shared" si="1"/>
        <v>71932</v>
      </c>
      <c r="H19" s="1826"/>
      <c r="I19" s="1826">
        <f t="shared" si="1"/>
        <v>73520</v>
      </c>
      <c r="J19" s="1826"/>
      <c r="K19" s="1826"/>
      <c r="L19" s="1823">
        <f t="shared" si="0"/>
        <v>145452</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2107</v>
      </c>
      <c r="C21" s="1824"/>
      <c r="D21" s="1825"/>
      <c r="E21" s="1826">
        <f>E19+' SEFA'!E27+' SEFA'!E22</f>
        <v>137087</v>
      </c>
      <c r="F21" s="1826">
        <f>F19+' SEFA'!F27+' SEFA'!F22</f>
        <v>2606699</v>
      </c>
      <c r="G21" s="1826">
        <f>G19+' SEFA'!G27+' SEFA'!G22</f>
        <v>2807610</v>
      </c>
      <c r="H21" s="1826"/>
      <c r="I21" s="1826">
        <f>I19+' SEFA'!I27+' SEFA'!I22</f>
        <v>2742791</v>
      </c>
      <c r="J21" s="1826"/>
      <c r="K21" s="1826"/>
      <c r="L21" s="1823">
        <f t="shared" si="0"/>
        <v>5550401</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Normal="100" workbookViewId="0">
      <selection activeCell="N90" sqref="N9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2066</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S Will Co Coop for Spec Ed </v>
      </c>
      <c r="B1" s="2579"/>
      <c r="C1" s="2579"/>
      <c r="D1" s="2579"/>
      <c r="E1" s="2579"/>
      <c r="F1" s="2579"/>
    </row>
    <row r="2" spans="1:7" ht="13.5" customHeight="1" x14ac:dyDescent="0.2">
      <c r="A2" s="2567" t="str">
        <f>'Single Audit Cover'!E7</f>
        <v xml:space="preserve">56099030C61  </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2138</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2122</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2139</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2141</v>
      </c>
      <c r="C17" s="1061">
        <v>84.173000000000002</v>
      </c>
      <c r="D17" s="2571">
        <v>33985</v>
      </c>
      <c r="E17" s="2571"/>
      <c r="F17" s="2571"/>
    </row>
    <row r="18" spans="1:6" ht="20.65" customHeight="1" x14ac:dyDescent="0.2">
      <c r="A18" s="1059"/>
      <c r="B18" s="1060" t="s">
        <v>2140</v>
      </c>
      <c r="C18" s="1061">
        <v>84.027000000000001</v>
      </c>
      <c r="D18" s="2571">
        <v>1344085</v>
      </c>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2142</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S Will Co Coop for Spec Ed </v>
      </c>
      <c r="C1" s="2594"/>
      <c r="D1" s="2594"/>
      <c r="E1" s="2594"/>
      <c r="F1" s="2594"/>
      <c r="G1" s="2594"/>
      <c r="H1" s="2594"/>
      <c r="I1" s="2594"/>
      <c r="J1" s="1178"/>
    </row>
    <row r="2" spans="2:10" s="295" customFormat="1" ht="12.75" customHeight="1" x14ac:dyDescent="0.2">
      <c r="B2" s="2595" t="str">
        <f>'Single Audit Cover'!E7</f>
        <v xml:space="preserve">56099030C61  </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1154</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2052</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2052</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2052</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2052</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t="s">
        <v>2123</v>
      </c>
      <c r="E29" s="2600"/>
      <c r="F29" s="2600"/>
      <c r="G29" s="2600"/>
      <c r="H29" s="2600"/>
      <c r="I29" s="2600"/>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2052</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1" t="s">
        <v>1725</v>
      </c>
      <c r="D37" s="2602"/>
      <c r="E37" s="2602"/>
      <c r="F37" s="2603"/>
      <c r="G37" s="2601" t="s">
        <v>1575</v>
      </c>
      <c r="H37" s="2602"/>
      <c r="I37" s="2603"/>
    </row>
    <row r="38" spans="2:9" ht="16.5" customHeight="1" x14ac:dyDescent="0.2">
      <c r="B38" s="1200" t="s">
        <v>2125</v>
      </c>
      <c r="C38" s="2589" t="s">
        <v>2124</v>
      </c>
      <c r="D38" s="2590"/>
      <c r="E38" s="2590"/>
      <c r="F38" s="2591"/>
      <c r="G38" s="2604">
        <v>2565423</v>
      </c>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2565423</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2742791</v>
      </c>
      <c r="E45" s="2587"/>
    </row>
    <row r="46" spans="2:9" ht="5.25" customHeight="1" x14ac:dyDescent="0.2">
      <c r="B46" s="1201"/>
      <c r="D46" s="1202"/>
      <c r="E46" s="1203"/>
    </row>
    <row r="47" spans="2:9" ht="12.75" customHeight="1" x14ac:dyDescent="0.2">
      <c r="B47" s="1076" t="s">
        <v>1577</v>
      </c>
      <c r="C47" s="1076"/>
      <c r="D47" s="1204">
        <f>+G43/D45</f>
        <v>0.9353330239161497</v>
      </c>
      <c r="E47" s="1205"/>
      <c r="F47" s="1206"/>
      <c r="I47" s="1207"/>
    </row>
    <row r="48" spans="2:9" ht="9.9499999999999993" customHeight="1" x14ac:dyDescent="0.2"/>
    <row r="49" spans="1:9" x14ac:dyDescent="0.2">
      <c r="B49" s="1138" t="s">
        <v>1262</v>
      </c>
      <c r="C49" s="1058"/>
      <c r="D49" s="1058"/>
      <c r="E49" s="2588">
        <v>750000</v>
      </c>
      <c r="F49" s="2588"/>
      <c r="G49" s="2588"/>
      <c r="H49" s="300"/>
    </row>
    <row r="51" spans="1:9" ht="13.5" customHeight="1" x14ac:dyDescent="0.2">
      <c r="B51" s="1138" t="s">
        <v>1261</v>
      </c>
      <c r="C51" s="1058"/>
      <c r="E51" s="1194"/>
      <c r="F51" s="1076" t="s">
        <v>879</v>
      </c>
      <c r="G51" s="1194" t="s">
        <v>2052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S Will Co Coop for Spec Ed </v>
      </c>
      <c r="C1" s="2593"/>
      <c r="D1" s="2593"/>
      <c r="E1" s="2593"/>
      <c r="F1" s="2593"/>
      <c r="G1" s="2593"/>
      <c r="H1" s="2593"/>
      <c r="I1" s="2593"/>
      <c r="J1" s="2593"/>
      <c r="K1" s="2593"/>
      <c r="L1" s="1144"/>
      <c r="M1" s="1144"/>
    </row>
    <row r="2" spans="1:13" ht="12" customHeight="1" x14ac:dyDescent="0.2">
      <c r="B2" s="2595" t="str">
        <f>'Single Audit Cover'!E7</f>
        <v xml:space="preserve">56099030C61  </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2126</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S Will Co Coop for Spec Ed </v>
      </c>
      <c r="C1" s="2616"/>
      <c r="D1" s="2616"/>
      <c r="E1" s="2616"/>
      <c r="F1" s="2616"/>
      <c r="G1" s="2616"/>
      <c r="H1" s="2616"/>
      <c r="I1" s="2616"/>
      <c r="J1" s="2616"/>
      <c r="K1" s="2616"/>
      <c r="L1" s="1221"/>
    </row>
    <row r="2" spans="1:12" ht="12.75" customHeight="1" x14ac:dyDescent="0.2">
      <c r="B2" s="2617" t="str">
        <f>'Single Audit Cover'!E7</f>
        <v xml:space="preserve">56099030C61  </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2126</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S Will Co Coop for Spec Ed </v>
      </c>
      <c r="C1" s="2593"/>
      <c r="D1" s="2593"/>
      <c r="E1" s="1240"/>
    </row>
    <row r="2" spans="2:5" s="1058" customFormat="1" ht="12.75" customHeight="1" x14ac:dyDescent="0.2">
      <c r="B2" s="2595" t="str">
        <f>'Single Audit Cover'!E7</f>
        <v xml:space="preserve">56099030C61  </v>
      </c>
      <c r="C2" s="2595"/>
      <c r="D2" s="2595"/>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2127</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A106" sqref="A106:XFD11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15920980</v>
      </c>
      <c r="E16" s="1547"/>
      <c r="F16" s="1546">
        <f>SUM('Acct Summary 7-8'!C17,'Acct Summary 7-8'!D17,'Acct Summary 7-8'!F17)</f>
        <v>15884065</v>
      </c>
      <c r="G16" s="1547"/>
      <c r="H16" s="1546">
        <f>SUM(D16-F16)</f>
        <v>36915</v>
      </c>
      <c r="I16" s="1548"/>
      <c r="J16" s="1546">
        <f>SUM('Acct Summary 7-8'!C81,'Acct Summary 7-8'!D81,'Acct Summary 7-8'!F81,'Acct Summary 7-8'!I81)</f>
        <v>4725264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80" sqref="C8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 Will Co Coop for Spec Ed </v>
      </c>
      <c r="E7" s="368"/>
      <c r="G7" s="247"/>
      <c r="H7" s="364"/>
      <c r="I7" s="364"/>
      <c r="J7" s="364"/>
      <c r="K7" s="364"/>
      <c r="L7" s="307"/>
      <c r="M7" s="307"/>
      <c r="N7" s="307"/>
      <c r="O7" s="307"/>
      <c r="P7" s="307"/>
    </row>
    <row r="8" spans="1:18" ht="12.75" x14ac:dyDescent="0.2">
      <c r="A8" s="307"/>
      <c r="B8" s="307"/>
      <c r="C8" s="366" t="s">
        <v>1115</v>
      </c>
      <c r="D8" s="369" t="str">
        <f>COVER!A13</f>
        <v xml:space="preserve">56099030C61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4725264</v>
      </c>
      <c r="I12" s="380"/>
      <c r="J12" s="380"/>
      <c r="K12" s="1559">
        <f>TRUNC((H12/H13*100000),5)/100000</f>
        <v>0.29679479520000002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15920980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15884065</v>
      </c>
      <c r="I17" s="380"/>
      <c r="J17" s="389"/>
      <c r="K17" s="1559">
        <f>TRUNC((H17/H18*100000),5)/100000</f>
        <v>0.99768136129999996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15920980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4725264</v>
      </c>
      <c r="I24" s="394"/>
      <c r="J24" s="394"/>
      <c r="K24" s="1555">
        <f>TRUNC(((H24/H25*100000)/100000),2)</f>
        <v>107.09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44122.402779999997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C80" sqref="C80"/>
      <selection pane="bottomLeft" activeCell="C80" sqref="C8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4725264</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4725264</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548700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1973473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21920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2544093</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785933</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3939331</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2544093</v>
      </c>
      <c r="N40" s="1604"/>
    </row>
    <row r="41" spans="1:14" ht="13.5" customHeight="1" thickBot="1" x14ac:dyDescent="0.25">
      <c r="A41" s="1426" t="s">
        <v>650</v>
      </c>
      <c r="B41" s="1405"/>
      <c r="C41" s="1594">
        <f>(SUM(C34,C37,C38,C39))</f>
        <v>4725264</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2544093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C80" sqref="C80"/>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11580066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1409479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2931435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15920980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967620</v>
      </c>
      <c r="D9" s="1613"/>
      <c r="E9" s="1586"/>
      <c r="F9" s="1586"/>
      <c r="G9" s="1614"/>
      <c r="H9" s="1586"/>
      <c r="I9" s="1609" t="s">
        <v>1159</v>
      </c>
      <c r="J9" s="1583"/>
      <c r="K9" s="1586"/>
      <c r="L9" s="325"/>
    </row>
    <row r="10" spans="1:13" s="452" customFormat="1" ht="13.5" thickBot="1" x14ac:dyDescent="0.25">
      <c r="A10" s="1426" t="s">
        <v>1163</v>
      </c>
      <c r="B10" s="1407"/>
      <c r="C10" s="1594">
        <f>SUM(C8:C9)</f>
        <v>16888600</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8489738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6016257</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1378070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15884065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967620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16851685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36915</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36915</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4688349</v>
      </c>
      <c r="D79" s="1630"/>
      <c r="E79" s="1630"/>
      <c r="F79" s="1630"/>
      <c r="G79" s="1630"/>
      <c r="H79" s="1630"/>
      <c r="I79" s="1630"/>
      <c r="J79" s="1630"/>
      <c r="K79" s="1630"/>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4725264</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36915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7.8122619180642609E-3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7" activePane="bottomLeft" state="frozen"/>
      <selection activeCell="I9" sqref="I9"/>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10901264</v>
      </c>
      <c r="D33" s="1575"/>
      <c r="E33" s="1575"/>
      <c r="F33" s="1575"/>
      <c r="G33" s="1575"/>
      <c r="H33" s="1575"/>
      <c r="I33" s="1575"/>
      <c r="J33" s="1575"/>
      <c r="K33" s="1575"/>
    </row>
    <row r="34" spans="1:11" ht="12.75" customHeight="1" x14ac:dyDescent="0.2">
      <c r="A34" s="427" t="s">
        <v>492</v>
      </c>
      <c r="B34" s="429">
        <v>1343</v>
      </c>
      <c r="C34" s="1632">
        <v>41569</v>
      </c>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10942833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25764</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25764</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5107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5107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596849</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9513</v>
      </c>
      <c r="D107" s="1573"/>
      <c r="E107" s="1573"/>
      <c r="F107" s="1573"/>
      <c r="G107" s="1573"/>
      <c r="H107" s="1573"/>
      <c r="I107" s="1573"/>
      <c r="J107" s="1574"/>
      <c r="K107" s="1573"/>
    </row>
    <row r="108" spans="1:12" ht="12.75" customHeight="1" thickBot="1" x14ac:dyDescent="0.25">
      <c r="A108" s="1406" t="s">
        <v>484</v>
      </c>
      <c r="B108" s="1408"/>
      <c r="C108" s="1633">
        <f>SUM(C95:C107)</f>
        <v>606362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11580066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1403037</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1403037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1376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4684</v>
      </c>
      <c r="D152" s="1573"/>
      <c r="E152" s="1640"/>
      <c r="F152" s="1573"/>
      <c r="G152" s="1574"/>
      <c r="H152" s="1575"/>
      <c r="I152" s="1575"/>
      <c r="J152" s="1575"/>
      <c r="K152" s="1575"/>
    </row>
    <row r="153" spans="1:11" ht="12.75" customHeight="1" x14ac:dyDescent="0.2">
      <c r="A153" s="427" t="s">
        <v>1048</v>
      </c>
      <c r="B153" s="478">
        <v>3510</v>
      </c>
      <c r="C153" s="1632">
        <v>382</v>
      </c>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5066</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6442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1409479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54488</v>
      </c>
      <c r="D191" s="1575"/>
      <c r="E191" s="1640"/>
      <c r="F191" s="1575"/>
      <c r="G191" s="1664"/>
      <c r="H191" s="1575"/>
      <c r="I191" s="1575"/>
      <c r="J191" s="1575"/>
      <c r="K191" s="1575"/>
    </row>
    <row r="192" spans="1:11" ht="12.75" customHeight="1" x14ac:dyDescent="0.2">
      <c r="A192" s="427" t="s">
        <v>1038</v>
      </c>
      <c r="B192" s="429">
        <v>4215</v>
      </c>
      <c r="C192" s="1632">
        <v>2029</v>
      </c>
      <c r="D192" s="1575"/>
      <c r="E192" s="1640"/>
      <c r="F192" s="1575"/>
      <c r="G192" s="1664"/>
      <c r="H192" s="1575"/>
      <c r="I192" s="1575"/>
      <c r="J192" s="1575"/>
      <c r="K192" s="1575"/>
    </row>
    <row r="193" spans="1:11" ht="12.75" customHeight="1" x14ac:dyDescent="0.2">
      <c r="A193" s="427" t="s">
        <v>1050</v>
      </c>
      <c r="B193" s="429">
        <v>4220</v>
      </c>
      <c r="C193" s="1632">
        <v>29448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85965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67448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2352345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2419793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69742</v>
      </c>
      <c r="D263" s="1651"/>
      <c r="E263" s="1575"/>
      <c r="F263" s="1651"/>
      <c r="G263" s="1651"/>
      <c r="H263" s="1575"/>
      <c r="I263" s="1575"/>
      <c r="J263" s="1575"/>
      <c r="K263" s="1575"/>
    </row>
    <row r="264" spans="1:11" ht="12.75" customHeight="1" thickTop="1" thickBot="1" x14ac:dyDescent="0.25">
      <c r="A264" s="427" t="s">
        <v>374</v>
      </c>
      <c r="B264" s="429">
        <v>4992</v>
      </c>
      <c r="C264" s="1650">
        <v>324735</v>
      </c>
      <c r="D264" s="1651"/>
      <c r="E264" s="1575"/>
      <c r="F264" s="1651"/>
      <c r="G264" s="1651"/>
      <c r="H264" s="1575"/>
      <c r="I264" s="1575"/>
      <c r="J264" s="1575"/>
      <c r="K264" s="1575"/>
    </row>
    <row r="265" spans="1:11" s="489" customFormat="1" ht="12.75" customHeight="1" thickTop="1" thickBot="1" x14ac:dyDescent="0.25">
      <c r="A265" s="479" t="s">
        <v>75</v>
      </c>
      <c r="B265" s="475">
        <v>4998</v>
      </c>
      <c r="C265" s="1650">
        <v>31200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2931435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2931435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15920980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4" activePane="bottomLeft" state="frozen"/>
      <selection activeCell="I9" sqref="I9"/>
      <selection pane="bottomLeft" activeCell="I9" sqref="I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6288396</v>
      </c>
      <c r="D5" s="1573">
        <v>1271654</v>
      </c>
      <c r="E5" s="1573">
        <v>191145</v>
      </c>
      <c r="F5" s="1573">
        <v>34816</v>
      </c>
      <c r="G5" s="1573">
        <v>10810</v>
      </c>
      <c r="H5" s="1573">
        <v>42595</v>
      </c>
      <c r="I5" s="1574"/>
      <c r="J5" s="1574">
        <v>17000</v>
      </c>
      <c r="K5" s="1672">
        <f>SUM(C5:J5)</f>
        <v>7856416</v>
      </c>
      <c r="L5" s="1573">
        <v>8706544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v>425144</v>
      </c>
      <c r="D9" s="1574">
        <v>57163</v>
      </c>
      <c r="E9" s="1574">
        <v>6400</v>
      </c>
      <c r="F9" s="1574">
        <v>1258</v>
      </c>
      <c r="G9" s="1574"/>
      <c r="H9" s="1574">
        <v>3550</v>
      </c>
      <c r="I9" s="1574"/>
      <c r="J9" s="1574"/>
      <c r="K9" s="1672">
        <f t="shared" si="0"/>
        <v>493515</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128033</v>
      </c>
      <c r="D15" s="1573">
        <v>10342</v>
      </c>
      <c r="E15" s="1573"/>
      <c r="F15" s="1573">
        <v>1432</v>
      </c>
      <c r="G15" s="1573"/>
      <c r="H15" s="1573"/>
      <c r="I15" s="1574"/>
      <c r="J15" s="1574"/>
      <c r="K15" s="1672">
        <f t="shared" si="0"/>
        <v>139807</v>
      </c>
      <c r="L15" s="1573">
        <v>150800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6841573</v>
      </c>
      <c r="D33" s="1674">
        <f t="shared" ref="D33:L33" si="1">SUM(D5:D32)</f>
        <v>1339159</v>
      </c>
      <c r="E33" s="1674">
        <f t="shared" si="1"/>
        <v>197545</v>
      </c>
      <c r="F33" s="1674">
        <f t="shared" si="1"/>
        <v>37506</v>
      </c>
      <c r="G33" s="1674">
        <f t="shared" si="1"/>
        <v>10810</v>
      </c>
      <c r="H33" s="1674">
        <f t="shared" si="1"/>
        <v>46145</v>
      </c>
      <c r="I33" s="1674">
        <f t="shared" si="1"/>
        <v>0</v>
      </c>
      <c r="J33" s="1674">
        <f t="shared" si="1"/>
        <v>17000</v>
      </c>
      <c r="K33" s="1674">
        <f t="shared" si="1"/>
        <v>8489738</v>
      </c>
      <c r="L33" s="1674">
        <f t="shared" si="1"/>
        <v>8857344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535095</v>
      </c>
      <c r="D36" s="1586">
        <v>49949</v>
      </c>
      <c r="E36" s="1586">
        <v>70328</v>
      </c>
      <c r="F36" s="1586">
        <v>1259</v>
      </c>
      <c r="G36" s="1586"/>
      <c r="H36" s="1586"/>
      <c r="I36" s="1574"/>
      <c r="J36" s="1574"/>
      <c r="K36" s="1672">
        <f t="shared" ref="K36:K41" si="2">SUM(C36:J36)</f>
        <v>656631</v>
      </c>
      <c r="L36" s="1573">
        <v>673899</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31372</v>
      </c>
      <c r="D38" s="1573">
        <v>5506</v>
      </c>
      <c r="E38" s="1573"/>
      <c r="F38" s="1573">
        <v>286</v>
      </c>
      <c r="G38" s="1573"/>
      <c r="H38" s="1573"/>
      <c r="I38" s="1574"/>
      <c r="J38" s="1574"/>
      <c r="K38" s="1672">
        <f t="shared" si="2"/>
        <v>37164</v>
      </c>
      <c r="L38" s="1573">
        <v>37935</v>
      </c>
    </row>
    <row r="39" spans="1:14" x14ac:dyDescent="0.2">
      <c r="A39" s="1274" t="s">
        <v>197</v>
      </c>
      <c r="B39" s="503">
        <v>2140</v>
      </c>
      <c r="C39" s="1573">
        <v>814975</v>
      </c>
      <c r="D39" s="1573">
        <v>90038</v>
      </c>
      <c r="E39" s="1573">
        <v>48627</v>
      </c>
      <c r="F39" s="1573"/>
      <c r="G39" s="1573"/>
      <c r="H39" s="1573"/>
      <c r="I39" s="1574"/>
      <c r="J39" s="1574"/>
      <c r="K39" s="1672">
        <f t="shared" si="2"/>
        <v>953640</v>
      </c>
      <c r="L39" s="1573">
        <v>893667</v>
      </c>
    </row>
    <row r="40" spans="1:14" x14ac:dyDescent="0.2">
      <c r="A40" s="1274" t="s">
        <v>198</v>
      </c>
      <c r="B40" s="503">
        <v>2150</v>
      </c>
      <c r="C40" s="1573">
        <v>1720048</v>
      </c>
      <c r="D40" s="1573">
        <v>173255</v>
      </c>
      <c r="E40" s="1573">
        <v>153924</v>
      </c>
      <c r="F40" s="1573">
        <v>5091</v>
      </c>
      <c r="G40" s="1573"/>
      <c r="H40" s="1573"/>
      <c r="I40" s="1574"/>
      <c r="J40" s="1574"/>
      <c r="K40" s="1672">
        <f t="shared" si="2"/>
        <v>2052318</v>
      </c>
      <c r="L40" s="1573">
        <v>1961837</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3101490</v>
      </c>
      <c r="D42" s="1674">
        <f t="shared" ref="D42:L42" si="3">SUM(D36:D41)</f>
        <v>318748</v>
      </c>
      <c r="E42" s="1674">
        <f t="shared" si="3"/>
        <v>272879</v>
      </c>
      <c r="F42" s="1674">
        <f t="shared" si="3"/>
        <v>6636</v>
      </c>
      <c r="G42" s="1674">
        <f t="shared" si="3"/>
        <v>0</v>
      </c>
      <c r="H42" s="1674">
        <f t="shared" si="3"/>
        <v>0</v>
      </c>
      <c r="I42" s="1674">
        <f t="shared" si="3"/>
        <v>0</v>
      </c>
      <c r="J42" s="1674">
        <f t="shared" si="3"/>
        <v>0</v>
      </c>
      <c r="K42" s="1674">
        <f t="shared" si="3"/>
        <v>3699753</v>
      </c>
      <c r="L42" s="1674">
        <f t="shared" si="3"/>
        <v>3567338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43039</v>
      </c>
      <c r="D44" s="1586">
        <v>4588</v>
      </c>
      <c r="E44" s="1586">
        <v>61570</v>
      </c>
      <c r="F44" s="1586"/>
      <c r="G44" s="1586"/>
      <c r="H44" s="1586"/>
      <c r="I44" s="1574"/>
      <c r="J44" s="1574"/>
      <c r="K44" s="1678">
        <f>SUM(C44:J44)</f>
        <v>109197</v>
      </c>
      <c r="L44" s="1586">
        <v>130627</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43039</v>
      </c>
      <c r="D47" s="1674">
        <f t="shared" ref="D47:K47" si="4">SUM(D44:D46)</f>
        <v>4588</v>
      </c>
      <c r="E47" s="1674">
        <f t="shared" si="4"/>
        <v>61570</v>
      </c>
      <c r="F47" s="1674">
        <f t="shared" si="4"/>
        <v>0</v>
      </c>
      <c r="G47" s="1674">
        <f t="shared" si="4"/>
        <v>0</v>
      </c>
      <c r="H47" s="1674">
        <f t="shared" si="4"/>
        <v>0</v>
      </c>
      <c r="I47" s="1674">
        <f t="shared" si="4"/>
        <v>0</v>
      </c>
      <c r="J47" s="1674">
        <f t="shared" si="4"/>
        <v>0</v>
      </c>
      <c r="K47" s="1674">
        <f t="shared" si="4"/>
        <v>109197</v>
      </c>
      <c r="L47" s="1674">
        <f>SUM(L44:L46)</f>
        <v>130627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1168362</v>
      </c>
      <c r="D50" s="1573">
        <v>663363</v>
      </c>
      <c r="E50" s="1573">
        <v>248114</v>
      </c>
      <c r="F50" s="1573">
        <v>41404</v>
      </c>
      <c r="G50" s="1573"/>
      <c r="H50" s="1573">
        <v>50673</v>
      </c>
      <c r="I50" s="1574"/>
      <c r="J50" s="1574"/>
      <c r="K50" s="1678">
        <f>SUM(C50:J50)</f>
        <v>2171916</v>
      </c>
      <c r="L50" s="1573">
        <v>2168035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1168362</v>
      </c>
      <c r="D53" s="1674">
        <f t="shared" ref="D53:L53" si="5">SUM(D49:D52)</f>
        <v>663363</v>
      </c>
      <c r="E53" s="1674">
        <f t="shared" si="5"/>
        <v>248114</v>
      </c>
      <c r="F53" s="1674">
        <f t="shared" si="5"/>
        <v>41404</v>
      </c>
      <c r="G53" s="1674">
        <f t="shared" si="5"/>
        <v>0</v>
      </c>
      <c r="H53" s="1674">
        <f t="shared" si="5"/>
        <v>50673</v>
      </c>
      <c r="I53" s="1674">
        <f t="shared" si="5"/>
        <v>0</v>
      </c>
      <c r="J53" s="1674">
        <f t="shared" si="5"/>
        <v>0</v>
      </c>
      <c r="K53" s="1674">
        <f t="shared" si="5"/>
        <v>2171916</v>
      </c>
      <c r="L53" s="1674">
        <f t="shared" si="5"/>
        <v>2168035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v>116647</v>
      </c>
      <c r="M60" s="501"/>
      <c r="N60" s="501"/>
    </row>
    <row r="61" spans="1:14" s="321" customFormat="1" x14ac:dyDescent="0.2">
      <c r="A61" s="1274" t="s">
        <v>195</v>
      </c>
      <c r="B61" s="503">
        <v>2540</v>
      </c>
      <c r="C61" s="1573"/>
      <c r="D61" s="1573"/>
      <c r="E61" s="1573">
        <v>35391</v>
      </c>
      <c r="F61" s="1573"/>
      <c r="G61" s="1573"/>
      <c r="H61" s="1573"/>
      <c r="I61" s="1574"/>
      <c r="J61" s="1574"/>
      <c r="K61" s="1678">
        <f t="shared" si="7"/>
        <v>35391</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35391</v>
      </c>
      <c r="F65" s="1674">
        <f t="shared" si="8"/>
        <v>0</v>
      </c>
      <c r="G65" s="1674">
        <f t="shared" si="8"/>
        <v>0</v>
      </c>
      <c r="H65" s="1674">
        <f t="shared" si="8"/>
        <v>0</v>
      </c>
      <c r="I65" s="1674">
        <f t="shared" si="8"/>
        <v>0</v>
      </c>
      <c r="J65" s="1674">
        <f t="shared" si="8"/>
        <v>0</v>
      </c>
      <c r="K65" s="1674">
        <f t="shared" si="8"/>
        <v>35391</v>
      </c>
      <c r="L65" s="1674">
        <f t="shared" si="8"/>
        <v>116647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4312891</v>
      </c>
      <c r="D74" s="1681">
        <f t="shared" ref="D74:K74" si="10">SUM(D42,D47,D53,D57,D65,D72,D73)</f>
        <v>986699</v>
      </c>
      <c r="E74" s="1681">
        <f t="shared" si="10"/>
        <v>617954</v>
      </c>
      <c r="F74" s="1681">
        <f t="shared" si="10"/>
        <v>48040</v>
      </c>
      <c r="G74" s="1681">
        <f t="shared" si="10"/>
        <v>0</v>
      </c>
      <c r="H74" s="1681">
        <f t="shared" si="10"/>
        <v>50673</v>
      </c>
      <c r="I74" s="1681">
        <f t="shared" si="10"/>
        <v>0</v>
      </c>
      <c r="J74" s="1681">
        <f t="shared" si="10"/>
        <v>0</v>
      </c>
      <c r="K74" s="1681">
        <f t="shared" si="10"/>
        <v>6016257</v>
      </c>
      <c r="L74" s="1681">
        <f>SUM(L42,L47,L53,L57,L65,L72,L73)</f>
        <v>5982647</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1378070</v>
      </c>
      <c r="I79" s="1582"/>
      <c r="J79" s="1582"/>
      <c r="K79" s="1672">
        <f t="shared" si="11"/>
        <v>1378070</v>
      </c>
      <c r="L79" s="1573">
        <v>1432942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1378070</v>
      </c>
      <c r="I84" s="1582"/>
      <c r="J84" s="1582"/>
      <c r="K84" s="1674">
        <f>SUM(K78:K83)</f>
        <v>1378070</v>
      </c>
      <c r="L84" s="1674">
        <f>SUM(L78:L83)</f>
        <v>1432942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1378070</v>
      </c>
      <c r="I102" s="1582"/>
      <c r="J102" s="1582"/>
      <c r="K102" s="1681">
        <f>SUM(K84,K92,K100,K101)</f>
        <v>1378070</v>
      </c>
      <c r="L102" s="1681">
        <f>SUM(L84,L92,L100,L101)</f>
        <v>1432942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11154464</v>
      </c>
      <c r="D114" s="1674">
        <f t="shared" ref="D114:K114" si="13">SUM(D33,D74,D75,D102,D112,D113)</f>
        <v>2325858</v>
      </c>
      <c r="E114" s="1674">
        <f t="shared" si="13"/>
        <v>815499</v>
      </c>
      <c r="F114" s="1674">
        <f t="shared" si="13"/>
        <v>85546</v>
      </c>
      <c r="G114" s="1674">
        <f t="shared" si="13"/>
        <v>10810</v>
      </c>
      <c r="H114" s="1674">
        <f>SUM(H33,H74,H75,H102,H112,H113)</f>
        <v>1474888</v>
      </c>
      <c r="I114" s="1674">
        <f t="shared" si="13"/>
        <v>0</v>
      </c>
      <c r="J114" s="1674">
        <f t="shared" si="13"/>
        <v>17000</v>
      </c>
      <c r="K114" s="1674">
        <f t="shared" si="13"/>
        <v>15884065</v>
      </c>
      <c r="L114" s="1674">
        <f>SUM(L33,L74,L75,L102,L112,L113)</f>
        <v>16272933</v>
      </c>
    </row>
    <row r="115" spans="1:14" ht="13.5" thickTop="1" x14ac:dyDescent="0.2">
      <c r="A115" s="2286" t="s">
        <v>989</v>
      </c>
      <c r="B115" s="2287"/>
      <c r="C115" s="1675"/>
      <c r="D115" s="1675"/>
      <c r="E115" s="1675"/>
      <c r="F115" s="1675"/>
      <c r="G115" s="1675"/>
      <c r="H115" s="1675"/>
      <c r="I115" s="1675"/>
      <c r="J115" s="1675"/>
      <c r="K115" s="1689">
        <f>'Revenues 9-14'!C268-'Expenditures 15-22'!K114</f>
        <v>36915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schemas.microsoft.com/office/2006/documentManagement/types"/>
    <ds:schemaRef ds:uri="http://schemas.microsoft.com/office/2006/metadata/properties"/>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2020-10-08T13:02:04Z</cp:lastPrinted>
  <dcterms:created xsi:type="dcterms:W3CDTF">2003-10-29T19:06:34Z</dcterms:created>
  <dcterms:modified xsi:type="dcterms:W3CDTF">2020-10-14T15:02:25Z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