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004CA293-7454-478B-8E1E-DE44EACBAAC7}"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D24" i="183" l="1"/>
  <c r="D21" i="183"/>
  <c r="C137" i="5" l="1"/>
  <c r="C135" i="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E21" i="183"/>
  <c r="E20" i="183"/>
  <c r="E19" i="183"/>
  <c r="E18" i="183"/>
  <c r="F18" i="183" s="1"/>
  <c r="F17" i="183"/>
  <c r="E17" i="183"/>
  <c r="D7887" i="106" l="1"/>
  <c r="D7886" i="106"/>
  <c r="B7887" i="106"/>
  <c r="B7886" i="106"/>
  <c r="F80" i="34"/>
  <c r="F76" i="34"/>
  <c r="F75" i="34"/>
  <c r="C39" i="145" l="1"/>
  <c r="C33" i="145"/>
  <c r="K18" i="145" l="1"/>
  <c r="K17" i="145"/>
  <c r="K16" i="145"/>
  <c r="K15" i="145"/>
  <c r="K14" i="145"/>
  <c r="K13" i="145"/>
  <c r="K12" i="145"/>
  <c r="J19" i="145"/>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1124" i="106" l="1"/>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3447" i="106"/>
  <c r="D3447" i="106" s="1"/>
  <c r="L16" i="11" l="1"/>
  <c r="B2061" i="106" s="1"/>
  <c r="D2061" i="106" s="1"/>
  <c r="D44" i="36"/>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<sst xmlns="http://schemas.openxmlformats.org/spreadsheetml/2006/main" count="5111" uniqueCount="2057">
  <si>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</si>
  <si>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</si>
  <si>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</si>
  <si>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</si>
  <si>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</si>
  <si>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</si>
  <si>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</si>
  <si>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</si>
  <si>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</si>
  <si>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</si>
  <si>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</si>
  <si>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</si>
  <si>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</si>
  <si>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</si>
  <si>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</si>
  <si>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</si>
  <si>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</si>
  <si>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</si>
  <si>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</si>
  <si>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</si>
  <si>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</si>
  <si>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</si>
  <si>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</si>
  <si>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</si>
  <si>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</si>
  <si>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</si>
  <si>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</si>
  <si>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</si>
  <si>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</si>
  <si>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</si>
  <si>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</si>
  <si>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</si>
  <si>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</si>
  <si>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</si>
  <si>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</si>
  <si>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</si>
  <si>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</si>
  <si>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</si>
  <si>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</si>
  <si>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</si>
  <si>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</si>
  <si>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</si>
  <si>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</si>
  <si>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</si>
  <si>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</si>
  <si>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</si>
  <si>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</si>
  <si>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</si>
  <si>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</si>
  <si>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</si>
  <si>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</si>
  <si>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</si>
  <si>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</si>
  <si>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</si>
  <si>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</si>
  <si>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</si>
  <si>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</si>
  <si>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</si>
  <si>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</si>
  <si>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</si>
  <si>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</si>
  <si>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</si>
  <si>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</si>
  <si>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</si>
  <si>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</si>
  <si>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</si>
  <si>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</si>
  <si>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</si>
  <si>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</si>
  <si>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</si>
  <si>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</si>
  <si>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</si>
  <si>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</si>
  <si>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</si>
  <si>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</si>
  <si>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</si>
  <si>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</si>
  <si>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</si>
  <si>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</si>
  <si>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</si>
  <si>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</si>
  <si>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</si>
  <si>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</si>
  <si>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</si>
  <si>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</si>
  <si>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</si>
  <si>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</si>
  <si>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</si>
  <si>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</si>
  <si>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</si>
  <si>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</si>
  <si>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</si>
  <si>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</si>
  <si>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</si>
  <si>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</si>
  <si>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</si>
  <si>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</si>
  <si>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</si>
  <si>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</si>
  <si>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</si>
  <si>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</si>
  <si>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</si>
  <si>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</si>
  <si>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</si>
  <si>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</si>
  <si>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</si>
  <si>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</si>
  <si>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</si>
  <si>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</si>
  <si>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</si>
  <si>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</si>
  <si>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</si>
  <si>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</si>
  <si>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</si>
  <si>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</si>
  <si>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</si>
  <si>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</si>
  <si>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</si>
  <si>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</si>
  <si>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</si>
  <si>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</si>
  <si>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</si>
  <si>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</si>
  <si>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</si>
  <si>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</si>
  <si>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</si>
  <si>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</si>
  <si>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</si>
  <si>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</si>
  <si>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</si>
  <si>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</si>
  <si>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</si>
  <si>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</si>
  <si>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</si>
  <si>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</si>
  <si>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</si>
  <si>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</si>
  <si>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</si>
  <si>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</si>
  <si>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</si>
  <si>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</si>
  <si>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</si>
  <si>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</si>
  <si>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</si>
  <si>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</si>
  <si>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</si>
  <si>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</si>
  <si>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</si>
  <si>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</si>
  <si>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</si>
  <si>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</si>
  <si>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</si>
  <si>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</si>
  <si>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</si>
  <si>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</si>
  <si>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</si>
  <si>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</si>
  <si>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</si>
  <si>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</si>
  <si>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</si>
  <si>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</si>
  <si>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</si>
  <si>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</si>
  <si>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</si>
  <si>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</si>
  <si>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</si>
  <si>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</si>
  <si>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</si>
  <si>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</si>
  <si>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</si>
  <si>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</si>
  <si>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</si>
  <si>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</si>
  <si>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</si>
  <si>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</si>
  <si>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</si>
  <si>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</si>
  <si>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</si>
  <si>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</si>
  <si>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</si>
  <si>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</si>
  <si>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</si>
  <si>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</si>
  <si>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</si>
  <si>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</si>
  <si>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</si>
  <si>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</si>
  <si>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</si>
  <si>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</si>
  <si>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</si>
  <si>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</si>
  <si>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</si>
  <si>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</si>
  <si>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</si>
  <si>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</si>
  <si>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</si>
  <si>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</si>
  <si>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</si>
  <si>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</si>
  <si>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</si>
  <si>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</si>
  <si>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</si>
  <si>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</si>
  <si>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</si>
  <si>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</si>
  <si>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</si>
  <si>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</si>
  <si>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</si>
  <si>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</si>
  <si>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</si>
  <si>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</si>
  <si>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</si>
  <si>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</si>
  <si>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</si>
  <si>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</si>
  <si>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</si>
  <si>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</si>
  <si>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</si>
  <si>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</si>
  <si>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</si>
  <si>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</si>
  <si>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</si>
  <si>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</si>
  <si>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</si>
  <si>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</si>
  <si>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</si>
  <si>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</si>
  <si>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</si>
  <si>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</si>
  <si>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</si>
  <si>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</si>
  <si>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</si>
  <si>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</si>
  <si>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</si>
  <si>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</si>
  <si>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</si>
  <si>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</si>
  <si>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</si>
  <si>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</si>
  <si>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</si>
  <si>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</si>
  <si>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</si>
  <si>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</si>
  <si>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</si>
  <si>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</si>
  <si>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</si>
  <si>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</si>
  <si>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</si>
  <si>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</si>
  <si>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</si>
  <si>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</si>
  <si>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</si>
  <si>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</si>
  <si>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</si>
  <si>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</si>
  <si>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</si>
  <si>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</si>
  <si>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</si>
  <si>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</si>
  <si>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</si>
  <si>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</si>
  <si>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</si>
  <si>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</si>
  <si>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</si>
  <si>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</si>
  <si>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</si>
  <si>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</si>
  <si>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</si>
  <si>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</si>
  <si>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</si>
  <si>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</si>
  <si>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</si>
  <si>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</si>
  <si>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</si>
  <si>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</si>
  <si>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</si>
  <si>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</si>
  <si>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</si>
  <si>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</si>
  <si>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</si>
  <si>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</si>
  <si>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</si>
  <si>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</si>
  <si>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</si>
  <si>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</si>
  <si>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</si>
  <si>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</si>
  <si>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</si>
  <si>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</si>
  <si>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</si>
  <si>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</si>
  <si>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</si>
  <si>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</si>
  <si>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</si>
  <si>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</si>
  <si>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</si>
  <si>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</si>
  <si>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</si>
  <si>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</si>
  <si>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</si>
  <si>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</si>
  <si>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</si>
  <si>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</si>
  <si>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</si>
  <si>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</si>
  <si>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</si>
  <si>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</si>
  <si>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</si>
  <si>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</si>
  <si>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</si>
  <si>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</si>
  <si>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</si>
  <si>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</si>
  <si>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</si>
  <si>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</si>
  <si>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</si>
  <si>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</si>
  <si>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</si>
  <si>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</si>
  <si>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</si>
  <si>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</si>
  <si>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</si>
  <si>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</si>
  <si>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</si>
  <si>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</si>
  <si>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</si>
  <si>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</si>
  <si>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</si>
  <si>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</si>
  <si>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</si>
  <si>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</si>
  <si>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</si>
  <si>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</si>
  <si>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</si>
  <si>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</si>
  <si>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</si>
  <si>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</si>
  <si>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</si>
  <si>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</si>
  <si>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</si>
  <si>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</si>
  <si>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</si>
  <si>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</si>
  <si>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</si>
  <si>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</si>
  <si>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</si>
  <si>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</si>
  <si>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</si>
  <si>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</si>
  <si>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</si>
  <si>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</si>
  <si>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</si>
  <si>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</si>
  <si>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</si>
  <si>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</si>
  <si>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</si>
  <si>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</si>
  <si>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</si>
  <si>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</si>
  <si>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</si>
  <si>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</si>
  <si>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</si>
  <si>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</si>
  <si>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</si>
  <si>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</si>
  <si>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</si>
  <si>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</si>
  <si>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</si>
  <si>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</si>
  <si>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</si>
  <si>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</si>
  <si>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</si>
  <si>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</si>
  <si>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</si>
  <si>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</si>
  <si>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</si>
  <si>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</si>
  <si>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</si>
  <si>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</si>
  <si>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</si>
  <si>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</si>
  <si>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</si>
  <si>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</si>
  <si>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</si>
  <si>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</si>
  <si>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</si>
  <si>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</si>
  <si>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</si>
  <si>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</si>
  <si>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</si>
  <si>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</si>
  <si>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</si>
  <si>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</si>
  <si>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</si>
  <si>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</si>
  <si>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</si>
  <si>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</si>
  <si>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</si>
  <si>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</si>
  <si>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</si>
  <si>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</si>
  <si>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</si>
  <si>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</si>
  <si>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</si>
  <si>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</si>
  <si>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</si>
  <si>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</si>
  <si>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</si>
  <si>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</si>
  <si>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</si>
  <si>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</si>
  <si>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</si>
  <si>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</si>
  <si>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</si>
  <si>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</si>
  <si>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</si>
  <si>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</si>
  <si>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</si>
  <si>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</si>
  <si>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</si>
  <si>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</si>
  <si>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</si>
  <si>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</si>
  <si>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</si>
  <si>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</si>
  <si>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</si>
  <si>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</si>
  <si>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</si>
  <si>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</si>
  <si>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</si>
  <si>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</si>
  <si>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</si>
  <si>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</si>
  <si>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</si>
  <si>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</si>
  <si>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</si>
  <si>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</si>
  <si>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</si>
  <si>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</si>
  <si>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</si>
  <si>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</si>
  <si>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</si>
  <si>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</si>
  <si>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</si>
  <si>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</si>
  <si>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</si>
  <si>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</si>
  <si>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</si>
  <si>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</si>
  <si>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</si>
  <si>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</si>
  <si>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</si>
  <si>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</si>
  <si>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</si>
  <si>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</si>
  <si>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</si>
  <si>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</si>
  <si>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</si>
  <si>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</si>
  <si>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</si>
  <si>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</si>
  <si>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</si>
  <si>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</si>
  <si>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</si>
  <si>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</si>
  <si>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</si>
  <si>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</si>
  <si>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</si>
  <si>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</si>
  <si>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</si>
  <si>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</si>
  <si>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</si>
  <si>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</si>
  <si>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</si>
  <si>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</si>
  <si>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</si>
  <si>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</si>
  <si>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</si>
  <si>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</si>
  <si>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</si>
  <si>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</si>
  <si>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</si>
  <si>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</si>
  <si>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</si>
  <si>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</si>
  <si>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</si>
  <si>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</si>
  <si>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</si>
  <si>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</si>
  <si>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</si>
  <si>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</si>
  <si>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</si>
  <si>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</si>
  <si>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</si>
  <si>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</si>
  <si>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</si>
  <si>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</si>
  <si>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</si>
  <si>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</si>
  <si>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</si>
  <si>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</si>
  <si>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</si>
  <si>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</si>
  <si>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</si>
  <si>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</si>
  <si>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</si>
  <si>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</si>
  <si>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</si>
  <si>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</si>
  <si>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</si>
  <si>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</si>
  <si>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</si>
  <si>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</si>
  <si>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</si>
  <si>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</si>
  <si>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</si>
  <si>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</si>
  <si>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</si>
  <si>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</si>
  <si>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</si>
  <si>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</si>
  <si>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</si>
  <si>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</si>
  <si>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</si>
  <si>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</si>
  <si>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</si>
  <si>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</si>
  <si>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</si>
  <si>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</si>
  <si>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</si>
  <si>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</si>
  <si>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</si>
  <si>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</si>
  <si>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</si>
  <si>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</si>
  <si>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</si>
  <si>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</si>
  <si>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</si>
  <si>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</si>
  <si>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</si>
  <si>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</si>
  <si>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</si>
  <si>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</si>
  <si>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</si>
  <si>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</si>
  <si>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</si>
  <si>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</si>
  <si>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</si>
  <si>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</si>
  <si>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</si>
  <si>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</si>
  <si>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</si>
  <si>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</si>
  <si>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</si>
  <si>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</si>
  <si>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</si>
  <si>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</si>
  <si>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</si>
  <si>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</si>
  <si>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</si>
  <si>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</si>
  <si>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</si>
  <si>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</si>
  <si>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</si>
  <si>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</si>
  <si>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</si>
  <si>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</si>
  <si>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</si>
  <si>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</si>
  <si>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</si>
  <si>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</si>
  <si>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</si>
  <si>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</si>
  <si>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</si>
  <si>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</si>
  <si>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</si>
  <si>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</si>
  <si>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</si>
  <si>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</si>
  <si>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</si>
  <si>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</si>
  <si>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</si>
  <si>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</si>
  <si>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</si>
  <si>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</si>
  <si>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</si>
  <si>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</si>
  <si>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</si>
  <si>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</si>
  <si>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</si>
  <si>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</si>
  <si>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</si>
  <si>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</si>
  <si>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</si>
  <si>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</si>
  <si>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</si>
  <si>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</si>
  <si>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</si>
  <si>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</si>
  <si>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</si>
  <si>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</si>
  <si>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</si>
  <si>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</si>
  <si>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</si>
  <si>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</si>
  <si>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</si>
  <si>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</si>
  <si>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</si>
  <si>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</si>
  <si>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</si>
  <si>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</si>
  <si>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</si>
  <si>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</si>
  <si>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</si>
  <si>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</si>
  <si>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</si>
  <si>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</si>
  <si>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</si>
  <si>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</si>
  <si>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</si>
  <si>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</si>
  <si>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</si>
  <si>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</si>
  <si>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</si>
  <si>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</si>
  <si>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</si>
  <si>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</si>
  <si>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</si>
  <si>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</si>
  <si>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</si>
  <si>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</si>
  <si>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</si>
  <si>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</si>
  <si>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</si>
  <si>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</si>
  <si>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</si>
  <si>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</si>
  <si>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</si>
  <si>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</si>
  <si>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</si>
  <si>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</si>
  <si>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</si>
  <si>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</si>
  <si>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</si>
  <si>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</si>
  <si>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</si>
  <si>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</si>
  <si>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</si>
  <si>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</si>
  <si>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</si>
  <si>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</si>
  <si>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</si>
  <si>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</si>
  <si>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</si>
  <si>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</si>
  <si>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</si>
  <si>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</si>
  <si>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</si>
  <si>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</si>
  <si>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</si>
  <si>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</si>
  <si>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</si>
  <si>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</si>
  <si>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</si>
  <si>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</si>
  <si>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</si>
  <si>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</si>
  <si>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</si>
  <si>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</si>
  <si>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</si>
  <si>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</si>
  <si>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</si>
  <si>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</si>
  <si>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</si>
  <si>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</si>
  <si>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</si>
  <si>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</si>
  <si>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</si>
  <si>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</si>
  <si>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</si>
  <si>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</si>
  <si>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</si>
  <si>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</si>
  <si>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</si>
  <si>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</si>
  <si>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</si>
  <si>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</si>
  <si>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</si>
  <si>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</si>
  <si>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</si>
  <si>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</si>
  <si>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</si>
  <si>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</si>
  <si>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</si>
  <si>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</si>
  <si>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</si>
  <si>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</si>
  <si>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</si>
  <si>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</si>
  <si>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</si>
  <si>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</si>
  <si>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</si>
  <si>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</si>
  <si>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</si>
  <si>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</si>
  <si>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</si>
  <si>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</si>
  <si>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</si>
  <si>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</si>
  <si>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</si>
  <si>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</si>
  <si>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</si>
  <si>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</si>
  <si>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</si>
  <si>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</si>
  <si>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</si>
  <si>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</si>
  <si>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</si>
  <si>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</si>
  <si>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</si>
  <si>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</si>
  <si>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</si>
  <si>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</si>
  <si>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</si>
  <si>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</si>
  <si>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</si>
  <si>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</si>
  <si>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</si>
  <si>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</si>
  <si>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</si>
  <si>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</si>
  <si>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</si>
  <si>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</si>
  <si>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</si>
  <si>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</si>
  <si>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</si>
  <si>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</si>
  <si>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</si>
  <si>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</si>
  <si>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</si>
  <si>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</si>
  <si>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</si>
  <si>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</si>
  <si>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</si>
  <si>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</si>
  <si>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</si>
  <si>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</si>
  <si>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</si>
  <si>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</si>
  <si>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</si>
  <si>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</si>
  <si>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</si>
  <si>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</si>
  <si>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</si>
  <si>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</si>
  <si>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</si>
  <si>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</si>
  <si>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</si>
  <si>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</si>
  <si>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</si>
  <si>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</si>
  <si>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</si>
  <si>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</si>
  <si>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</si>
  <si>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</si>
  <si>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</si>
  <si>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</si>
  <si>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</si>
  <si>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</si>
  <si>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</si>
  <si>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</si>
  <si>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</si>
  <si>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</si>
  <si>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</si>
  <si>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</si>
  <si>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</si>
  <si>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</si>
  <si>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</si>
  <si>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</si>
  <si>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</si>
  <si>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</si>
  <si>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</si>
  <si>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</si>
  <si>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</si>
  <si>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</si>
  <si>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</si>
  <si>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</si>
  <si>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</si>
  <si>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</si>
  <si>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</si>
  <si>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</si>
  <si>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</si>
  <si>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</si>
  <si>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</si>
  <si>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</si>
  <si>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</si>
  <si>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</si>
  <si>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</si>
  <si>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</si>
  <si>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</si>
  <si>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</si>
  <si>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</si>
  <si>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</si>
  <si>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</si>
  <si>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</si>
  <si>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</si>
  <si>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</si>
  <si>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</si>
  <si>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</si>
  <si>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</si>
  <si>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</si>
  <si>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</si>
  <si>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</si>
  <si>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</si>
  <si>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</si>
  <si>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</si>
  <si>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</si>
  <si>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</si>
  <si>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</si>
  <si>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</si>
  <si>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</si>
  <si>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</si>
  <si>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</si>
  <si>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</si>
  <si>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</si>
  <si>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</si>
  <si>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</si>
  <si>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</si>
  <si>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</si>
  <si>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</si>
  <si>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</si>
  <si>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</si>
  <si>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</si>
  <si>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</si>
  <si>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</si>
  <si>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</si>
  <si>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</si>
  <si>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</si>
  <si>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</si>
  <si>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</si>
  <si>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</si>
  <si>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</si>
  <si>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</si>
  <si>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</si>
  <si>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</si>
  <si>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</si>
  <si>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</si>
  <si>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</si>
  <si>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</si>
  <si>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</si>
  <si>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</si>
  <si>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</si>
  <si>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</si>
  <si>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</si>
  <si>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</si>
  <si>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</si>
  <si>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</si>
  <si>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</si>
  <si>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</si>
  <si>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</si>
  <si>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</si>
  <si>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</si>
  <si>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</si>
  <si>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</si>
  <si>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</si>
  <si>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</si>
  <si>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</si>
  <si>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</si>
  <si>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</si>
  <si>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</si>
  <si>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</si>
  <si>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</si>
  <si>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</si>
  <si>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</si>
  <si>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</si>
  <si>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</si>
  <si>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</si>
  <si>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</si>
  <si>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</si>
  <si>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</si>
  <si>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</si>
  <si>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</si>
  <si>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</si>
  <si>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</si>
  <si>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</si>
  <si>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</si>
  <si>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</si>
  <si>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</si>
  <si>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</si>
  <si>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</si>
  <si>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</si>
  <si>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</si>
  <si>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</si>
  <si>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</si>
  <si>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</si>
  <si>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</si>
  <si>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</si>
  <si>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</si>
  <si>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</si>
  <si>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</si>
  <si>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</si>
  <si>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</si>
  <si>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</si>
  <si>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</si>
  <si>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</si>
  <si>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</si>
  <si>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</si>
  <si>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</si>
  <si>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</si>
  <si>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</si>
  <si>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</si>
  <si>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</si>
  <si>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</si>
  <si>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</si>
  <si>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</si>
  <si>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</si>
  <si>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</si>
  <si>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</si>
  <si>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</si>
  <si>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</si>
  <si>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</si>
  <si>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</si>
  <si>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</si>
  <si>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</si>
  <si>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</si>
  <si>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</si>
  <si>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</si>
  <si>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</si>
  <si>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</si>
  <si>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</si>
  <si>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</si>
  <si>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</si>
  <si>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</si>
  <si>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</si>
  <si>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</si>
  <si>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</si>
  <si>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</si>
  <si>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</si>
  <si>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</si>
  <si>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</si>
  <si>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</si>
  <si>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</si>
  <si>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</si>
  <si>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</si>
  <si>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</si>
  <si>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</si>
  <si>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</si>
  <si>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</si>
  <si>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</si>
  <si>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</si>
  <si>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</si>
  <si>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</si>
  <si>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</si>
  <si>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</si>
  <si>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</si>
  <si>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</si>
  <si>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</si>
  <si>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</si>
  <si>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</si>
  <si>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</si>
  <si>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</si>
  <si>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</si>
  <si>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</si>
  <si>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</si>
  <si>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</si>
  <si>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</si>
  <si>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</si>
  <si>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</si>
  <si>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</si>
  <si>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</si>
  <si>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</si>
  <si>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</si>
  <si>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</si>
  <si>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</si>
  <si>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</si>
  <si>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</si>
  <si>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</si>
  <si>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</si>
  <si>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</si>
  <si>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</si>
  <si>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</si>
  <si>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</si>
  <si>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</si>
  <si>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</si>
  <si>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</si>
  <si>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</si>
  <si>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</si>
  <si>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</si>
  <si>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</si>
  <si>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</si>
  <si>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</si>
  <si>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</si>
  <si>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</si>
  <si>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</si>
  <si>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</si>
  <si>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</si>
  <si>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</si>
  <si>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</si>
  <si>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</si>
  <si>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</si>
  <si>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</si>
  <si>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</si>
  <si>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</si>
  <si>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</si>
  <si>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</si>
  <si>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</si>
  <si>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</si>
  <si>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</si>
  <si>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</si>
  <si>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</si>
  <si>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</si>
  <si>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</si>
  <si>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</si>
  <si>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</si>
  <si>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</si>
  <si>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</si>
  <si>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</si>
  <si>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</si>
  <si>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</si>
  <si>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</si>
  <si>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</si>
  <si>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</si>
  <si>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</si>
  <si>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</si>
  <si>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</si>
  <si>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</si>
  <si>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</si>
  <si>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</si>
  <si>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</si>
  <si>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</si>
  <si>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</si>
  <si>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</si>
  <si>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</si>
  <si>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</si>
  <si>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</si>
  <si>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</si>
  <si>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</si>
  <si>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</si>
  <si>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</si>
  <si>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</si>
  <si>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</si>
  <si>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</si>
  <si>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</si>
  <si>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</si>
  <si>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</si>
  <si>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</si>
  <si>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</si>
  <si>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</si>
  <si>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</si>
  <si>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</si>
  <si>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</si>
  <si>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</si>
  <si>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</si>
  <si>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</si>
  <si>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</si>
  <si>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</si>
  <si>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</si>
  <si>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</si>
  <si>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</si>
  <si>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</si>
  <si>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</si>
  <si>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</si>
  <si>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</si>
  <si>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</si>
  <si>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</si>
  <si>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</si>
  <si>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</si>
  <si>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</si>
  <si>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</si>
  <si>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</si>
  <si>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</si>
  <si>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</si>
  <si>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</si>
  <si>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</si>
  <si>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</si>
  <si>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</si>
  <si>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</si>
  <si>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</si>
  <si>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</si>
  <si>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</si>
  <si>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</si>
  <si>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</si>
  <si>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</si>
  <si>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</si>
  <si>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</si>
  <si>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</si>
  <si>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</si>
  <si>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</si>
  <si>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</si>
  <si>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</si>
  <si>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</si>
  <si>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</si>
  <si>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</si>
  <si>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</si>
  <si>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</si>
  <si>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</si>
  <si>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</si>
  <si>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</si>
  <si>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</si>
  <si>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</si>
  <si>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</si>
  <si>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</si>
  <si>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</si>
  <si>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</si>
  <si>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</si>
  <si>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</si>
  <si>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</si>
  <si>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</si>
  <si>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</si>
  <si>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</si>
  <si>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</si>
  <si>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</si>
  <si>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</si>
  <si>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</si>
  <si>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</si>
  <si>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</si>
  <si>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</si>
  <si>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</si>
  <si>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</si>
  <si>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</si>
  <si>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</si>
  <si>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</si>
  <si>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</si>
  <si>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</si>
  <si>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</si>
  <si>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</si>
  <si>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</si>
  <si>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</si>
  <si>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</si>
  <si>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</si>
  <si>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</si>
  <si>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</si>
  <si>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</si>
  <si>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</si>
  <si>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</si>
  <si>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</si>
  <si>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</si>
  <si>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</si>
  <si>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</si>
  <si>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</si>
  <si>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</si>
  <si>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</si>
  <si>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</si>
  <si>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</si>
  <si>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</si>
  <si>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</si>
  <si>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</si>
  <si>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</si>
  <si>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</si>
  <si>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</si>
  <si>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</si>
  <si>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</si>
  <si>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</si>
  <si>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</si>
  <si>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</si>
  <si>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</si>
  <si>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</si>
  <si>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</si>
  <si>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</si>
  <si>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</si>
  <si>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</si>
  <si>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</si>
  <si>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</si>
  <si>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</si>
  <si>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</si>
  <si>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</si>
  <si>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</si>
  <si>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</si>
  <si>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</si>
  <si>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</si>
  <si>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</si>
  <si>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</si>
  <si>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</si>
  <si>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</si>
  <si>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</si>
  <si>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</si>
  <si>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</si>
  <si>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</si>
  <si>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</si>
  <si>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</si>
  <si>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</si>
  <si>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</si>
  <si>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</si>
  <si>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</si>
  <si>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</si>
  <si>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</si>
  <si>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</si>
  <si>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</si>
  <si>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</si>
  <si>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</si>
  <si>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</si>
  <si>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</si>
  <si>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</si>
  <si>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</si>
  <si>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</si>
  <si>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</si>
  <si>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</si>
  <si>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</si>
  <si>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</si>
  <si>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</si>
  <si>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</si>
  <si>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</si>
  <si>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</si>
  <si>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</si>
  <si>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</si>
  <si>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</si>
  <si>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</si>
  <si>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</si>
  <si>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</si>
  <si>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</si>
  <si>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</si>
  <si>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</si>
  <si>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</si>
  <si>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</si>
  <si>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</si>
  <si>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</si>
  <si>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</si>
  <si>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</si>
  <si>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</si>
  <si>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</si>
  <si>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</si>
  <si>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</si>
  <si>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</si>
  <si>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</si>
  <si>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</si>
  <si>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</si>
  <si>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</si>
  <si>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</si>
  <si>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</si>
  <si>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</si>
  <si>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</si>
  <si>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</si>
  <si>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</si>
  <si>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</si>
  <si>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</si>
  <si>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</si>
  <si>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</si>
  <si>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</si>
  <si>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</si>
  <si>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</si>
  <si>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</si>
  <si>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</si>
  <si>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</si>
  <si>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</si>
  <si>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</si>
  <si>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</si>
  <si>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</si>
  <si>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</si>
  <si>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</si>
  <si>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</si>
  <si>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</si>
  <si>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</si>
  <si>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</si>
  <si>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</si>
  <si>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</si>
  <si>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</si>
  <si>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</si>
  <si>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</si>
  <si>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</si>
  <si>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</si>
  <si>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</si>
  <si>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</si>
  <si>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</si>
  <si>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</si>
  <si>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</si>
  <si>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</si>
  <si>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</si>
  <si>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</si>
  <si>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</si>
  <si>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</si>
  <si>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</si>
  <si>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</si>
  <si>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</si>
  <si>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</si>
  <si>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</si>
  <si>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</si>
  <si>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</si>
  <si>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</si>
  <si>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</si>
  <si>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</si>
  <si>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</si>
  <si>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</si>
  <si>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</si>
  <si>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</si>
  <si>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</si>
  <si>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</si>
  <si>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</si>
  <si>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</si>
  <si>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</si>
  <si>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</si>
  <si>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</si>
  <si>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</si>
  <si>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</si>
  <si>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</si>
  <si>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</si>
  <si>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</si>
  <si>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</si>
  <si>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</si>
  <si>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</si>
  <si>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</si>
  <si>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</si>
  <si>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</si>
  <si>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</si>
  <si>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</si>
  <si>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</si>
  <si>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</si>
  <si>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</si>
  <si>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</si>
  <si>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</si>
  <si>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</si>
  <si>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</si>
  <si>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</si>
  <si>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</si>
  <si>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</si>
  <si>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</si>
  <si>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</si>
  <si>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</si>
  <si>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</si>
  <si>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</si>
  <si>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</si>
  <si>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</si>
  <si>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</si>
  <si>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</si>
  <si>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</si>
  <si>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</si>
  <si>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</si>
  <si>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</si>
  <si>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</si>
  <si>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</si>
  <si>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</si>
  <si>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</si>
  <si>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</si>
  <si>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</si>
  <si>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</si>
  <si>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</si>
  <si>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</si>
  <si>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</si>
  <si>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</si>
  <si>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</si>
  <si>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</si>
  <si>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</si>
  <si>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</si>
  <si>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</si>
  <si>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</si>
  <si>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</si>
  <si>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</si>
  <si>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</si>
  <si>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</si>
  <si>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</si>
  <si>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</si>
  <si>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</si>
  <si>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</si>
  <si>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</si>
  <si>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</si>
  <si>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</si>
  <si>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</si>
  <si>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</si>
  <si>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</si>
  <si>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</si>
  <si>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</si>
  <si>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</si>
  <si>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</si>
  <si>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</si>
  <si>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</si>
  <si>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</si>
  <si>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</si>
  <si>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</si>
  <si>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</si>
  <si>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</si>
  <si>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</si>
  <si>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</si>
  <si>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</si>
  <si>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</si>
  <si>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</si>
  <si>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</si>
  <si>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</si>
  <si>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</si>
  <si>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</si>
  <si>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</si>
  <si>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</si>
  <si>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</si>
  <si>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</si>
  <si>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</si>
  <si>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</si>
  <si>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</si>
  <si>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</si>
  <si>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</si>
  <si>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</si>
  <si>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</si>
  <si>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</si>
  <si>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</si>
  <si>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</si>
  <si>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</si>
  <si>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</si>
  <si>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</si>
  <si>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</si>
  <si>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</si>
  <si>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</si>
  <si>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</si>
  <si>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</si>
  <si>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</si>
  <si>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</si>
  <si>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</si>
  <si>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</si>
  <si>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</si>
  <si>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</si>
  <si>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</si>
  <si>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</si>
  <si>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</si>
  <si>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</si>
  <si>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</si>
  <si>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</si>
  <si>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</si>
  <si>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</si>
  <si>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</si>
  <si>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</si>
  <si>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</si>
  <si>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</si>
  <si>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</si>
  <si>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</si>
  <si>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</si>
  <si>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</si>
  <si>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</si>
  <si>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</si>
  <si>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</si>
  <si>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</si>
  <si>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</si>
  <si>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</si>
  <si>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</si>
  <si>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</si>
  <si>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</si>
  <si>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</si>
  <si>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</si>
  <si>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</si>
  <si>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</si>
  <si>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</si>
  <si>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</si>
  <si>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</si>
  <si>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</si>
  <si>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</si>
  <si>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</si>
  <si>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</si>
  <si>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</si>
  <si>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</si>
  <si>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</si>
  <si>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</si>
  <si>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</si>
  <si>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</si>
  <si>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</si>
  <si>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</si>
  <si>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</si>
  <si>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</si>
  <si>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</si>
  <si>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</si>
  <si>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</si>
  <si>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</si>
  <si>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</si>
  <si>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</si>
  <si>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</si>
  <si>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</si>
  <si>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</si>
  <si>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</si>
  <si>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</si>
  <si>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</si>
  <si>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</si>
  <si>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</si>
  <si>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</si>
  <si>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</si>
  <si>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</si>
  <si>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</si>
  <si>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</si>
  <si>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</si>
  <si>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</si>
  <si>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</si>
  <si>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</si>
  <si>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</si>
  <si>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</si>
  <si>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</si>
  <si>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</si>
  <si>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</si>
  <si>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</si>
  <si>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</si>
  <si>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</si>
  <si>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</si>
  <si>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</si>
  <si>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</si>
  <si>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</si>
  <si>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</si>
  <si>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</si>
  <si>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</si>
  <si>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</si>
  <si>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</si>
  <si>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</si>
  <si>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</si>
  <si>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</si>
  <si>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</si>
  <si>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</si>
  <si>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</si>
  <si>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</si>
  <si>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</si>
  <si>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</si>
  <si>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</si>
  <si>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</si>
  <si>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</si>
  <si>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</si>
  <si>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</si>
  <si>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</si>
  <si>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</si>
  <si>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</si>
  <si>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</si>
  <si>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</si>
  <si>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</si>
  <si>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</si>
  <si>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</si>
  <si>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</si>
  <si>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</si>
  <si>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</si>
  <si>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</si>
  <si>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</si>
  <si>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</si>
  <si>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</si>
  <si>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</si>
  <si>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</si>
  <si>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</si>
  <si>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</si>
  <si>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</si>
  <si>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</si>
  <si>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</si>
  <si>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</si>
  <si>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</si>
  <si>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</si>
  <si>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</si>
  <si>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</si>
  <si>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</si>
  <si>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</si>
  <si>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</si>
  <si>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</si>
  <si>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</si>
  <si>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</si>
  <si>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</si>
  <si>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</si>
  <si>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</si>
  <si>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</si>
  <si>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</si>
  <si>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</si>
  <si>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</si>
  <si>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</si>
  <si>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</si>
  <si>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</si>
  <si>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</si>
  <si>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</si>
  <si>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</si>
  <si>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</si>
  <si>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</si>
  <si>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</si>
  <si>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</si>
  <si>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</si>
  <si>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</si>
  <si>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</si>
  <si>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</si>
  <si>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</si>
  <si>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</si>
  <si>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</si>
  <si>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</si>
  <si>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</si>
  <si>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</si>
  <si>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</si>
  <si>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</si>
  <si>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</si>
  <si>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</si>
  <si>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</si>
  <si>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</si>
  <si>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</si>
  <si>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</si>
  <si>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</si>
  <si>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</si>
  <si>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</si>
  <si>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</si>
  <si>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</si>
  <si>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</si>
  <si>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</si>
  <si>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</si>
  <si>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</si>
  <si>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</si>
  <si>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</si>
  <si>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</si>
  <si>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</si>
  <si>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</si>
  <si>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</si>
  <si>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</si>
  <si>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</si>
  <si>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</si>
  <si>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</si>
  <si>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</si>
  <si>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</si>
  <si>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</si>
  <si>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</si>
  <si>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</si>
  <si>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</si>
  <si>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</si>
  <si>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</si>
  <si>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</si>
  <si>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</si>
  <si>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</si>
  <si>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</si>
  <si>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</si>
  <si>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</si>
  <si>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</si>
  <si>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</si>
  <si>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</si>
  <si>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</si>
  <si>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</si>
  <si>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</si>
  <si>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</si>
  <si>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</si>
  <si>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</si>
  <si>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</si>
  <si>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</si>
  <si>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</si>
  <si>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</si>
  <si>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</si>
  <si>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</si>
  <si>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</si>
  <si>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</si>
  <si>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</si>
  <si>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</si>
  <si>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</si>
  <si>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</si>
  <si>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</si>
  <si>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</si>
  <si>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</si>
  <si>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</si>
  <si>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</si>
  <si>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</si>
  <si>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</si>
  <si>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</si>
  <si>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</si>
  <si>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</si>
  <si>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</si>
  <si>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</si>
  <si>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</si>
  <si>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</si>
  <si>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</si>
  <si>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</si>
  <si>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</si>
  <si>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</si>
  <si>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</si>
  <si>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</si>
  <si>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</si>
  <si>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</si>
  <si>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</si>
  <si>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</si>
  <si>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</si>
  <si>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</si>
  <si>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</si>
  <si>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</si>
  <si>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</si>
  <si>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</si>
  <si>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</si>
  <si>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</si>
  <si>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</si>
  <si>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</si>
  <si>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</si>
  <si>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</si>
  <si>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</si>
  <si>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</si>
  <si>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</si>
  <si>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</si>
  <si>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</si>
  <si>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</si>
  <si>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</si>
  <si>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</si>
  <si>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</si>
  <si>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</si>
  <si>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</si>
  <si>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</si>
  <si>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</si>
  <si>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</si>
  <si>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</si>
  <si>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</si>
  <si>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</si>
  <si>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</si>
  <si>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</si>
  <si>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</si>
  <si>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</si>
  <si>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</si>
  <si>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</si>
  <si>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</si>
  <si>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</si>
  <si>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</si>
  <si>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</si>
  <si>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</si>
  <si>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</si>
  <si>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</si>
  <si>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</si>
  <si>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</si>
  <si>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</si>
  <si>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</si>
  <si>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</si>
  <si>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</si>
  <si>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</si>
  <si>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</si>
  <si>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</si>
  <si>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</si>
  <si>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</si>
  <si>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</si>
  <si>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</si>
  <si>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</si>
  <si>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</si>
  <si>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</si>
  <si>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</si>
  <si>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</si>
  <si>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</si>
  <si>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</si>
  <si>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</si>
  <si>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</si>
  <si>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</si>
  <si>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</si>
  <si>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</si>
  <si>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</si>
  <si>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</si>
  <si>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</si>
  <si>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</si>
  <si>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</si>
  <si>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</si>
  <si>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</si>
  <si>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</si>
  <si>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</si>
  <si>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</si>
  <si>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</si>
  <si>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</si>
  <si>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</si>
  <si>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</si>
  <si>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</si>
  <si>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</si>
  <si>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</si>
  <si>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</si>
  <si>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</si>
  <si>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</si>
  <si>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</si>
  <si>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</si>
  <si>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</si>
  <si>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</si>
  <si>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</si>
  <si>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</si>
  <si>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</si>
  <si>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</si>
  <si>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</si>
  <si>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</si>
  <si>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</si>
  <si>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</si>
  <si>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</si>
  <si>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</si>
  <si>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</si>
  <si>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</si>
  <si>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</si>
  <si>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</si>
  <si>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</si>
  <si>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</si>
  <si>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</si>
  <si>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</si>
  <si>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</si>
  <si>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</si>
  <si>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</si>
  <si>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</si>
  <si>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</si>
  <si>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</si>
  <si>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</si>
  <si>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</si>
  <si>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</si>
  <si>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</si>
  <si>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</si>
  <si>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</si>
  <si>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</si>
  <si>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</si>
  <si>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</si>
  <si>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</si>
  <si>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</si>
  <si>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</si>
  <si>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</si>
  <si>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</si>
  <si>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</si>
  <si>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</si>
  <si>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</si>
  <si>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</si>
  <si>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</si>
  <si>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</si>
  <si>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</si>
  <si>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</si>
  <si>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</si>
  <si>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</si>
  <si>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</si>
  <si>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</si>
  <si>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</si>
  <si>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</si>
  <si>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</si>
  <si>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</si>
  <si>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</si>
  <si>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</si>
  <si>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</si>
  <si>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</si>
  <si>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</si>
  <si>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</si>
  <si>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</si>
  <si>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</si>
  <si>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</si>
  <si>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</si>
  <si>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</si>
  <si>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</si>
  <si>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</si>
  <si>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</si>
  <si>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</si>
  <si>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</si>
  <si>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</si>
  <si>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</si>
  <si>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</si>
  <si>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</si>
  <si>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</si>
  <si>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</si>
  <si>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</si>
  <si>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</si>
  <si>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</si>
  <si>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</si>
  <si>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</si>
  <si>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</si>
  <si>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</si>
  <si>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</si>
  <si>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</si>
  <si>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</si>
  <si>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</si>
  <si>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</si>
  <si>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</si>
  <si>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</si>
  <si>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</si>
  <si>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</si>
  <si>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</si>
  <si>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</si>
  <si>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</si>
  <si>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</si>
  <si>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</si>
  <si>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</si>
  <si>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</si>
  <si>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</si>
  <si>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</si>
  <si>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</si>
  <si>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</si>
  <si>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</si>
  <si>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</si>
  <si>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</si>
  <si>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</si>
  <si>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</si>
  <si>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</si>
  <si>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</si>
  <si>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</si>
  <si>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</si>
  <si>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</si>
  <si>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</si>
  <si>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</si>
  <si>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</si>
  <si>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</si>
  <si>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</si>
  <si>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</si>
  <si>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</si>
  <si>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</si>
  <si>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</si>
  <si>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</si>
  <si>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</si>
  <si>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</si>
  <si>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</si>
  <si>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</si>
  <si>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</si>
  <si>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</si>
  <si>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</si>
  <si>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</si>
  <si>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</si>
  <si>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</si>
  <si>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</si>
  <si>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</si>
  <si>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</si>
  <si>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</si>
  <si>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</si>
  <si>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</si>
  <si>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</si>
  <si>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</si>
  <si>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</si>
  <si>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</si>
  <si>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</si>
  <si>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</si>
  <si>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</si>
  <si>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</si>
  <si>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</si>
  <si>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</si>
  <si>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</si>
  <si>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</si>
  <si>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</si>
  <si>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</si>
  <si>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</si>
  <si>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</si>
  <si>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</si>
  <si>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</si>
  <si>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</si>
  <si>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</si>
  <si>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</si>
  <si>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</si>
  <si>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</si>
  <si>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</si>
  <si>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</si>
  <si>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</si>
  <si>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</si>
  <si>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</si>
  <si>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</si>
  <si>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</si>
  <si>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</si>
  <si>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</si>
  <si>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</si>
  <si>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</si>
  <si>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</si>
  <si>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</si>
  <si>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</si>
  <si>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</si>
  <si>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</si>
  <si>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</si>
  <si>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</si>
  <si>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</si>
  <si>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</si>
  <si>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</si>
  <si>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</si>
  <si>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</si>
  <si>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</si>
  <si>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</si>
  <si>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</si>
  <si>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</si>
  <si>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</si>
  <si>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</si>
  <si>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</si>
  <si>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</si>
  <si>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</si>
  <si>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</si>
  <si>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</si>
  <si>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</si>
  <si>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</si>
  <si>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</si>
  <si>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</si>
  <si>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</si>
  <si>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</si>
  <si>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</si>
  <si>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</si>
  <si>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</si>
  <si>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</si>
  <si>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</si>
  <si>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</si>
  <si>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</si>
  <si>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</si>
  <si>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</si>
  <si>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</si>
  <si>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</si>
  <si>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</si>
  <si>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</si>
  <si>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</si>
  <si>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</si>
  <si>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</si>
  <si>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</si>
  <si>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</si>
  <si>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</si>
  <si>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</si>
  <si>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</si>
  <si>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</si>
  <si>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</si>
  <si>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</si>
  <si>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</si>
  <si>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</si>
  <si>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</si>
  <si>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</si>
  <si>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</si>
  <si>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</si>
  <si>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</si>
  <si>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</si>
  <si>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</si>
  <si>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</si>
  <si>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</si>
  <si>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</si>
  <si>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</si>
  <si>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</si>
  <si>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</si>
  <si>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</si>
  <si>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</si>
  <si>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</si>
  <si>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</si>
  <si>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</si>
  <si>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</si>
  <si>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</si>
  <si>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</si>
  <si>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</si>
  <si>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</si>
  <si>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</si>
  <si>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</si>
  <si>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</si>
  <si>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</si>
  <si>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</si>
  <si>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</si>
  <si>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</si>
  <si>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</si>
  <si>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</si>
  <si>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</si>
  <si>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</si>
  <si>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</si>
  <si>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</si>
  <si>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</si>
  <si>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</si>
  <si>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</si>
  <si>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</si>
  <si>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</si>
  <si>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</si>
  <si>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</si>
  <si>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</si>
  <si>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</si>
  <si>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</si>
  <si>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</si>
  <si>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</si>
  <si>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</si>
  <si>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</si>
  <si>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</si>
  <si>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Will</t>
  </si>
  <si>
    <t>Wilco Area Career Center</t>
  </si>
  <si>
    <t>500 Wilco Boulevard</t>
  </si>
  <si>
    <t>Romeoville</t>
  </si>
  <si>
    <t>jramirez@wilco.k12.il.us</t>
  </si>
  <si>
    <t>X</t>
  </si>
  <si>
    <t>Elizabeth Kaufman</t>
  </si>
  <si>
    <t>ekaufman@wilco.k12.il.us</t>
  </si>
  <si>
    <t>815-838-6941</t>
  </si>
  <si>
    <t>815-838-1163</t>
  </si>
  <si>
    <t>Mack &amp; Associates, P.C.</t>
  </si>
  <si>
    <t>Tawnya Mack, CPA</t>
  </si>
  <si>
    <t>116 E. Washington St., Suite One</t>
  </si>
  <si>
    <t>Morris</t>
  </si>
  <si>
    <t>IL</t>
  </si>
  <si>
    <t>815-942-3306</t>
  </si>
  <si>
    <t>815-942-9430</t>
  </si>
  <si>
    <t>066-005100</t>
  </si>
  <si>
    <t>tmak@mackcpas.com</t>
  </si>
  <si>
    <t>PDF in Opinion Page with Signature</t>
  </si>
  <si>
    <t>Series 2016 Debt Certificates</t>
  </si>
  <si>
    <t>See Below</t>
  </si>
  <si>
    <t>IL School Cooperative</t>
  </si>
  <si>
    <t>Line 13 - Grundy Area Vocational Center; JJC, The Nail Inn, Champions Beauty-Barber University, Professional Choice, Franklin Cosmetology, Local 150 Apprenticeship</t>
  </si>
  <si>
    <t>Line 19 - Insurance - Health Insurance - Lincolnway Area Affiliation, Liability Insurance - ESIC, Workers Comp. Insurance - SELF</t>
  </si>
  <si>
    <t>ED - FISCAL SERVICES - PURCHASED SERVCES</t>
  </si>
  <si>
    <t>Specialized Data Systems</t>
  </si>
  <si>
    <t>ED - O&amp;M PLANT - PURCHASED SERVICES</t>
  </si>
  <si>
    <t>Chapman &amp; Cutler</t>
  </si>
  <si>
    <t>D &amp; I Electronics</t>
  </si>
  <si>
    <t>Ecolab Pest Elimination</t>
  </si>
  <si>
    <t>Self</t>
  </si>
  <si>
    <t>ESIC</t>
  </si>
  <si>
    <t>Jonson Controls Security Solution</t>
  </si>
  <si>
    <t>Page 11, Line 1999 Other Local Revenue: Ins. Reimb., TRS Refund, Scrap Income, Misc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</si>
</sst>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cellStyleXfs>
  <cellXfs count="255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3" fillId="0" borderId="155" xfId="19" applyFont="1" applyBorder="1" applyAlignment="1" applyProtection="1">
      <alignment vertical="top"/>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3"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1">
        <f>+'AFR20'!E4</f>
        <v>44119</v>
      </c>
      <c r="C1" s="1991"/>
      <c r="D1" s="1992"/>
      <c r="I1" s="2070" t="s">
        <v>402</v>
      </c>
      <c r="J1" s="2071"/>
      <c r="K1" s="2071"/>
      <c r="L1" s="2071"/>
      <c r="M1" s="2071"/>
      <c r="N1" s="2071"/>
      <c r="O1" s="2071"/>
      <c r="P1" s="2071"/>
      <c r="Q1" s="2071"/>
      <c r="R1" s="2071"/>
      <c r="S1" s="2071"/>
    </row>
    <row r="2" spans="1:32" ht="12" customHeight="1" x14ac:dyDescent="0.2">
      <c r="A2" s="1889" t="str">
        <f>"Due to ISBE on "</f>
        <v xml:space="preserve">Due to ISBE on </v>
      </c>
      <c r="B2" s="1993">
        <f>+'AFR20'!F4</f>
        <v>44151</v>
      </c>
      <c r="C2" s="1993"/>
      <c r="D2" s="1994"/>
      <c r="I2" s="2072" t="s">
        <v>2006</v>
      </c>
      <c r="J2" s="2071"/>
      <c r="K2" s="2071"/>
      <c r="L2" s="2071"/>
      <c r="M2" s="2071"/>
      <c r="N2" s="2071"/>
      <c r="O2" s="2071"/>
      <c r="P2" s="2071"/>
      <c r="Q2" s="2071"/>
      <c r="R2" s="2071"/>
      <c r="S2" s="2071"/>
    </row>
    <row r="3" spans="1:32" ht="12" customHeight="1" x14ac:dyDescent="0.2">
      <c r="A3" s="1892" t="str">
        <f>"SD/JA"&amp;MID('AFR20'!E2,3,2)</f>
        <v>SD/JA20</v>
      </c>
      <c r="B3" s="151"/>
      <c r="C3" s="151"/>
      <c r="D3" s="152"/>
      <c r="I3" s="2072" t="s">
        <v>52</v>
      </c>
      <c r="J3" s="2071"/>
      <c r="K3" s="2071"/>
      <c r="L3" s="2071"/>
      <c r="M3" s="2071"/>
      <c r="N3" s="2071"/>
      <c r="O3" s="2071"/>
      <c r="P3" s="2071"/>
      <c r="Q3" s="2071"/>
      <c r="R3" s="2071"/>
      <c r="S3" s="2071"/>
    </row>
    <row r="4" spans="1:32" ht="12" customHeight="1" x14ac:dyDescent="0.2">
      <c r="A4" s="37"/>
      <c r="I4" s="2072" t="s">
        <v>521</v>
      </c>
      <c r="J4" s="2071"/>
      <c r="K4" s="2071"/>
      <c r="L4" s="2071"/>
      <c r="M4" s="2071"/>
      <c r="N4" s="2071"/>
      <c r="O4" s="2071"/>
      <c r="P4" s="2071"/>
      <c r="Q4" s="2071"/>
      <c r="R4" s="2071"/>
      <c r="S4" s="2071"/>
    </row>
    <row r="5" spans="1:32" ht="14.1" customHeight="1" x14ac:dyDescent="0.2">
      <c r="B5" s="101"/>
      <c r="C5" s="26" t="s">
        <v>904</v>
      </c>
      <c r="D5" s="81"/>
      <c r="E5" s="81"/>
      <c r="H5" s="38"/>
      <c r="I5" s="2079" t="s">
        <v>675</v>
      </c>
      <c r="J5" s="2024"/>
      <c r="K5" s="2024"/>
      <c r="L5" s="2024"/>
      <c r="M5" s="2024"/>
      <c r="N5" s="2024"/>
      <c r="O5" s="2024"/>
      <c r="P5" s="2024"/>
      <c r="Q5" s="2024"/>
      <c r="R5" s="2024"/>
      <c r="S5" s="2024"/>
      <c r="AF5" s="1885"/>
    </row>
    <row r="6" spans="1:32" ht="14.1" customHeight="1" x14ac:dyDescent="0.2">
      <c r="B6" s="101" t="s">
        <v>2021</v>
      </c>
      <c r="C6" s="26" t="s">
        <v>905</v>
      </c>
      <c r="D6" s="81"/>
      <c r="E6" s="81"/>
      <c r="I6" s="2078" t="s">
        <v>877</v>
      </c>
      <c r="J6" s="2024"/>
      <c r="K6" s="2024"/>
      <c r="L6" s="2024"/>
      <c r="M6" s="2024"/>
      <c r="N6" s="2024"/>
      <c r="O6" s="2024"/>
      <c r="P6" s="2024"/>
      <c r="Q6" s="2024"/>
      <c r="R6" s="2024"/>
      <c r="S6" s="2024"/>
    </row>
    <row r="7" spans="1:32" ht="12.2" customHeight="1" x14ac:dyDescent="0.2">
      <c r="I7" s="2073" t="str">
        <f>"June 30, "&amp;'AFR20'!E2</f>
        <v>June 30, 2020</v>
      </c>
      <c r="J7" s="2074"/>
      <c r="K7" s="2074"/>
      <c r="L7" s="2074"/>
      <c r="M7" s="2074"/>
      <c r="N7" s="2074"/>
      <c r="O7" s="2074"/>
      <c r="P7" s="2074"/>
      <c r="Q7" s="2074"/>
      <c r="R7" s="2074"/>
      <c r="S7" s="207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5" t="s">
        <v>669</v>
      </c>
      <c r="J9" s="2076"/>
      <c r="K9" s="2076"/>
      <c r="L9" s="2076"/>
      <c r="M9" s="2076"/>
      <c r="N9" s="2076"/>
      <c r="O9" s="2076"/>
      <c r="P9" s="2076"/>
      <c r="Q9" s="2076"/>
      <c r="R9" s="2076"/>
      <c r="S9" s="2077"/>
      <c r="T9" s="2020" t="s">
        <v>530</v>
      </c>
      <c r="U9" s="2021"/>
      <c r="V9" s="2021"/>
      <c r="W9" s="2021"/>
      <c r="X9" s="2021"/>
      <c r="Y9" s="2021"/>
      <c r="Z9" s="2021"/>
      <c r="AA9" s="2022"/>
    </row>
    <row r="10" spans="1:32" ht="13.5" customHeight="1" x14ac:dyDescent="0.2">
      <c r="A10" s="2029" t="s">
        <v>670</v>
      </c>
      <c r="B10" s="2030"/>
      <c r="C10" s="2030"/>
      <c r="D10" s="2030"/>
      <c r="E10" s="2030"/>
      <c r="F10" s="2030"/>
      <c r="G10" s="2030"/>
      <c r="H10" s="2031"/>
      <c r="I10" s="29"/>
      <c r="J10" s="30"/>
      <c r="K10" s="28"/>
      <c r="R10" s="30"/>
      <c r="S10" s="30"/>
      <c r="T10" s="2023"/>
      <c r="U10" s="2024"/>
      <c r="V10" s="2024"/>
      <c r="W10" s="2024"/>
      <c r="X10" s="2024"/>
      <c r="Y10" s="2024"/>
      <c r="Z10" s="2024"/>
      <c r="AA10" s="2025"/>
    </row>
    <row r="11" spans="1:32" ht="14.25" customHeight="1" x14ac:dyDescent="0.2">
      <c r="A11" s="2032" t="s">
        <v>949</v>
      </c>
      <c r="B11" s="2033"/>
      <c r="C11" s="2033"/>
      <c r="D11" s="2033"/>
      <c r="E11" s="2033"/>
      <c r="F11" s="2033"/>
      <c r="G11" s="2033"/>
      <c r="H11" s="2034"/>
      <c r="I11" s="27"/>
      <c r="J11" s="71"/>
      <c r="K11" s="27"/>
      <c r="O11" s="144" t="s">
        <v>2021</v>
      </c>
      <c r="P11" s="97" t="s">
        <v>199</v>
      </c>
      <c r="Q11" s="30"/>
      <c r="R11" s="28"/>
      <c r="S11" s="27"/>
      <c r="T11" s="2026"/>
      <c r="U11" s="2027"/>
      <c r="V11" s="2027"/>
      <c r="W11" s="2027"/>
      <c r="X11" s="2027"/>
      <c r="Y11" s="2027"/>
      <c r="Z11" s="2027"/>
      <c r="AA11" s="202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40">
        <v>56000000040</v>
      </c>
      <c r="B13" s="2041"/>
      <c r="C13" s="2041"/>
      <c r="D13" s="2041"/>
      <c r="E13" s="2041"/>
      <c r="F13" s="2041"/>
      <c r="G13" s="2041"/>
      <c r="H13" s="2042"/>
      <c r="I13" s="31"/>
      <c r="J13" s="30"/>
      <c r="K13" s="28"/>
      <c r="L13" s="30"/>
      <c r="M13" s="30"/>
      <c r="N13" s="30"/>
      <c r="O13" s="30"/>
      <c r="P13" s="30"/>
      <c r="Q13" s="30"/>
      <c r="R13" s="30"/>
      <c r="S13" s="30"/>
      <c r="T13" s="2045" t="s">
        <v>2032</v>
      </c>
      <c r="U13" s="2046"/>
      <c r="V13" s="2046"/>
      <c r="W13" s="2046"/>
      <c r="X13" s="2046"/>
      <c r="Y13" s="2047"/>
      <c r="Z13" s="2047"/>
      <c r="AA13" s="204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8" t="s">
        <v>2022</v>
      </c>
      <c r="B15" s="2043"/>
      <c r="C15" s="2043"/>
      <c r="D15" s="2043"/>
      <c r="E15" s="2043"/>
      <c r="F15" s="2043"/>
      <c r="G15" s="2043"/>
      <c r="H15" s="2044"/>
      <c r="T15" s="2006" t="s">
        <v>2033</v>
      </c>
      <c r="U15" s="2007"/>
      <c r="V15" s="2007"/>
      <c r="W15" s="2007"/>
      <c r="X15" s="2007"/>
      <c r="Y15" s="2049"/>
      <c r="Z15" s="2049"/>
      <c r="AA15" s="205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8" t="s">
        <v>2023</v>
      </c>
      <c r="B17" s="2068"/>
      <c r="C17" s="2068"/>
      <c r="D17" s="2068"/>
      <c r="E17" s="2068"/>
      <c r="F17" s="2068"/>
      <c r="G17" s="2068"/>
      <c r="H17" s="2069"/>
      <c r="T17" s="2055" t="s">
        <v>2034</v>
      </c>
      <c r="U17" s="2056"/>
      <c r="V17" s="2056"/>
      <c r="W17" s="2056"/>
      <c r="X17" s="2056"/>
      <c r="Y17" s="2056"/>
      <c r="Z17" s="2056"/>
      <c r="AA17" s="2057"/>
    </row>
    <row r="18" spans="1:27" ht="13.5" customHeight="1" x14ac:dyDescent="0.2">
      <c r="A18" s="82" t="s">
        <v>527</v>
      </c>
      <c r="B18" s="73"/>
      <c r="C18" s="69"/>
      <c r="D18" s="73"/>
      <c r="E18" s="73"/>
      <c r="F18" s="73"/>
      <c r="G18" s="73"/>
      <c r="H18" s="53"/>
      <c r="I18" s="2065" t="s">
        <v>671</v>
      </c>
      <c r="J18" s="2066"/>
      <c r="K18" s="2066"/>
      <c r="L18" s="2066"/>
      <c r="M18" s="2066"/>
      <c r="N18" s="2066"/>
      <c r="O18" s="2066"/>
      <c r="P18" s="2066"/>
      <c r="Q18" s="2066"/>
      <c r="R18" s="2066"/>
      <c r="S18" s="2067"/>
      <c r="T18" s="82" t="s">
        <v>706</v>
      </c>
      <c r="U18" s="48"/>
      <c r="V18" s="69"/>
      <c r="W18" s="47"/>
      <c r="X18" s="82" t="s">
        <v>264</v>
      </c>
      <c r="Y18" s="78"/>
      <c r="Z18" s="154" t="s">
        <v>672</v>
      </c>
      <c r="AA18" s="44"/>
    </row>
    <row r="19" spans="1:27" ht="13.5" customHeight="1" x14ac:dyDescent="0.2">
      <c r="A19" s="2038" t="s">
        <v>2024</v>
      </c>
      <c r="B19" s="2039"/>
      <c r="C19" s="2039"/>
      <c r="D19" s="2039"/>
      <c r="E19" s="2039"/>
      <c r="F19" s="2039"/>
      <c r="G19" s="2039"/>
      <c r="H19" s="2037"/>
      <c r="I19" s="30"/>
      <c r="J19" s="96"/>
      <c r="K19" s="40"/>
      <c r="L19" s="38"/>
      <c r="M19" s="109" t="s">
        <v>312</v>
      </c>
      <c r="P19" s="27"/>
      <c r="Q19" s="27"/>
      <c r="R19" s="27"/>
      <c r="S19" s="31"/>
      <c r="T19" s="2038" t="s">
        <v>2035</v>
      </c>
      <c r="U19" s="2036"/>
      <c r="V19" s="2036"/>
      <c r="W19" s="2037"/>
      <c r="X19" s="2053" t="s">
        <v>2036</v>
      </c>
      <c r="Y19" s="2054"/>
      <c r="Z19" s="2051">
        <v>60450</v>
      </c>
      <c r="AA19" s="205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5" t="s">
        <v>2025</v>
      </c>
      <c r="B21" s="2036"/>
      <c r="C21" s="2036"/>
      <c r="D21" s="2036"/>
      <c r="E21" s="2036"/>
      <c r="F21" s="2036"/>
      <c r="G21" s="2036"/>
      <c r="H21" s="2037"/>
      <c r="I21" s="2061" t="s">
        <v>673</v>
      </c>
      <c r="J21" s="2024"/>
      <c r="K21" s="2024"/>
      <c r="L21" s="2024"/>
      <c r="M21" s="2024"/>
      <c r="N21" s="2024"/>
      <c r="O21" s="2024"/>
      <c r="P21" s="2024"/>
      <c r="Q21" s="2024"/>
      <c r="R21" s="2024"/>
      <c r="S21" s="2025"/>
      <c r="T21" s="2003" t="s">
        <v>2037</v>
      </c>
      <c r="U21" s="2004"/>
      <c r="V21" s="2004"/>
      <c r="W21" s="2004"/>
      <c r="X21" s="2017" t="s">
        <v>2038</v>
      </c>
      <c r="Y21" s="2018"/>
      <c r="Z21" s="2018"/>
      <c r="AA21" s="2019"/>
    </row>
    <row r="22" spans="1:27" ht="13.5" customHeight="1" x14ac:dyDescent="0.2">
      <c r="A22" s="84" t="s">
        <v>528</v>
      </c>
      <c r="B22" s="56"/>
      <c r="C22" s="56"/>
      <c r="D22" s="56"/>
      <c r="E22" s="56"/>
      <c r="F22" s="56"/>
      <c r="G22" s="56"/>
      <c r="H22" s="57"/>
      <c r="I22" s="2062" t="s">
        <v>1415</v>
      </c>
      <c r="J22" s="2063"/>
      <c r="K22" s="2063"/>
      <c r="L22" s="2063"/>
      <c r="M22" s="2063"/>
      <c r="N22" s="2063"/>
      <c r="O22" s="2063"/>
      <c r="P22" s="2063"/>
      <c r="Q22" s="2063"/>
      <c r="R22" s="2063"/>
      <c r="S22" s="2064"/>
      <c r="T22" s="82" t="s">
        <v>1502</v>
      </c>
      <c r="U22" s="48"/>
      <c r="V22" s="69"/>
      <c r="W22" s="48"/>
      <c r="X22" s="155" t="s">
        <v>1309</v>
      </c>
      <c r="Z22" s="43"/>
      <c r="AA22" s="44"/>
    </row>
    <row r="23" spans="1:27" ht="13.5" customHeight="1" x14ac:dyDescent="0.2">
      <c r="A23" s="2058" t="s">
        <v>2026</v>
      </c>
      <c r="B23" s="2059"/>
      <c r="C23" s="2059"/>
      <c r="D23" s="2059"/>
      <c r="E23" s="2059"/>
      <c r="F23" s="2059"/>
      <c r="G23" s="2059"/>
      <c r="H23" s="2060"/>
      <c r="T23" s="1998" t="s">
        <v>2039</v>
      </c>
      <c r="U23" s="1999"/>
      <c r="V23" s="1999"/>
      <c r="W23" s="1999"/>
      <c r="X23" s="2014">
        <v>44530</v>
      </c>
      <c r="Y23" s="2015"/>
      <c r="Z23" s="2015"/>
      <c r="AA23" s="2016"/>
    </row>
    <row r="24" spans="1:27" ht="14.1" customHeight="1" x14ac:dyDescent="0.2">
      <c r="A24" s="85" t="s">
        <v>672</v>
      </c>
      <c r="B24" s="46"/>
      <c r="C24" s="46"/>
      <c r="D24" s="46"/>
      <c r="E24" s="46"/>
      <c r="F24" s="46"/>
      <c r="G24" s="46"/>
      <c r="H24" s="58"/>
      <c r="J24" s="2100" t="str">
        <f>IF(B5="x",IF(AUDITCHECK!D29="AFR form Incomplete.","",IF(AUDITCHECK!D29="Deficit reduction plan is required.","School District must complete a deficit reduction plan in the 2019-2020 Budget",)),"")</f>
        <v/>
      </c>
      <c r="K24" s="2100"/>
      <c r="L24" s="2100"/>
      <c r="M24" s="2100"/>
      <c r="N24" s="2100"/>
      <c r="O24" s="2100"/>
      <c r="P24" s="2100"/>
      <c r="Q24" s="2100"/>
      <c r="R24" s="2100"/>
      <c r="S24" s="2101"/>
      <c r="T24" s="102" t="s">
        <v>528</v>
      </c>
      <c r="U24" s="103"/>
      <c r="V24" s="103"/>
      <c r="W24" s="103"/>
      <c r="X24" s="104"/>
      <c r="Y24" s="104"/>
      <c r="Z24" s="104"/>
      <c r="AA24" s="105"/>
    </row>
    <row r="25" spans="1:27" ht="14.1" customHeight="1" x14ac:dyDescent="0.2">
      <c r="A25" s="2035">
        <v>60441</v>
      </c>
      <c r="B25" s="2036"/>
      <c r="C25" s="2036"/>
      <c r="D25" s="2036"/>
      <c r="E25" s="2036"/>
      <c r="F25" s="2036"/>
      <c r="G25" s="2036"/>
      <c r="H25" s="2037"/>
      <c r="I25" s="110"/>
      <c r="J25" s="2102"/>
      <c r="K25" s="2102"/>
      <c r="L25" s="2102"/>
      <c r="M25" s="2102"/>
      <c r="N25" s="2102"/>
      <c r="O25" s="2102"/>
      <c r="P25" s="2102"/>
      <c r="Q25" s="2102"/>
      <c r="R25" s="2102"/>
      <c r="S25" s="2103"/>
      <c r="T25" s="1995" t="s">
        <v>2040</v>
      </c>
      <c r="U25" s="1996"/>
      <c r="V25" s="1996"/>
      <c r="W25" s="1996"/>
      <c r="X25" s="1996"/>
      <c r="Y25" s="1996"/>
      <c r="Z25" s="1996"/>
      <c r="AA25" s="199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3" t="s">
        <v>1497</v>
      </c>
      <c r="J27" s="2066"/>
      <c r="K27" s="2066"/>
      <c r="L27" s="2066"/>
      <c r="M27" s="2066"/>
      <c r="N27" s="2066"/>
      <c r="O27" s="2066"/>
      <c r="P27" s="2066"/>
      <c r="Q27" s="2066"/>
      <c r="R27" s="2066"/>
      <c r="S27" s="206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2027</v>
      </c>
      <c r="F29" s="137" t="s">
        <v>1307</v>
      </c>
      <c r="G29" s="111"/>
      <c r="I29" s="51"/>
      <c r="J29" s="99"/>
      <c r="K29" s="28" t="s">
        <v>572</v>
      </c>
      <c r="L29" s="144" t="s">
        <v>2027</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2027</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2027</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9"/>
      <c r="Q35" s="2036"/>
      <c r="R35" s="20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8" t="s">
        <v>2028</v>
      </c>
      <c r="B38" s="2068"/>
      <c r="C38" s="2068"/>
      <c r="D38" s="2068"/>
      <c r="E38" s="2068"/>
      <c r="F38" s="2036"/>
      <c r="G38" s="2036"/>
      <c r="H38" s="2037"/>
      <c r="I38" s="2087"/>
      <c r="J38" s="2007"/>
      <c r="K38" s="2007"/>
      <c r="L38" s="2007"/>
      <c r="M38" s="2007"/>
      <c r="N38" s="2007"/>
      <c r="O38" s="2007"/>
      <c r="P38" s="2008"/>
      <c r="Q38" s="2008"/>
      <c r="R38" s="2008"/>
      <c r="S38" s="2009"/>
      <c r="T38" s="2006"/>
      <c r="U38" s="2007"/>
      <c r="V38" s="2007"/>
      <c r="W38" s="2007"/>
      <c r="X38" s="2008"/>
      <c r="Y38" s="2008"/>
      <c r="Z38" s="2008"/>
      <c r="AA38" s="2009"/>
    </row>
    <row r="39" spans="1:27" ht="12" customHeight="1" x14ac:dyDescent="0.2">
      <c r="A39" s="2091" t="s">
        <v>528</v>
      </c>
      <c r="B39" s="2092"/>
      <c r="C39" s="69"/>
      <c r="D39" s="66"/>
      <c r="E39" s="66"/>
      <c r="F39" s="76"/>
      <c r="G39" s="66"/>
      <c r="H39" s="53"/>
      <c r="I39" s="2091" t="s">
        <v>528</v>
      </c>
      <c r="J39" s="2092"/>
      <c r="K39" s="2092"/>
      <c r="L39" s="2092"/>
      <c r="M39" s="2092"/>
      <c r="N39" s="64"/>
      <c r="O39" s="69"/>
      <c r="P39" s="69"/>
      <c r="Q39" s="75"/>
      <c r="R39" s="69"/>
      <c r="S39" s="53"/>
      <c r="T39" s="69" t="s">
        <v>528</v>
      </c>
      <c r="U39" s="48"/>
      <c r="V39" s="69"/>
      <c r="W39" s="47"/>
      <c r="X39" s="75"/>
      <c r="Y39" s="43"/>
      <c r="Z39" s="43"/>
      <c r="AA39" s="44"/>
    </row>
    <row r="40" spans="1:27" ht="13.5" customHeight="1" x14ac:dyDescent="0.2">
      <c r="A40" s="2094" t="s">
        <v>2029</v>
      </c>
      <c r="B40" s="2095"/>
      <c r="C40" s="2096"/>
      <c r="D40" s="2096"/>
      <c r="E40" s="2096"/>
      <c r="F40" s="2097"/>
      <c r="G40" s="2097"/>
      <c r="H40" s="2098"/>
      <c r="I40" s="2010"/>
      <c r="J40" s="2012"/>
      <c r="K40" s="2012"/>
      <c r="L40" s="2012"/>
      <c r="M40" s="2012"/>
      <c r="N40" s="2012"/>
      <c r="O40" s="2012"/>
      <c r="P40" s="2012"/>
      <c r="Q40" s="2012"/>
      <c r="R40" s="2012"/>
      <c r="S40" s="2013"/>
      <c r="T40" s="2010"/>
      <c r="U40" s="2011"/>
      <c r="V40" s="2012"/>
      <c r="W40" s="2012"/>
      <c r="X40" s="2012"/>
      <c r="Y40" s="2012"/>
      <c r="Z40" s="2012"/>
      <c r="AA40" s="201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4" t="s">
        <v>2030</v>
      </c>
      <c r="B42" s="2085"/>
      <c r="C42" s="2086"/>
      <c r="D42" s="2099" t="s">
        <v>2031</v>
      </c>
      <c r="E42" s="2085"/>
      <c r="F42" s="2085"/>
      <c r="G42" s="2085"/>
      <c r="H42" s="2086"/>
      <c r="I42" s="2005"/>
      <c r="J42" s="2001"/>
      <c r="K42" s="2001"/>
      <c r="L42" s="2001"/>
      <c r="M42" s="2001"/>
      <c r="N42" s="2001"/>
      <c r="O42" s="2002"/>
      <c r="P42" s="2000"/>
      <c r="Q42" s="2001"/>
      <c r="R42" s="2001"/>
      <c r="S42" s="2002"/>
      <c r="T42" s="2005"/>
      <c r="U42" s="2001"/>
      <c r="V42" s="2001"/>
      <c r="W42" s="2002"/>
      <c r="X42" s="2000"/>
      <c r="Y42" s="2001"/>
      <c r="Z42" s="2001"/>
      <c r="AA42" s="200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8"/>
      <c r="B44" s="2089"/>
      <c r="C44" s="2089"/>
      <c r="D44" s="2089"/>
      <c r="E44" s="2089"/>
      <c r="F44" s="2089"/>
      <c r="G44" s="2089"/>
      <c r="H44" s="2090"/>
      <c r="I44" s="2080"/>
      <c r="J44" s="2082"/>
      <c r="K44" s="2082"/>
      <c r="L44" s="2082"/>
      <c r="M44" s="2082"/>
      <c r="N44" s="2082"/>
      <c r="O44" s="2082"/>
      <c r="P44" s="2082"/>
      <c r="Q44" s="2082"/>
      <c r="R44" s="2082"/>
      <c r="S44" s="2083"/>
      <c r="T44" s="2080"/>
      <c r="U44" s="2081"/>
      <c r="V44" s="2081"/>
      <c r="W44" s="2081"/>
      <c r="X44" s="2081"/>
      <c r="Y44" s="2081"/>
      <c r="Z44" s="2082"/>
      <c r="AA44" s="208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2"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3"/>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8" t="s">
        <v>625</v>
      </c>
      <c r="B1" s="2249"/>
      <c r="C1" s="585"/>
    </row>
    <row r="2" spans="1:7" ht="33.75" x14ac:dyDescent="0.2">
      <c r="A2" s="2257" t="s">
        <v>1782</v>
      </c>
      <c r="B2" s="2258"/>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1" t="s">
        <v>1106</v>
      </c>
      <c r="B3" s="2262"/>
      <c r="C3" s="2250"/>
      <c r="D3" s="2251"/>
      <c r="E3" s="2251"/>
      <c r="F3" s="2252"/>
    </row>
    <row r="4" spans="1:7" ht="12.75" customHeight="1" thickBot="1" x14ac:dyDescent="0.25">
      <c r="A4" s="2259" t="s">
        <v>626</v>
      </c>
      <c r="B4" s="2260"/>
      <c r="C4" s="1706"/>
      <c r="D4" s="1706"/>
      <c r="E4" s="1706"/>
      <c r="F4" s="1782">
        <f>SUM(C4+D4)-E4</f>
        <v>0</v>
      </c>
    </row>
    <row r="5" spans="1:7" ht="15.75" customHeight="1" thickTop="1" x14ac:dyDescent="0.2">
      <c r="A5" s="2244" t="s">
        <v>1103</v>
      </c>
      <c r="B5" s="2245"/>
      <c r="C5" s="2253"/>
      <c r="D5" s="2254"/>
      <c r="E5" s="2254"/>
      <c r="F5" s="2255"/>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6" t="s">
        <v>627</v>
      </c>
      <c r="B15" s="2247"/>
      <c r="C15" s="1782">
        <f>SUM(C6:C14)</f>
        <v>0</v>
      </c>
      <c r="D15" s="1782">
        <f>SUM(D6:D14)</f>
        <v>0</v>
      </c>
      <c r="E15" s="1782">
        <f>SUM(E6:E14)</f>
        <v>0</v>
      </c>
      <c r="F15" s="1782">
        <f>SUM(F6:F14)</f>
        <v>0</v>
      </c>
      <c r="G15" s="473"/>
    </row>
    <row r="16" spans="1:7" s="197" customFormat="1" ht="15.75" customHeight="1" thickTop="1" x14ac:dyDescent="0.2">
      <c r="A16" s="2256" t="s">
        <v>1104</v>
      </c>
      <c r="B16" s="2245"/>
      <c r="C16" s="2253"/>
      <c r="D16" s="2254"/>
      <c r="E16" s="2254"/>
      <c r="F16" s="2255"/>
    </row>
    <row r="17" spans="1:11" ht="12.75" customHeight="1" thickBot="1" x14ac:dyDescent="0.25">
      <c r="A17" s="2269" t="s">
        <v>64</v>
      </c>
      <c r="B17" s="2270"/>
      <c r="C17" s="1783"/>
      <c r="D17" s="1714"/>
      <c r="E17" s="1783"/>
      <c r="F17" s="1782">
        <f>SUM(C17+D17)-E17</f>
        <v>0</v>
      </c>
    </row>
    <row r="18" spans="1:11" ht="12.75" customHeight="1" thickTop="1" thickBot="1" x14ac:dyDescent="0.25">
      <c r="A18" s="2269" t="s">
        <v>6</v>
      </c>
      <c r="B18" s="2270"/>
      <c r="C18" s="1783"/>
      <c r="D18" s="1714"/>
      <c r="E18" s="1783"/>
      <c r="F18" s="1782">
        <f>SUM(C18+D18)-E18</f>
        <v>0</v>
      </c>
    </row>
    <row r="19" spans="1:11" ht="12.75" customHeight="1" thickTop="1" thickBot="1" x14ac:dyDescent="0.25">
      <c r="A19" s="2269" t="s">
        <v>385</v>
      </c>
      <c r="B19" s="2270"/>
      <c r="C19" s="1783"/>
      <c r="D19" s="1714"/>
      <c r="E19" s="1783"/>
      <c r="F19" s="1782">
        <f>SUM(C19+D19)-E19</f>
        <v>0</v>
      </c>
    </row>
    <row r="20" spans="1:11" ht="12.75" customHeight="1" thickTop="1" thickBot="1" x14ac:dyDescent="0.25">
      <c r="A20" s="2269" t="s">
        <v>445</v>
      </c>
      <c r="B20" s="2270"/>
      <c r="C20" s="1783"/>
      <c r="D20" s="1714"/>
      <c r="E20" s="1783"/>
      <c r="F20" s="1782">
        <f>SUM(C20+D20)-E20</f>
        <v>0</v>
      </c>
    </row>
    <row r="21" spans="1:11" ht="14.25" thickTop="1" thickBot="1" x14ac:dyDescent="0.25">
      <c r="A21" s="2246" t="s">
        <v>628</v>
      </c>
      <c r="B21" s="2247"/>
      <c r="C21" s="1782">
        <f>SUM(C17:C20)</f>
        <v>0</v>
      </c>
      <c r="D21" s="1782">
        <f>SUM(D17:D20)</f>
        <v>0</v>
      </c>
      <c r="E21" s="1782">
        <f>SUM(E17:E20)</f>
        <v>0</v>
      </c>
      <c r="F21" s="1782">
        <f>SUM(F17:F20)</f>
        <v>0</v>
      </c>
      <c r="G21" s="473"/>
    </row>
    <row r="22" spans="1:11" ht="15.75" customHeight="1" thickTop="1" x14ac:dyDescent="0.2">
      <c r="A22" s="2271" t="s">
        <v>1105</v>
      </c>
      <c r="B22" s="2245"/>
      <c r="C22" s="2253"/>
      <c r="D22" s="2254"/>
      <c r="E22" s="2254"/>
      <c r="F22" s="2255"/>
    </row>
    <row r="23" spans="1:11" ht="13.5" thickBot="1" x14ac:dyDescent="0.25">
      <c r="A23" s="2259" t="s">
        <v>629</v>
      </c>
      <c r="B23" s="2260"/>
      <c r="C23" s="1706"/>
      <c r="D23" s="1706"/>
      <c r="E23" s="1706"/>
      <c r="F23" s="1782">
        <f>SUM(C23+D23)-E23</f>
        <v>0</v>
      </c>
      <c r="G23" s="473"/>
    </row>
    <row r="24" spans="1:11" ht="15.75" customHeight="1" thickTop="1" x14ac:dyDescent="0.2">
      <c r="A24" s="2271" t="s">
        <v>2009</v>
      </c>
      <c r="B24" s="2245"/>
      <c r="C24" s="2253"/>
      <c r="D24" s="2254"/>
      <c r="E24" s="2254"/>
      <c r="F24" s="2255"/>
    </row>
    <row r="25" spans="1:11" ht="13.5" thickBot="1" x14ac:dyDescent="0.25">
      <c r="A25" s="2259" t="s">
        <v>2010</v>
      </c>
      <c r="B25" s="2260"/>
      <c r="C25" s="1706"/>
      <c r="D25" s="1706"/>
      <c r="E25" s="1706"/>
      <c r="F25" s="1782">
        <f>SUM(C25+D25)-E25</f>
        <v>0</v>
      </c>
      <c r="G25" s="473"/>
    </row>
    <row r="26" spans="1:11" ht="15.75" customHeight="1" thickTop="1" x14ac:dyDescent="0.2">
      <c r="A26" s="2244" t="s">
        <v>652</v>
      </c>
      <c r="B26" s="2245"/>
      <c r="C26" s="589"/>
      <c r="D26" s="589"/>
      <c r="E26" s="589"/>
      <c r="F26" s="590"/>
    </row>
    <row r="27" spans="1:11" ht="13.5" thickBot="1" x14ac:dyDescent="0.25">
      <c r="A27" s="2246" t="s">
        <v>1063</v>
      </c>
      <c r="B27" s="2247"/>
      <c r="C27" s="1714"/>
      <c r="D27" s="1714"/>
      <c r="E27" s="1714"/>
      <c r="F27" s="1782">
        <f>SUM(C27+D27)-E27</f>
        <v>0</v>
      </c>
      <c r="G27" s="473"/>
    </row>
    <row r="28" spans="1:11" ht="7.5" customHeight="1" thickTop="1" x14ac:dyDescent="0.2">
      <c r="A28" s="489"/>
    </row>
    <row r="29" spans="1:11" ht="23.25" customHeight="1" x14ac:dyDescent="0.2">
      <c r="A29" s="2272" t="s">
        <v>578</v>
      </c>
      <c r="B29" s="2249"/>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2042</v>
      </c>
      <c r="B31" s="595">
        <v>42527</v>
      </c>
      <c r="C31" s="1784">
        <v>2100000</v>
      </c>
      <c r="D31" s="1785">
        <v>6</v>
      </c>
      <c r="E31" s="1784">
        <v>1545000</v>
      </c>
      <c r="F31" s="1784"/>
      <c r="G31" s="1784"/>
      <c r="H31" s="1784">
        <v>200000</v>
      </c>
      <c r="I31" s="1786">
        <f>((E31+F31)-H31)+G31</f>
        <v>1345000</v>
      </c>
      <c r="J31" s="1784">
        <v>1345000</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2100000</v>
      </c>
      <c r="D49" s="1792"/>
      <c r="E49" s="1786">
        <f t="shared" ref="E49:J49" si="2">SUM(E31:E48)</f>
        <v>1545000</v>
      </c>
      <c r="F49" s="1786">
        <f t="shared" si="2"/>
        <v>0</v>
      </c>
      <c r="G49" s="1786">
        <f t="shared" si="2"/>
        <v>0</v>
      </c>
      <c r="H49" s="1786">
        <f t="shared" si="2"/>
        <v>200000</v>
      </c>
      <c r="I49" s="1786">
        <f t="shared" si="2"/>
        <v>1345000</v>
      </c>
      <c r="J49" s="1786">
        <f t="shared" si="2"/>
        <v>1345000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3" t="s">
        <v>580</v>
      </c>
      <c r="C52" s="2264"/>
      <c r="D52" s="2264"/>
      <c r="E52" s="603" t="s">
        <v>840</v>
      </c>
      <c r="F52" s="2265"/>
      <c r="G52" s="2266"/>
      <c r="H52" s="596"/>
      <c r="I52" s="596"/>
      <c r="J52" s="600"/>
    </row>
    <row r="53" spans="1:11" ht="11.25" customHeight="1" x14ac:dyDescent="0.2">
      <c r="A53" s="604" t="s">
        <v>907</v>
      </c>
      <c r="B53" s="605" t="s">
        <v>945</v>
      </c>
      <c r="C53" s="600"/>
      <c r="D53" s="597"/>
      <c r="E53" s="603" t="s">
        <v>494</v>
      </c>
      <c r="F53" s="2267"/>
      <c r="G53" s="2268"/>
      <c r="H53" s="596"/>
      <c r="I53" s="596"/>
      <c r="J53" s="600"/>
    </row>
    <row r="54" spans="1:11" ht="11.25" customHeight="1" x14ac:dyDescent="0.2">
      <c r="A54" s="606" t="s">
        <v>908</v>
      </c>
      <c r="B54" s="601" t="s">
        <v>946</v>
      </c>
      <c r="C54" s="600"/>
      <c r="D54" s="597"/>
      <c r="E54" s="603" t="s">
        <v>495</v>
      </c>
      <c r="F54" s="2267"/>
      <c r="G54" s="226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9" t="s">
        <v>851</v>
      </c>
      <c r="B1" s="2300"/>
      <c r="C1" s="2300"/>
      <c r="D1" s="2300"/>
      <c r="E1" s="2300"/>
      <c r="F1" s="2300"/>
      <c r="G1" s="2301"/>
      <c r="H1" s="1343"/>
      <c r="I1" s="614"/>
      <c r="J1" s="400"/>
    </row>
    <row r="2" spans="1:11" ht="26.25" x14ac:dyDescent="0.2">
      <c r="A2" s="2276" t="s">
        <v>1661</v>
      </c>
      <c r="B2" s="2277"/>
      <c r="C2" s="2277"/>
      <c r="D2" s="2277"/>
      <c r="E2" s="2278"/>
      <c r="F2" s="615" t="s">
        <v>898</v>
      </c>
      <c r="G2" s="616" t="s">
        <v>1658</v>
      </c>
      <c r="H2" s="616" t="s">
        <v>407</v>
      </c>
      <c r="I2" s="616" t="s">
        <v>1150</v>
      </c>
      <c r="J2" s="616" t="s">
        <v>1792</v>
      </c>
      <c r="K2" s="616" t="s">
        <v>137</v>
      </c>
    </row>
    <row r="3" spans="1:11" x14ac:dyDescent="0.2">
      <c r="A3" s="2279" t="str">
        <f>"Cash Basis Fund Balance as of July 1, "&amp;'AFR20'!E2-1</f>
        <v>Cash Basis Fund Balance as of July 1, 2019</v>
      </c>
      <c r="B3" s="2280"/>
      <c r="C3" s="2280"/>
      <c r="D3" s="2280"/>
      <c r="E3" s="2281"/>
      <c r="F3" s="617"/>
      <c r="G3" s="1794"/>
      <c r="H3" s="1794"/>
      <c r="I3" s="1794"/>
      <c r="J3" s="1795"/>
      <c r="K3" s="1795"/>
    </row>
    <row r="4" spans="1:11" x14ac:dyDescent="0.2">
      <c r="A4" s="2282" t="s">
        <v>366</v>
      </c>
      <c r="B4" s="2283"/>
      <c r="C4" s="2283"/>
      <c r="D4" s="2283"/>
      <c r="E4" s="2264"/>
      <c r="F4" s="620"/>
      <c r="G4" s="1796"/>
      <c r="H4" s="1797"/>
      <c r="I4" s="1796"/>
      <c r="J4" s="1798"/>
      <c r="K4" s="1798"/>
    </row>
    <row r="5" spans="1:11" x14ac:dyDescent="0.2">
      <c r="A5" s="2302" t="s">
        <v>1062</v>
      </c>
      <c r="B5" s="2273"/>
      <c r="C5" s="2273"/>
      <c r="D5" s="2273"/>
      <c r="E5" s="2303"/>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02" t="s">
        <v>1793</v>
      </c>
      <c r="B10" s="2273"/>
      <c r="C10" s="2273"/>
      <c r="D10" s="2273"/>
      <c r="E10" s="2304"/>
      <c r="F10" s="633" t="s">
        <v>857</v>
      </c>
      <c r="G10" s="1803"/>
      <c r="H10" s="1804"/>
      <c r="I10" s="1794"/>
      <c r="J10" s="1795"/>
      <c r="K10" s="1795"/>
    </row>
    <row r="11" spans="1:11" x14ac:dyDescent="0.2">
      <c r="A11" s="2302" t="s">
        <v>159</v>
      </c>
      <c r="B11" s="2273"/>
      <c r="C11" s="2273"/>
      <c r="D11" s="2273"/>
      <c r="E11" s="2303"/>
      <c r="F11" s="622" t="s">
        <v>847</v>
      </c>
      <c r="G11" s="1799"/>
      <c r="H11" s="1794"/>
      <c r="I11" s="1794"/>
      <c r="J11" s="1795"/>
      <c r="K11" s="1801"/>
    </row>
    <row r="12" spans="1:11" ht="13.5" thickBot="1" x14ac:dyDescent="0.25">
      <c r="A12" s="2290" t="s">
        <v>899</v>
      </c>
      <c r="B12" s="2291"/>
      <c r="C12" s="2291"/>
      <c r="D12" s="2291"/>
      <c r="E12" s="2292"/>
      <c r="F12" s="1482"/>
      <c r="G12" s="1805">
        <f>SUM(G5:G11)</f>
        <v>0</v>
      </c>
      <c r="H12" s="1805">
        <f>SUM(H5:H11)</f>
        <v>0</v>
      </c>
      <c r="I12" s="1805">
        <f>SUM(I5:I11)</f>
        <v>0</v>
      </c>
      <c r="J12" s="1805">
        <f>SUM(J5:J11)</f>
        <v>0</v>
      </c>
      <c r="K12" s="1805">
        <f>SUM(K5:K11)</f>
        <v>0</v>
      </c>
    </row>
    <row r="13" spans="1:11" ht="13.5" thickTop="1" x14ac:dyDescent="0.2">
      <c r="A13" s="2284" t="s">
        <v>367</v>
      </c>
      <c r="B13" s="2285"/>
      <c r="C13" s="2285"/>
      <c r="D13" s="2285"/>
      <c r="E13" s="2286"/>
      <c r="F13" s="634"/>
      <c r="G13" s="1806"/>
      <c r="H13" s="1807"/>
      <c r="I13" s="1808"/>
      <c r="J13" s="1808"/>
      <c r="K13" s="1808"/>
    </row>
    <row r="14" spans="1:11" x14ac:dyDescent="0.2">
      <c r="A14" s="2308" t="s">
        <v>453</v>
      </c>
      <c r="B14" s="2308"/>
      <c r="C14" s="2308"/>
      <c r="D14" s="2308"/>
      <c r="E14" s="2309"/>
      <c r="F14" s="635" t="s">
        <v>849</v>
      </c>
      <c r="G14" s="1803"/>
      <c r="H14" s="1794"/>
      <c r="I14" s="1799"/>
      <c r="J14" s="1801"/>
      <c r="K14" s="1795"/>
    </row>
    <row r="15" spans="1:11" x14ac:dyDescent="0.2">
      <c r="A15" s="2273" t="s">
        <v>4</v>
      </c>
      <c r="B15" s="2273"/>
      <c r="C15" s="2273"/>
      <c r="D15" s="2273"/>
      <c r="E15" s="2303"/>
      <c r="F15" s="635" t="s">
        <v>850</v>
      </c>
      <c r="G15" s="1799"/>
      <c r="H15" s="1794"/>
      <c r="I15" s="1794"/>
      <c r="J15" s="1795"/>
      <c r="K15" s="1795"/>
    </row>
    <row r="16" spans="1:11" x14ac:dyDescent="0.2">
      <c r="A16" s="2273" t="s">
        <v>295</v>
      </c>
      <c r="B16" s="2273"/>
      <c r="C16" s="2273"/>
      <c r="D16" s="2273"/>
      <c r="E16" s="2303"/>
      <c r="F16" s="635" t="s">
        <v>917</v>
      </c>
      <c r="G16" s="1800"/>
      <c r="H16" s="1796"/>
      <c r="I16" s="1796"/>
      <c r="J16" s="1798"/>
      <c r="K16" s="1798"/>
    </row>
    <row r="17" spans="1:15" x14ac:dyDescent="0.2">
      <c r="A17" s="2297" t="s">
        <v>929</v>
      </c>
      <c r="B17" s="2297"/>
      <c r="C17" s="2297"/>
      <c r="D17" s="2297"/>
      <c r="E17" s="2298"/>
      <c r="F17" s="636"/>
      <c r="G17" s="1809"/>
      <c r="H17" s="1810"/>
      <c r="I17" s="1810"/>
      <c r="J17" s="1811"/>
      <c r="K17" s="1812"/>
    </row>
    <row r="18" spans="1:15" x14ac:dyDescent="0.2">
      <c r="A18" s="2287" t="s">
        <v>365</v>
      </c>
      <c r="B18" s="2288"/>
      <c r="C18" s="2288"/>
      <c r="D18" s="2288"/>
      <c r="E18" s="2289"/>
      <c r="F18" s="635" t="s">
        <v>926</v>
      </c>
      <c r="G18" s="1803"/>
      <c r="H18" s="1803"/>
      <c r="I18" s="1803"/>
      <c r="J18" s="1795"/>
      <c r="K18" s="1813"/>
    </row>
    <row r="19" spans="1:15" ht="21.75" customHeight="1" x14ac:dyDescent="0.2">
      <c r="A19" s="2310" t="s">
        <v>1789</v>
      </c>
      <c r="B19" s="2310"/>
      <c r="C19" s="2310"/>
      <c r="D19" s="2310"/>
      <c r="E19" s="2311"/>
      <c r="F19" s="635" t="s">
        <v>927</v>
      </c>
      <c r="G19" s="1803"/>
      <c r="H19" s="1803"/>
      <c r="I19" s="1803"/>
      <c r="J19" s="1795"/>
      <c r="K19" s="1813"/>
    </row>
    <row r="20" spans="1:15" x14ac:dyDescent="0.2">
      <c r="A20" s="2287" t="s">
        <v>1794</v>
      </c>
      <c r="B20" s="2288"/>
      <c r="C20" s="2288"/>
      <c r="D20" s="2288"/>
      <c r="E20" s="2289"/>
      <c r="F20" s="635" t="s">
        <v>928</v>
      </c>
      <c r="G20" s="1803"/>
      <c r="H20" s="1803"/>
      <c r="I20" s="1803"/>
      <c r="J20" s="1795"/>
      <c r="K20" s="1813"/>
    </row>
    <row r="21" spans="1:15" ht="13.5" thickBot="1" x14ac:dyDescent="0.25">
      <c r="A21" s="2293" t="s">
        <v>633</v>
      </c>
      <c r="B21" s="2293"/>
      <c r="C21" s="2293"/>
      <c r="D21" s="2293"/>
      <c r="E21" s="2293"/>
      <c r="F21" s="1483"/>
      <c r="G21" s="1810"/>
      <c r="H21" s="1814"/>
      <c r="I21" s="1814"/>
      <c r="J21" s="1815">
        <f>SUM(J18:J20)</f>
        <v>0</v>
      </c>
      <c r="K21" s="1811"/>
    </row>
    <row r="22" spans="1:15" ht="13.5" thickTop="1" x14ac:dyDescent="0.2">
      <c r="A22" s="2273" t="s">
        <v>1795</v>
      </c>
      <c r="B22" s="2273"/>
      <c r="C22" s="2273"/>
      <c r="D22" s="2273"/>
      <c r="E22" s="2303"/>
      <c r="F22" s="635" t="s">
        <v>857</v>
      </c>
      <c r="G22" s="1803"/>
      <c r="H22" s="1794"/>
      <c r="I22" s="1794"/>
      <c r="J22" s="1816"/>
      <c r="K22" s="1795"/>
    </row>
    <row r="23" spans="1:15" ht="13.5" thickBot="1" x14ac:dyDescent="0.25">
      <c r="A23" s="2294" t="s">
        <v>900</v>
      </c>
      <c r="B23" s="2293"/>
      <c r="C23" s="2293"/>
      <c r="D23" s="2293"/>
      <c r="E23" s="2293"/>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295" t="str">
        <f>"Ending Cash Basis Fund Balance as of June 30, "&amp;'AFR20'!E2</f>
        <v>Ending Cash Basis Fund Balance as of June 30, 2020</v>
      </c>
      <c r="B24" s="2296"/>
      <c r="C24" s="2296"/>
      <c r="D24" s="2296"/>
      <c r="E24" s="2296"/>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5"/>
      <c r="I31" s="2306"/>
      <c r="J31" s="2306"/>
      <c r="K31" s="2306"/>
    </row>
    <row r="32" spans="1:15" x14ac:dyDescent="0.2">
      <c r="A32" s="649"/>
      <c r="B32" s="232"/>
      <c r="C32" s="232"/>
      <c r="D32" s="232"/>
      <c r="E32" s="645"/>
      <c r="F32" s="651" t="s">
        <v>537</v>
      </c>
      <c r="G32" s="618"/>
      <c r="H32" s="2307"/>
      <c r="I32" s="2306"/>
      <c r="J32" s="2306"/>
      <c r="K32" s="2306"/>
    </row>
    <row r="33" spans="1:11" ht="1.5" customHeight="1" x14ac:dyDescent="0.2">
      <c r="A33" s="652" t="s">
        <v>1161</v>
      </c>
      <c r="B33" s="341"/>
      <c r="C33" s="341"/>
      <c r="D33" s="341"/>
      <c r="E33" s="341"/>
      <c r="F33" s="341"/>
      <c r="G33" s="653"/>
      <c r="H33" s="2307"/>
      <c r="I33" s="2306"/>
      <c r="J33" s="2306"/>
      <c r="K33" s="230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3" t="s">
        <v>538</v>
      </c>
      <c r="B41" s="2274"/>
      <c r="C41" s="2274"/>
      <c r="D41" s="2274"/>
      <c r="E41" s="2274"/>
      <c r="F41" s="227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9" sqref="C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4" t="s">
        <v>1878</v>
      </c>
      <c r="B1" s="2315"/>
      <c r="C1" s="2316"/>
      <c r="D1" s="666"/>
      <c r="E1" s="667"/>
      <c r="F1" s="667"/>
      <c r="G1" s="668"/>
      <c r="H1" s="669"/>
      <c r="I1" s="670"/>
      <c r="J1" s="2312"/>
      <c r="K1" s="2313"/>
      <c r="L1" s="2313"/>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90524</v>
      </c>
      <c r="D5" s="1820"/>
      <c r="E5" s="1820"/>
      <c r="F5" s="1815">
        <f>(C5+D5)-E5</f>
        <v>90524</v>
      </c>
      <c r="G5" s="676"/>
      <c r="H5" s="680"/>
      <c r="I5" s="680"/>
      <c r="J5" s="680"/>
      <c r="K5" s="637"/>
      <c r="L5" s="1491">
        <f>F5-K5</f>
        <v>90524</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8068865</v>
      </c>
      <c r="D8" s="1821"/>
      <c r="E8" s="1821"/>
      <c r="F8" s="1815">
        <f>(C8+D8)-E8</f>
        <v>8068865</v>
      </c>
      <c r="G8" s="681">
        <v>50</v>
      </c>
      <c r="H8" s="619">
        <v>3514635</v>
      </c>
      <c r="I8" s="619">
        <v>169401</v>
      </c>
      <c r="J8" s="619"/>
      <c r="K8" s="1491">
        <f>(H8+I8)-J8</f>
        <v>3684036</v>
      </c>
      <c r="L8" s="1491">
        <f>F8-K8</f>
        <v>4384829</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36010</v>
      </c>
      <c r="D12" s="1821"/>
      <c r="E12" s="1821"/>
      <c r="F12" s="1815">
        <f>(C12+D12)-E12</f>
        <v>36010</v>
      </c>
      <c r="G12" s="681">
        <v>10</v>
      </c>
      <c r="H12" s="619">
        <v>34497</v>
      </c>
      <c r="I12" s="619">
        <v>505</v>
      </c>
      <c r="J12" s="619"/>
      <c r="K12" s="1491">
        <f>(H12+I12)-J12</f>
        <v>35002</v>
      </c>
      <c r="L12" s="1491">
        <f>F12-K12</f>
        <v>1008</v>
      </c>
    </row>
    <row r="13" spans="1:14" ht="14.25" thickTop="1" thickBot="1" x14ac:dyDescent="0.25">
      <c r="A13" s="684" t="s">
        <v>1114</v>
      </c>
      <c r="B13" s="679">
        <v>252</v>
      </c>
      <c r="C13" s="1821">
        <v>1631855</v>
      </c>
      <c r="D13" s="1821">
        <v>195706</v>
      </c>
      <c r="E13" s="1821"/>
      <c r="F13" s="1815">
        <f>(C13+D13)-E13</f>
        <v>1827561</v>
      </c>
      <c r="G13" s="681">
        <v>5</v>
      </c>
      <c r="H13" s="619">
        <v>1464937</v>
      </c>
      <c r="I13" s="619">
        <v>83302</v>
      </c>
      <c r="J13" s="619"/>
      <c r="K13" s="1491">
        <f>(H13+I13)-J13</f>
        <v>1548239</v>
      </c>
      <c r="L13" s="1491">
        <f>F13-K13</f>
        <v>279322</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9827254</v>
      </c>
      <c r="D16" s="1815">
        <f>SUM(D3,D5:D6,D8:D10,D12:D15)</f>
        <v>195706</v>
      </c>
      <c r="E16" s="1815">
        <f>SUM(E3,E5:E6,E8:E10,E12:E15)</f>
        <v>0</v>
      </c>
      <c r="F16" s="1815">
        <f>SUM(F3,F5:F6,F8:F10,F12:F15)</f>
        <v>10022960</v>
      </c>
      <c r="G16" s="681"/>
      <c r="H16" s="1484">
        <f>SUM(H3,H6,H8:H10,H12:H14,)</f>
        <v>5014069</v>
      </c>
      <c r="I16" s="1484">
        <f>SUM(I3,I6,I8:I10,I12:I14,)</f>
        <v>253208</v>
      </c>
      <c r="J16" s="1484">
        <f>SUM(J3,J6,J8:J10,J12:J14,)</f>
        <v>0</v>
      </c>
      <c r="K16" s="1484">
        <f>(H16+I16)-J16</f>
        <v>5267277</v>
      </c>
      <c r="L16" s="1484">
        <f>F16-K16</f>
        <v>4755683</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253208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K42" sqref="K4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0" t="str">
        <f>"ESTIMATED OPERATING EXPENSE PER PUPIL (OEPP)/PER CAPITA TUITION CHARGE (PCTC) COMPUTATIONS ("&amp;'AFR20'!E2-1&amp;" - "&amp;'AFR20'!E2&amp;")"</f>
        <v>ESTIMATED OPERATING EXPENSE PER PUPIL (OEPP)/PER CAPITA TUITION CHARGE (PCTC) COMPUTATIONS (2019 - 2020)</v>
      </c>
      <c r="B1" s="2321"/>
      <c r="C1" s="2321"/>
      <c r="D1" s="2321"/>
      <c r="E1" s="2321"/>
      <c r="F1" s="2322"/>
      <c r="G1" s="691"/>
      <c r="I1" s="701"/>
    </row>
    <row r="2" spans="1:9" ht="15" customHeight="1" thickBot="1" x14ac:dyDescent="0.25">
      <c r="A2" s="2323" t="s">
        <v>474</v>
      </c>
      <c r="B2" s="2324"/>
      <c r="C2" s="2324"/>
      <c r="D2" s="2324"/>
      <c r="E2" s="2324"/>
      <c r="F2" s="232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6"/>
      <c r="B5" s="2327"/>
      <c r="C5" s="2327"/>
      <c r="D5" s="2327"/>
      <c r="E5" s="2327"/>
      <c r="F5" s="2327"/>
    </row>
    <row r="6" spans="1:9" ht="13.5" customHeight="1" thickBot="1" x14ac:dyDescent="0.25">
      <c r="A6" s="2317" t="s">
        <v>1097</v>
      </c>
      <c r="B6" s="2318"/>
      <c r="C6" s="2318"/>
      <c r="D6" s="2318"/>
      <c r="E6" s="2318"/>
      <c r="F6" s="231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4079262</v>
      </c>
      <c r="G8" s="701"/>
    </row>
    <row r="9" spans="1:9" x14ac:dyDescent="0.2">
      <c r="A9" s="705" t="s">
        <v>457</v>
      </c>
      <c r="B9" s="706" t="s">
        <v>1851</v>
      </c>
      <c r="C9" s="707"/>
      <c r="D9" s="705" t="s">
        <v>498</v>
      </c>
      <c r="E9" s="704"/>
      <c r="F9" s="1825">
        <f>'Expenditures 15-22'!K151</f>
        <v>0</v>
      </c>
      <c r="G9" s="708"/>
    </row>
    <row r="10" spans="1:9" x14ac:dyDescent="0.2">
      <c r="A10" s="705" t="s">
        <v>496</v>
      </c>
      <c r="B10" s="706" t="s">
        <v>1852</v>
      </c>
      <c r="C10" s="707"/>
      <c r="D10" s="705" t="s">
        <v>498</v>
      </c>
      <c r="E10" s="704"/>
      <c r="F10" s="1825">
        <f>'Expenditures 15-22'!K174</f>
        <v>240088</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4319350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5310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0</v>
      </c>
      <c r="G53" s="701"/>
    </row>
    <row r="54" spans="1:7" x14ac:dyDescent="0.2">
      <c r="A54" s="705" t="s">
        <v>456</v>
      </c>
      <c r="B54" s="705" t="s">
        <v>1462</v>
      </c>
      <c r="C54" s="724" t="s">
        <v>975</v>
      </c>
      <c r="D54" s="720" t="s">
        <v>1088</v>
      </c>
      <c r="E54" s="704"/>
      <c r="F54" s="1832">
        <f>'Expenditures 15-22'!G114</f>
        <v>511950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200000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717260</v>
      </c>
      <c r="G77" s="701"/>
    </row>
    <row r="78" spans="1:9" s="728" customFormat="1" ht="12" customHeight="1" thickTop="1" thickBot="1" x14ac:dyDescent="0.25">
      <c r="A78" s="1499"/>
      <c r="B78" s="1497"/>
      <c r="C78" s="1494"/>
      <c r="D78" s="1498" t="s">
        <v>2015</v>
      </c>
      <c r="E78" s="1496"/>
      <c r="F78" s="1838">
        <f>(F14-F77)</f>
        <v>3602090</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17" t="s">
        <v>1098</v>
      </c>
      <c r="B82" s="2318"/>
      <c r="C82" s="2318"/>
      <c r="D82" s="2318"/>
      <c r="E82" s="2318"/>
      <c r="F82" s="231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34981</v>
      </c>
      <c r="G96" s="745"/>
    </row>
    <row r="97" spans="1:7" x14ac:dyDescent="0.2">
      <c r="A97" s="741" t="s">
        <v>456</v>
      </c>
      <c r="B97" s="741" t="s">
        <v>175</v>
      </c>
      <c r="C97" s="743">
        <f>'Revenues 9-14'!B84</f>
        <v>1811</v>
      </c>
      <c r="D97" s="744" t="str">
        <f>'Revenues 9-14'!A84</f>
        <v>Rentals - Regular Textbooks</v>
      </c>
      <c r="E97" s="739"/>
      <c r="F97" s="1843">
        <f>'Revenues 9-14'!C84</f>
        <v>7920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240088</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599629</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129973</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c r="G172" s="760"/>
    </row>
    <row r="173" spans="1:7" x14ac:dyDescent="0.2">
      <c r="A173" s="1579" t="s">
        <v>659</v>
      </c>
      <c r="B173" s="1580" t="s">
        <v>1888</v>
      </c>
      <c r="C173" s="1581">
        <v>3300</v>
      </c>
      <c r="D173" s="1582" t="s">
        <v>1891</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1012591</v>
      </c>
    </row>
    <row r="176" spans="1:7" ht="12" customHeight="1" x14ac:dyDescent="0.2">
      <c r="A176" s="1492"/>
      <c r="B176" s="1502"/>
      <c r="C176" s="1503"/>
      <c r="D176" s="1504" t="s">
        <v>2017</v>
      </c>
      <c r="E176" s="1505"/>
      <c r="F176" s="1843">
        <f>'PCTC-OEPP 27-28'!F78-F175</f>
        <v>2589499</v>
      </c>
    </row>
    <row r="177" spans="1:9" ht="12" customHeight="1" x14ac:dyDescent="0.2">
      <c r="A177" s="1492"/>
      <c r="B177" s="1502"/>
      <c r="C177" s="1503"/>
      <c r="D177" s="1504" t="s">
        <v>1797</v>
      </c>
      <c r="E177" s="1505"/>
      <c r="F177" s="1843">
        <f>'Cap Outlay Deprec 26'!I18</f>
        <v>253208</v>
      </c>
    </row>
    <row r="178" spans="1:9" ht="12" customHeight="1" x14ac:dyDescent="0.2">
      <c r="A178" s="1492"/>
      <c r="B178" s="1502"/>
      <c r="C178" s="1503"/>
      <c r="D178" s="1504" t="s">
        <v>2018</v>
      </c>
      <c r="E178" s="1505"/>
      <c r="F178" s="1843">
        <f>F176+F177</f>
        <v>2842707</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7" zoomScaleNormal="100" workbookViewId="0">
      <selection activeCell="D24" sqref="D24"/>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1" t="s">
        <v>1798</v>
      </c>
      <c r="B4" s="2332"/>
      <c r="C4" s="2332"/>
      <c r="D4" s="2332"/>
      <c r="E4" s="2332"/>
      <c r="F4" s="2333"/>
    </row>
    <row r="5" spans="1:6" x14ac:dyDescent="0.25">
      <c r="A5" s="2334"/>
      <c r="B5" s="2335"/>
      <c r="C5" s="2335"/>
      <c r="D5" s="2335"/>
      <c r="E5" s="2335"/>
      <c r="F5" s="2336"/>
    </row>
    <row r="6" spans="1:6" ht="18.75" x14ac:dyDescent="0.25">
      <c r="A6" s="1930" t="s">
        <v>1799</v>
      </c>
      <c r="B6" s="1931"/>
      <c r="C6" s="1932"/>
      <c r="D6" s="1932"/>
      <c r="E6" s="1932"/>
      <c r="F6" s="1933"/>
    </row>
    <row r="7" spans="1:6" ht="47.25" customHeight="1" x14ac:dyDescent="0.25">
      <c r="A7" s="2337" t="s">
        <v>1988</v>
      </c>
      <c r="B7" s="2338"/>
      <c r="C7" s="2338"/>
      <c r="D7" s="2338"/>
      <c r="E7" s="2338"/>
      <c r="F7" s="2339"/>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40" t="s">
        <v>1984</v>
      </c>
      <c r="B10" s="2341"/>
      <c r="C10" s="2341"/>
      <c r="D10" s="2341"/>
      <c r="E10" s="2341"/>
      <c r="F10" s="2342"/>
    </row>
    <row r="11" spans="1:6" ht="33" customHeight="1" x14ac:dyDescent="0.25">
      <c r="A11" s="2337" t="s">
        <v>1989</v>
      </c>
      <c r="B11" s="2338"/>
      <c r="C11" s="2338"/>
      <c r="D11" s="2338"/>
      <c r="E11" s="2338"/>
      <c r="F11" s="2339"/>
    </row>
    <row r="12" spans="1:6" ht="15" customHeight="1" x14ac:dyDescent="0.25">
      <c r="A12" s="1936" t="s">
        <v>1985</v>
      </c>
      <c r="B12" s="1937"/>
      <c r="C12" s="1938"/>
      <c r="D12" s="1938"/>
      <c r="E12" s="1938"/>
      <c r="F12" s="1939"/>
    </row>
    <row r="13" spans="1:6" ht="17.25" customHeight="1" x14ac:dyDescent="0.25">
      <c r="A13" s="2337" t="s">
        <v>1986</v>
      </c>
      <c r="B13" s="2338"/>
      <c r="C13" s="2338"/>
      <c r="D13" s="2338"/>
      <c r="E13" s="2338"/>
      <c r="F13" s="2339"/>
    </row>
    <row r="14" spans="1:6" ht="15" customHeight="1" x14ac:dyDescent="0.25">
      <c r="A14" s="1936" t="s">
        <v>1803</v>
      </c>
      <c r="B14" s="1937"/>
      <c r="C14" s="1938"/>
      <c r="D14" s="1938"/>
      <c r="E14" s="1938"/>
      <c r="F14" s="1939"/>
    </row>
    <row r="15" spans="1:6" ht="32.25" customHeight="1" x14ac:dyDescent="0.25">
      <c r="A15" s="232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9"/>
      <c r="C15" s="2329"/>
      <c r="D15" s="2329"/>
      <c r="E15" s="2329"/>
      <c r="F15" s="2330"/>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2" t="s">
        <v>2047</v>
      </c>
      <c r="B18" s="1971">
        <v>102520300</v>
      </c>
      <c r="C18" s="1989" t="s">
        <v>2048</v>
      </c>
      <c r="D18" s="1949">
        <v>900</v>
      </c>
      <c r="E18" s="1969">
        <f t="shared" ref="E18:E81" si="0">IF(D18&lt;25000,D18,"25,000")</f>
        <v>900</v>
      </c>
      <c r="F18" s="1969" t="str">
        <f t="shared" ref="F18:F81" si="1">IF(D18&gt;=25000,(D18-E18),"0")</f>
        <v>0</v>
      </c>
      <c r="G18" s="1950"/>
    </row>
    <row r="19" spans="1:7" x14ac:dyDescent="0.25">
      <c r="A19" s="1951" t="s">
        <v>2049</v>
      </c>
      <c r="B19" s="1971">
        <v>102540300</v>
      </c>
      <c r="C19" s="1990" t="s">
        <v>2050</v>
      </c>
      <c r="D19" s="1949">
        <v>2000</v>
      </c>
      <c r="E19" s="1969">
        <f t="shared" si="0"/>
        <v>2000</v>
      </c>
      <c r="F19" s="1969" t="str">
        <f t="shared" si="1"/>
        <v>0</v>
      </c>
    </row>
    <row r="20" spans="1:7" x14ac:dyDescent="0.25">
      <c r="A20" s="1951" t="s">
        <v>2049</v>
      </c>
      <c r="B20" s="1971">
        <v>102540300</v>
      </c>
      <c r="C20" s="1990" t="s">
        <v>2053</v>
      </c>
      <c r="D20" s="1949">
        <v>12036</v>
      </c>
      <c r="E20" s="1969">
        <f t="shared" si="0"/>
        <v>12036</v>
      </c>
      <c r="F20" s="1969" t="str">
        <f t="shared" si="1"/>
        <v>0</v>
      </c>
    </row>
    <row r="21" spans="1:7" x14ac:dyDescent="0.25">
      <c r="A21" s="1951" t="s">
        <v>2049</v>
      </c>
      <c r="B21" s="1971">
        <v>102540300</v>
      </c>
      <c r="C21" s="1990" t="s">
        <v>2051</v>
      </c>
      <c r="D21" s="1949">
        <f>164.97*4</f>
        <v>659.88</v>
      </c>
      <c r="E21" s="1969">
        <f t="shared" si="0"/>
        <v>659.88</v>
      </c>
      <c r="F21" s="1969" t="str">
        <f t="shared" si="1"/>
        <v>0</v>
      </c>
    </row>
    <row r="22" spans="1:7" x14ac:dyDescent="0.25">
      <c r="A22" s="1951" t="s">
        <v>2049</v>
      </c>
      <c r="B22" s="1971">
        <v>102540300</v>
      </c>
      <c r="C22" s="1990" t="s">
        <v>2052</v>
      </c>
      <c r="D22" s="1949">
        <v>2998</v>
      </c>
      <c r="E22" s="1969">
        <f t="shared" si="0"/>
        <v>2998</v>
      </c>
      <c r="F22" s="1969" t="str">
        <f t="shared" si="1"/>
        <v>0</v>
      </c>
    </row>
    <row r="23" spans="1:7" x14ac:dyDescent="0.25">
      <c r="A23" s="1951" t="s">
        <v>2049</v>
      </c>
      <c r="B23" s="1971">
        <v>102540300</v>
      </c>
      <c r="C23" s="1990" t="s">
        <v>2054</v>
      </c>
      <c r="D23" s="1949">
        <v>56241</v>
      </c>
      <c r="E23" s="1969" t="str">
        <f t="shared" si="0"/>
        <v>25,000</v>
      </c>
      <c r="F23" s="1969">
        <f t="shared" si="1"/>
        <v>31241</v>
      </c>
    </row>
    <row r="24" spans="1:7" x14ac:dyDescent="0.25">
      <c r="A24" s="1951" t="s">
        <v>2049</v>
      </c>
      <c r="B24" s="1971">
        <v>102540300</v>
      </c>
      <c r="C24" s="1990" t="s">
        <v>2055</v>
      </c>
      <c r="D24" s="1949">
        <f>297*4</f>
        <v>1188</v>
      </c>
      <c r="E24" s="1969">
        <f t="shared" si="0"/>
        <v>1188</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76022.880000000005</v>
      </c>
      <c r="E142" s="1956">
        <f>SUM(E18:E141)</f>
        <v>19781.879999999997</v>
      </c>
      <c r="F142" s="1957">
        <f>SUM(F18:F141)</f>
        <v>31241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E43" sqref="E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3" t="s">
        <v>1663</v>
      </c>
      <c r="B5" s="2344"/>
      <c r="C5" s="2344"/>
      <c r="D5" s="2344"/>
      <c r="E5" s="2344"/>
      <c r="F5" s="2344"/>
      <c r="G5" s="2345"/>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9"/>
      <c r="C11" s="2349"/>
      <c r="D11" s="2350"/>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2153185</v>
      </c>
      <c r="F19" s="1852"/>
      <c r="G19" s="1854">
        <f>'Expenditures 15-22'!K33-SUM('Expenditures 15-22'!G33,'Expenditures 15-22'!I33)+'Expenditures 15-22'!D229</f>
        <v>2153185</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254859</v>
      </c>
      <c r="F21" s="1855"/>
      <c r="G21" s="1858">
        <f>'Expenditures 15-22'!K42-SUM('Expenditures 15-22'!G42,'Expenditures 15-22'!I42)+'Expenditures 15-22'!K120-SUM('Expenditures 15-22'!G120,'Expenditures 15-22'!I120)+'Expenditures 15-22'!K180-SUM('Expenditures 15-22'!G180,'Expenditures 15-22'!I180)+'Expenditures 15-22'!D238</f>
        <v>254859</v>
      </c>
      <c r="H21" s="817"/>
      <c r="I21" s="157"/>
    </row>
    <row r="22" spans="1:9" s="542" customFormat="1" ht="12" customHeight="1" x14ac:dyDescent="0.2">
      <c r="A22" s="824" t="s">
        <v>560</v>
      </c>
      <c r="B22" s="825"/>
      <c r="C22" s="823">
        <v>2200</v>
      </c>
      <c r="D22" s="1855"/>
      <c r="E22" s="1857">
        <f>'Expenditures 15-22'!K47-SUM('Expenditures 15-22'!G47,'Expenditures 15-22'!I47)+'Expenditures 15-22'!D243</f>
        <v>266518</v>
      </c>
      <c r="F22" s="1855"/>
      <c r="G22" s="1858">
        <f>'Expenditures 15-22'!K47-SUM('Expenditures 15-22'!G47,'Expenditures 15-22'!I47)+'Expenditures 15-22'!D243</f>
        <v>266518</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257865</v>
      </c>
      <c r="F23" s="1855"/>
      <c r="G23" s="1857">
        <f>'Expenditures 15-22'!K53-SUM('Expenditures 15-22'!G53,'Expenditures 15-22'!I53)+'Expenditures 15-22'!D257+'Expenditures 15-22'!K330-SUM('Expenditures 15-22'!G330,'Expenditures 15-22'!I330)</f>
        <v>257865</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94722</v>
      </c>
      <c r="E27" s="1857">
        <f>E8</f>
        <v>0</v>
      </c>
      <c r="F27" s="1857">
        <f>'Expenditures 15-22'!K60-SUM('Expenditures 15-22'!G60,'Expenditures 15-22'!I60)+'Expenditures 15-22'!D264-E8</f>
        <v>94722</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540163</v>
      </c>
      <c r="F28" s="1859">
        <f>'Expenditures 15-22'!K61-SUM('Expenditures 15-22'!G61,'Expenditures 15-22'!I61)+'Expenditures 15-22'!K124-SUM('Expenditures 15-22'!G124,'Expenditures 15-22'!I124)+'Expenditures 15-22'!D266-E9</f>
        <v>540163</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-31241</v>
      </c>
      <c r="F40" s="1855"/>
      <c r="G40" s="1859">
        <f>-'Contracts Paid in CY 29'!F142</f>
        <v>-31241</v>
      </c>
    </row>
    <row r="41" spans="1:7" ht="12" customHeight="1" x14ac:dyDescent="0.2">
      <c r="A41" s="828" t="s">
        <v>155</v>
      </c>
      <c r="B41" s="829"/>
      <c r="C41" s="830"/>
      <c r="D41" s="1859">
        <f>SUM(D19:D39)</f>
        <v>94722</v>
      </c>
      <c r="E41" s="1859">
        <f>SUM(E19:E40)</f>
        <v>3441349</v>
      </c>
      <c r="F41" s="1859">
        <f>SUM(F19:F39)</f>
        <v>634885</v>
      </c>
      <c r="G41" s="1859">
        <f>SUM(G19:G40)</f>
        <v>2901186</v>
      </c>
    </row>
    <row r="42" spans="1:7" x14ac:dyDescent="0.2">
      <c r="A42" s="817"/>
      <c r="B42" s="157"/>
      <c r="C42" s="831"/>
      <c r="D42" s="2346" t="s">
        <v>519</v>
      </c>
      <c r="E42" s="2347"/>
      <c r="F42" s="832" t="s">
        <v>520</v>
      </c>
      <c r="G42" s="833"/>
    </row>
    <row r="43" spans="1:7" ht="12" customHeight="1" x14ac:dyDescent="0.2">
      <c r="A43" s="817"/>
      <c r="B43" s="157"/>
      <c r="C43" s="831"/>
      <c r="D43" s="1507" t="s">
        <v>470</v>
      </c>
      <c r="E43" s="1860">
        <f>D41</f>
        <v>94722</v>
      </c>
      <c r="F43" s="1507" t="s">
        <v>470</v>
      </c>
      <c r="G43" s="1860">
        <f>F41</f>
        <v>634885</v>
      </c>
    </row>
    <row r="44" spans="1:7" ht="12" customHeight="1" x14ac:dyDescent="0.2">
      <c r="A44" s="817"/>
      <c r="B44" s="157"/>
      <c r="C44" s="831"/>
      <c r="D44" s="1507" t="s">
        <v>471</v>
      </c>
      <c r="E44" s="1860">
        <f>E41</f>
        <v>3441349</v>
      </c>
      <c r="F44" s="1507" t="s">
        <v>471</v>
      </c>
      <c r="G44" s="1860">
        <f>G41</f>
        <v>2901186</v>
      </c>
    </row>
    <row r="45" spans="1:7" ht="12" customHeight="1" x14ac:dyDescent="0.2">
      <c r="A45" s="817"/>
      <c r="B45" s="157"/>
      <c r="C45" s="157"/>
      <c r="D45" s="1508" t="s">
        <v>999</v>
      </c>
      <c r="E45" s="1861">
        <f>(E43/E44)</f>
        <v>2.7524671284429449E-2</v>
      </c>
      <c r="F45" s="1508" t="s">
        <v>999</v>
      </c>
      <c r="G45" s="1861">
        <f>(G43/G44)</f>
        <v>0.2188363655415406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A38" sqref="A38:F38"/>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4" t="s">
        <v>1365</v>
      </c>
      <c r="B1" s="2354"/>
      <c r="C1" s="2354"/>
      <c r="D1" s="2354"/>
      <c r="E1" s="2354"/>
      <c r="F1" s="2354"/>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5" t="s">
        <v>1532</v>
      </c>
      <c r="B5" s="2356"/>
      <c r="C5" s="2357"/>
      <c r="D5" s="2357"/>
      <c r="E5" s="2357"/>
      <c r="F5" s="2357"/>
      <c r="G5" s="1556"/>
      <c r="L5" s="1556"/>
      <c r="M5" s="1913"/>
      <c r="N5" s="1913"/>
      <c r="O5" s="1913"/>
    </row>
    <row r="6" spans="1:15" ht="12" customHeight="1" x14ac:dyDescent="0.25">
      <c r="A6" s="1529"/>
      <c r="B6" s="1530"/>
      <c r="C6" s="2358" t="str">
        <f>COVER!A17</f>
        <v>Wilco Area Career Center</v>
      </c>
      <c r="D6" s="2358"/>
      <c r="E6" s="2358"/>
      <c r="F6" s="1531"/>
      <c r="G6" s="1556"/>
      <c r="L6" s="1556"/>
      <c r="M6" s="1913"/>
      <c r="N6" s="1913"/>
      <c r="O6" s="1913"/>
    </row>
    <row r="7" spans="1:15" ht="11.25" customHeight="1" thickBot="1" x14ac:dyDescent="0.3">
      <c r="A7" s="1529"/>
      <c r="B7" s="1530"/>
      <c r="C7" s="2359">
        <f>COVER!A13</f>
        <v>56000000040</v>
      </c>
      <c r="D7" s="2359"/>
      <c r="E7" s="2359"/>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t="s">
        <v>2027</v>
      </c>
      <c r="D13" s="1544" t="s">
        <v>2027</v>
      </c>
      <c r="E13" s="1547"/>
      <c r="F13" s="1546" t="s">
        <v>2043</v>
      </c>
      <c r="G13" s="1556"/>
      <c r="H13" s="1556">
        <f t="shared" si="0"/>
        <v>5</v>
      </c>
      <c r="I13" s="1556">
        <f t="shared" si="1"/>
        <v>5</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t="s">
        <v>2027</v>
      </c>
      <c r="D15" s="1544" t="s">
        <v>2027</v>
      </c>
      <c r="E15" s="1547"/>
      <c r="F15" s="1546" t="s">
        <v>2044</v>
      </c>
      <c r="G15" s="1556"/>
      <c r="H15" s="1556">
        <f t="shared" si="0"/>
        <v>5</v>
      </c>
      <c r="I15" s="1556">
        <f t="shared" si="1"/>
        <v>5</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t="s">
        <v>2027</v>
      </c>
      <c r="D19" s="1544" t="s">
        <v>2027</v>
      </c>
      <c r="E19" s="1547"/>
      <c r="F19" s="1546" t="s">
        <v>2043</v>
      </c>
      <c r="G19" s="1556"/>
      <c r="H19" s="1556">
        <f t="shared" si="0"/>
        <v>5</v>
      </c>
      <c r="I19" s="1556">
        <f t="shared" si="1"/>
        <v>5</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1378</v>
      </c>
      <c r="B35" s="1550"/>
      <c r="C35" s="2360"/>
      <c r="D35" s="2360"/>
      <c r="E35" s="2360"/>
      <c r="F35" s="2361"/>
    </row>
    <row r="36" spans="1:15" ht="12" customHeight="1" x14ac:dyDescent="0.2">
      <c r="A36" s="2351" t="s">
        <v>2045</v>
      </c>
      <c r="B36" s="2352"/>
      <c r="C36" s="2352"/>
      <c r="D36" s="2352"/>
      <c r="E36" s="2352"/>
      <c r="F36" s="2353"/>
    </row>
    <row r="37" spans="1:15" ht="12" customHeight="1" x14ac:dyDescent="0.2">
      <c r="A37" s="2351" t="s">
        <v>2046</v>
      </c>
      <c r="B37" s="2352"/>
      <c r="C37" s="2352"/>
      <c r="D37" s="2352"/>
      <c r="E37" s="2352"/>
      <c r="F37" s="2353"/>
    </row>
    <row r="38" spans="1:15" ht="12" customHeight="1" x14ac:dyDescent="0.2">
      <c r="A38" s="2365"/>
      <c r="B38" s="2366"/>
      <c r="C38" s="2366"/>
      <c r="D38" s="2366"/>
      <c r="E38" s="2366"/>
      <c r="F38" s="2367"/>
    </row>
    <row r="39" spans="1:15" ht="4.5" hidden="1" customHeight="1" x14ac:dyDescent="0.2">
      <c r="A39" s="1551"/>
      <c r="B39" s="1551"/>
      <c r="C39" s="1551"/>
      <c r="D39" s="1551"/>
      <c r="E39" s="1551"/>
      <c r="F39" s="1551"/>
    </row>
    <row r="40" spans="1:15" s="1548" customFormat="1" ht="12" customHeight="1" x14ac:dyDescent="0.25">
      <c r="A40" s="1552" t="s">
        <v>1377</v>
      </c>
      <c r="B40" s="1553"/>
      <c r="C40" s="2368"/>
      <c r="D40" s="2368"/>
      <c r="E40" s="2368"/>
      <c r="F40" s="2369"/>
      <c r="H40" s="1557"/>
      <c r="I40" s="1557"/>
      <c r="J40" s="1557"/>
      <c r="K40" s="1557"/>
    </row>
    <row r="41" spans="1:15" s="1548" customFormat="1" ht="12" customHeight="1" x14ac:dyDescent="0.25">
      <c r="A41" s="2370"/>
      <c r="B41" s="2371"/>
      <c r="C41" s="2371"/>
      <c r="D41" s="2371"/>
      <c r="E41" s="2371"/>
      <c r="F41" s="2372"/>
      <c r="H41" s="1557"/>
      <c r="I41" s="1557"/>
      <c r="J41" s="1557"/>
      <c r="K41" s="1557"/>
    </row>
    <row r="42" spans="1:15" s="1548" customFormat="1" ht="12" customHeight="1" x14ac:dyDescent="0.25">
      <c r="A42" s="2370"/>
      <c r="B42" s="2371"/>
      <c r="C42" s="2371"/>
      <c r="D42" s="2371"/>
      <c r="E42" s="2371"/>
      <c r="F42" s="2372"/>
      <c r="H42" s="1557"/>
      <c r="I42" s="1557"/>
      <c r="J42" s="1557"/>
      <c r="K42" s="1557"/>
    </row>
    <row r="43" spans="1:15" s="1548" customFormat="1" ht="15" x14ac:dyDescent="0.25">
      <c r="A43" s="2362"/>
      <c r="B43" s="2363"/>
      <c r="C43" s="2363"/>
      <c r="D43" s="2363"/>
      <c r="E43" s="2363"/>
      <c r="F43" s="2364"/>
      <c r="H43" s="1557"/>
      <c r="I43" s="1557"/>
      <c r="J43" s="1557"/>
      <c r="K43" s="1557"/>
    </row>
    <row r="44" spans="1:15" s="1548" customFormat="1" ht="12" hidden="1" customHeight="1" x14ac:dyDescent="0.25">
      <c r="A44" s="2362"/>
      <c r="B44" s="2363"/>
      <c r="C44" s="2363"/>
      <c r="D44" s="2363"/>
      <c r="E44" s="2363"/>
      <c r="F44" s="2364"/>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8" t="str">
        <f>COVER!A17</f>
        <v>Wilco Area Career Center</v>
      </c>
      <c r="J6" s="2379"/>
      <c r="K6" s="2380"/>
      <c r="R6" s="1427"/>
    </row>
    <row r="7" spans="1:18" x14ac:dyDescent="0.2">
      <c r="A7" s="2381" t="s">
        <v>864</v>
      </c>
      <c r="B7" s="2382"/>
      <c r="C7" s="2382"/>
      <c r="D7" s="2382"/>
      <c r="E7" s="2383"/>
      <c r="F7" s="847"/>
      <c r="G7" s="839"/>
      <c r="H7" s="846" t="s">
        <v>369</v>
      </c>
      <c r="I7" s="2384">
        <f>COVER!A13</f>
        <v>56000000040</v>
      </c>
      <c r="J7" s="2384"/>
      <c r="K7" s="2384"/>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5" t="s">
        <v>478</v>
      </c>
      <c r="B11" s="2386"/>
      <c r="C11" s="2387"/>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241546</v>
      </c>
      <c r="F12" s="1864"/>
      <c r="G12" s="1863">
        <f t="shared" ref="G12:G18" si="0">SUM(E12:F12)</f>
        <v>241546</v>
      </c>
      <c r="H12" s="1865">
        <v>251347</v>
      </c>
      <c r="I12" s="1864"/>
      <c r="J12" s="1865"/>
      <c r="K12" s="1863">
        <f t="shared" ref="K12:K18" si="1">SUM(H12:J12)</f>
        <v>251347</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8" t="s">
        <v>7</v>
      </c>
      <c r="C18" s="2389"/>
      <c r="D18" s="2390"/>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241546</v>
      </c>
      <c r="F19" s="1868">
        <f t="shared" si="2"/>
        <v>0</v>
      </c>
      <c r="G19" s="1868">
        <f t="shared" si="2"/>
        <v>241546</v>
      </c>
      <c r="H19" s="1868">
        <f t="shared" si="2"/>
        <v>251347</v>
      </c>
      <c r="I19" s="1868">
        <f t="shared" si="2"/>
        <v>0</v>
      </c>
      <c r="J19" s="1868">
        <f t="shared" si="2"/>
        <v>0</v>
      </c>
      <c r="K19" s="1868">
        <f t="shared" si="2"/>
        <v>251347</v>
      </c>
    </row>
    <row r="20" spans="1:11" ht="13.5" thickTop="1" x14ac:dyDescent="0.2">
      <c r="A20" s="863">
        <v>9</v>
      </c>
      <c r="B20" s="2391" t="str">
        <f>"Percent Increase (Decrease) for FY"&amp;'AFR20'!E2+1&amp;" (Budgeted) over FY"&amp;'AFR20'!E2&amp;" (Actual)"</f>
        <v>Percent Increase (Decrease) for FY2021 (Budgeted) over FY2020 (Actual)</v>
      </c>
      <c r="C20" s="2391"/>
      <c r="D20" s="2392"/>
      <c r="E20" s="1869"/>
      <c r="F20" s="1869"/>
      <c r="G20" s="1869"/>
      <c r="H20" s="1869"/>
      <c r="I20" s="1869"/>
      <c r="J20" s="1978"/>
      <c r="K20" s="1870">
        <f>IF(AND(G19&gt;0,K19&gt;0),(((K19-G19)/G19)),"Enter Budget Data")</f>
        <v>4.0576122146506258E-2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7"/>
      <c r="D26" s="2397"/>
      <c r="E26" s="874"/>
      <c r="F26" s="2396"/>
      <c r="G26" s="2396"/>
    </row>
    <row r="27" spans="1:11" x14ac:dyDescent="0.2">
      <c r="B27" s="871"/>
      <c r="C27" s="875" t="s">
        <v>1026</v>
      </c>
      <c r="D27" s="876"/>
      <c r="E27" s="877"/>
      <c r="F27" s="2393" t="s">
        <v>1495</v>
      </c>
      <c r="G27" s="2393"/>
    </row>
    <row r="28" spans="1:11" ht="28.5" customHeight="1" x14ac:dyDescent="0.2">
      <c r="B28" s="871"/>
      <c r="C28" s="2395"/>
      <c r="D28" s="2395"/>
      <c r="E28" s="878"/>
      <c r="F28" s="2395"/>
      <c r="G28" s="2395"/>
    </row>
    <row r="29" spans="1:11" x14ac:dyDescent="0.2">
      <c r="B29" s="871"/>
      <c r="C29" s="879" t="s">
        <v>1547</v>
      </c>
      <c r="E29" s="880"/>
      <c r="F29" s="2394" t="s">
        <v>1496</v>
      </c>
      <c r="G29" s="2394"/>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6"/>
      <c r="E33" s="2376"/>
      <c r="F33" s="2376"/>
      <c r="G33" s="2376"/>
      <c r="H33" s="2376"/>
      <c r="I33" s="2376"/>
      <c r="J33" s="1976"/>
    </row>
    <row r="34" spans="1:11" ht="10.35" customHeight="1" x14ac:dyDescent="0.2">
      <c r="C34" s="2376"/>
      <c r="D34" s="2376"/>
      <c r="E34" s="2376"/>
      <c r="F34" s="2376"/>
      <c r="G34" s="2376"/>
      <c r="H34" s="2376"/>
      <c r="I34" s="2376"/>
      <c r="J34" s="1976"/>
    </row>
    <row r="35" spans="1:11" ht="7.5" customHeight="1" x14ac:dyDescent="0.2">
      <c r="C35" s="886"/>
    </row>
    <row r="36" spans="1:11" ht="13.5" customHeight="1" x14ac:dyDescent="0.2">
      <c r="B36" s="885"/>
      <c r="C36" s="237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6"/>
      <c r="E36" s="2376"/>
      <c r="F36" s="2376"/>
      <c r="G36" s="2376"/>
      <c r="H36" s="2376"/>
      <c r="I36" s="2376"/>
      <c r="J36" s="1976"/>
      <c r="K36" s="887"/>
    </row>
    <row r="37" spans="1:11" ht="22.5" customHeight="1" x14ac:dyDescent="0.2">
      <c r="C37" s="2376"/>
      <c r="D37" s="2376"/>
      <c r="E37" s="2376"/>
      <c r="F37" s="2376"/>
      <c r="G37" s="2376"/>
      <c r="H37" s="2376"/>
      <c r="I37" s="2376"/>
      <c r="J37" s="1976"/>
      <c r="K37" s="887"/>
    </row>
    <row r="38" spans="1:11" ht="7.5" customHeight="1" x14ac:dyDescent="0.2">
      <c r="C38" s="886"/>
      <c r="D38" s="888"/>
      <c r="E38" s="889"/>
      <c r="F38" s="890"/>
      <c r="G38" s="889"/>
    </row>
    <row r="39" spans="1:11" ht="13.5" customHeight="1" x14ac:dyDescent="0.2">
      <c r="B39" s="885"/>
      <c r="C39" s="2373" t="str">
        <f>"The district will amend their budget to become in compliance with the limitation."</f>
        <v>The district will amend their budget to become in compliance with the limitation.</v>
      </c>
      <c r="D39" s="2374"/>
      <c r="E39" s="2374"/>
      <c r="F39" s="2374"/>
      <c r="G39" s="2374"/>
      <c r="H39" s="2374"/>
      <c r="I39" s="2374"/>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2056</v>
      </c>
    </row>
    <row r="6" spans="1:2" x14ac:dyDescent="0.2">
      <c r="A6" s="892">
        <v>2</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Wilco Area Career Center</v>
      </c>
    </row>
    <row r="65" spans="2:2" x14ac:dyDescent="0.2">
      <c r="B65" s="894">
        <f>COVER!A13</f>
        <v>56000000040</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7" t="s">
        <v>1058</v>
      </c>
      <c r="B35" s="2107"/>
      <c r="C35" s="2107"/>
      <c r="D35" s="2107"/>
      <c r="E35" s="210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4" t="s">
        <v>686</v>
      </c>
      <c r="B40" s="2104"/>
      <c r="C40" s="2104"/>
      <c r="D40" s="2104"/>
      <c r="E40" s="2104"/>
    </row>
    <row r="41" spans="1:5" x14ac:dyDescent="0.2">
      <c r="A41" s="2105" t="s">
        <v>1594</v>
      </c>
      <c r="B41" s="2105"/>
      <c r="C41" s="2105"/>
      <c r="D41" s="2105"/>
      <c r="E41" s="2105"/>
    </row>
    <row r="42" spans="1:5" ht="12.75" customHeight="1" x14ac:dyDescent="0.2">
      <c r="A42" s="2106" t="s">
        <v>1015</v>
      </c>
      <c r="B42" s="2106"/>
      <c r="C42" s="2106"/>
      <c r="D42" s="2106"/>
      <c r="E42" s="2106"/>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8" t="s">
        <v>1668</v>
      </c>
      <c r="B18" s="239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9" t="s">
        <v>1672</v>
      </c>
      <c r="B1" s="2400"/>
      <c r="C1" s="2400"/>
      <c r="D1" s="2400"/>
      <c r="E1" s="2400"/>
      <c r="F1" s="2401"/>
    </row>
    <row r="2" spans="1:8" ht="45" customHeight="1" x14ac:dyDescent="0.2">
      <c r="A2" s="240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0"/>
      <c r="C2" s="2410"/>
      <c r="D2" s="2410"/>
      <c r="E2" s="2410"/>
      <c r="F2" s="2411"/>
      <c r="G2" s="898"/>
      <c r="H2" s="898"/>
    </row>
    <row r="3" spans="1:8" ht="57" customHeight="1" x14ac:dyDescent="0.2">
      <c r="A3" s="2412" t="s">
        <v>1975</v>
      </c>
      <c r="B3" s="2413"/>
      <c r="C3" s="2413"/>
      <c r="D3" s="2413"/>
      <c r="E3" s="2413"/>
      <c r="F3" s="2414"/>
      <c r="G3" s="898"/>
      <c r="H3" s="898"/>
    </row>
    <row r="4" spans="1:8" ht="14.25" customHeight="1" x14ac:dyDescent="0.2">
      <c r="A4" s="241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9"/>
      <c r="C4" s="2419"/>
      <c r="D4" s="2419"/>
      <c r="E4" s="2419"/>
      <c r="F4" s="2420"/>
      <c r="G4" s="898"/>
      <c r="H4" s="898"/>
    </row>
    <row r="5" spans="1:8" ht="14.25" customHeight="1" x14ac:dyDescent="0.2">
      <c r="A5" s="242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2"/>
      <c r="C5" s="2422"/>
      <c r="D5" s="2422"/>
      <c r="E5" s="2422"/>
      <c r="F5" s="2423"/>
      <c r="G5" s="898"/>
      <c r="H5" s="898"/>
    </row>
    <row r="6" spans="1:8" s="899" customFormat="1" ht="41.25" customHeight="1" x14ac:dyDescent="0.2">
      <c r="A6" s="2415" t="s">
        <v>1673</v>
      </c>
      <c r="B6" s="2416"/>
      <c r="C6" s="2416"/>
      <c r="D6" s="2416"/>
      <c r="E6" s="2416"/>
      <c r="F6" s="2417"/>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4175275</v>
      </c>
      <c r="C8" s="1871">
        <f>'Acct Summary 7-8'!D8</f>
        <v>0</v>
      </c>
      <c r="D8" s="1871">
        <f>'Acct Summary 7-8'!F8</f>
        <v>0</v>
      </c>
      <c r="E8" s="1871">
        <f>'Acct Summary 7-8'!I8</f>
        <v>0</v>
      </c>
      <c r="F8" s="1871">
        <f>SUM(B8:E8)</f>
        <v>4175275</v>
      </c>
    </row>
    <row r="9" spans="1:8" s="903" customFormat="1" ht="14.25" customHeight="1" thickBot="1" x14ac:dyDescent="0.25">
      <c r="A9" s="902" t="s">
        <v>1355</v>
      </c>
      <c r="B9" s="1872">
        <f>'Acct Summary 7-8'!C17</f>
        <v>4079262</v>
      </c>
      <c r="C9" s="1872">
        <f>'Acct Summary 7-8'!D17</f>
        <v>0</v>
      </c>
      <c r="D9" s="1872">
        <f>'Acct Summary 7-8'!F17</f>
        <v>0</v>
      </c>
      <c r="E9" s="1871"/>
      <c r="F9" s="1871">
        <f>SUM(B9:E9)</f>
        <v>4079262</v>
      </c>
    </row>
    <row r="10" spans="1:8" s="903" customFormat="1" ht="14.25" thickTop="1" thickBot="1" x14ac:dyDescent="0.25">
      <c r="A10" s="904" t="s">
        <v>1356</v>
      </c>
      <c r="B10" s="1873">
        <f>(B8-B9)</f>
        <v>96013</v>
      </c>
      <c r="C10" s="1873">
        <f>(C8-C9)</f>
        <v>0</v>
      </c>
      <c r="D10" s="1873">
        <f>(D8-D9)</f>
        <v>0</v>
      </c>
      <c r="E10" s="1872">
        <f>(E8-E9)</f>
        <v>0</v>
      </c>
      <c r="F10" s="1874">
        <f>SUM(F8-F9)</f>
        <v>96013</v>
      </c>
    </row>
    <row r="11" spans="1:8" s="903" customFormat="1" ht="14.25" thickTop="1" thickBot="1" x14ac:dyDescent="0.25">
      <c r="A11" s="905" t="s">
        <v>1906</v>
      </c>
      <c r="B11" s="1875">
        <f>'Acct Summary 7-8'!C81</f>
        <v>1120834</v>
      </c>
      <c r="C11" s="1875">
        <f>'Acct Summary 7-8'!D81</f>
        <v>0</v>
      </c>
      <c r="D11" s="1875">
        <f>'Acct Summary 7-8'!F81</f>
        <v>0</v>
      </c>
      <c r="E11" s="1875">
        <f>'Acct Summary 7-8'!I81</f>
        <v>0</v>
      </c>
      <c r="F11" s="1876">
        <f>SUM(B11:E11)</f>
        <v>1120834</v>
      </c>
    </row>
    <row r="12" spans="1:8" ht="16.5" customHeight="1" thickTop="1" x14ac:dyDescent="0.2">
      <c r="A12" s="906"/>
      <c r="B12" s="907"/>
      <c r="C12" s="2403" t="str">
        <f>IF(AND(F10&lt;0,F11&gt;=0,ABS(F10*3)&gt;ABS(F11)),A16,IF(AND(F10&lt;0,F11&gt;0,ABS(F10*3)&lt;=ABS(F11)),A17,IF(AND(F10&lt;0,F11&lt;0),A16,IF(F11=0,A19,A18))))</f>
        <v>Balanced - no deficit reduction plan is required.</v>
      </c>
      <c r="D12" s="2404"/>
      <c r="E12" s="2404"/>
      <c r="F12" s="2405"/>
    </row>
    <row r="13" spans="1:8" ht="19.5" customHeight="1" x14ac:dyDescent="0.2">
      <c r="A13" s="908"/>
      <c r="B13" s="909"/>
      <c r="C13" s="2403"/>
      <c r="D13" s="2404"/>
      <c r="E13" s="2404"/>
      <c r="F13" s="2405"/>
      <c r="H13" s="898"/>
    </row>
    <row r="14" spans="1:8" ht="19.5" customHeight="1" x14ac:dyDescent="0.2">
      <c r="A14" s="908"/>
      <c r="B14" s="909"/>
      <c r="C14" s="2403"/>
      <c r="D14" s="2404"/>
      <c r="E14" s="2404"/>
      <c r="F14" s="2405"/>
      <c r="H14" s="898"/>
    </row>
    <row r="15" spans="1:8" ht="17.25" customHeight="1" x14ac:dyDescent="0.2">
      <c r="A15" s="908"/>
      <c r="B15" s="909"/>
      <c r="C15" s="2406"/>
      <c r="D15" s="2407"/>
      <c r="E15" s="2407"/>
      <c r="F15" s="2408"/>
      <c r="H15" s="898"/>
    </row>
    <row r="16" spans="1:8" s="288" customFormat="1" ht="51.75" hidden="1" customHeight="1" x14ac:dyDescent="0.2">
      <c r="A16" s="2402" t="s">
        <v>1669</v>
      </c>
      <c r="B16" s="2402"/>
      <c r="C16" s="2402"/>
      <c r="D16" s="2402"/>
      <c r="E16" s="2402"/>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57" sqref="D5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4" t="s">
        <v>660</v>
      </c>
      <c r="B3" s="2425"/>
      <c r="C3" s="2425"/>
      <c r="D3" s="2426"/>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5" t="s">
        <v>1490</v>
      </c>
      <c r="D7" s="2436"/>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7" t="s">
        <v>1001</v>
      </c>
      <c r="B15" s="2428"/>
      <c r="C15" s="2428"/>
      <c r="D15" s="2429"/>
    </row>
    <row r="16" spans="1:4" s="542" customFormat="1" ht="24" customHeight="1" x14ac:dyDescent="0.2">
      <c r="A16" s="2430" t="s">
        <v>658</v>
      </c>
      <c r="B16" s="2431"/>
      <c r="C16" s="2431"/>
      <c r="D16" s="2432"/>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9" t="s">
        <v>311</v>
      </c>
      <c r="D21" s="2440"/>
    </row>
    <row r="22" spans="1:10" ht="12.75" x14ac:dyDescent="0.2">
      <c r="A22" s="963"/>
      <c r="B22" s="964">
        <v>2</v>
      </c>
      <c r="C22" s="2437" t="s">
        <v>1510</v>
      </c>
      <c r="D22" s="2438"/>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1" t="s">
        <v>533</v>
      </c>
      <c r="D43" s="2442"/>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3" t="s">
        <v>779</v>
      </c>
      <c r="D56" s="2434"/>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3" t="s">
        <v>1677</v>
      </c>
      <c r="D70" s="2434"/>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56000000040</v>
      </c>
      <c r="E2" s="1592">
        <v>2020</v>
      </c>
      <c r="F2" s="1592">
        <v>1</v>
      </c>
      <c r="G2" s="1962">
        <v>101000300</v>
      </c>
    </row>
    <row r="3" spans="1:7" ht="15" x14ac:dyDescent="0.25">
      <c r="A3" t="s">
        <v>950</v>
      </c>
      <c r="B3" s="135" t="str">
        <f>COVER!A15</f>
        <v>Will</v>
      </c>
      <c r="E3" s="1888" t="s">
        <v>1974</v>
      </c>
      <c r="F3" s="1888" t="s">
        <v>1973</v>
      </c>
      <c r="G3" s="1962">
        <v>101000400</v>
      </c>
    </row>
    <row r="4" spans="1:7" ht="15" x14ac:dyDescent="0.25">
      <c r="A4" t="s">
        <v>1000</v>
      </c>
      <c r="B4" s="135" t="str">
        <f>COVER!A17</f>
        <v>Wilco Area Career Center</v>
      </c>
      <c r="E4" s="1886">
        <v>44119</v>
      </c>
      <c r="F4" s="1887">
        <v>44151</v>
      </c>
      <c r="G4" s="1962">
        <v>101000600</v>
      </c>
    </row>
    <row r="5" spans="1:7" ht="15" x14ac:dyDescent="0.25">
      <c r="A5" t="s">
        <v>699</v>
      </c>
      <c r="B5" s="135" t="str">
        <f>COVER!A38</f>
        <v>Elizabeth Kaufman</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f>COVER!B5</f>
        <v>0</v>
      </c>
      <c r="G10" s="1962">
        <v>202100300</v>
      </c>
    </row>
    <row r="11" spans="1:7" ht="15" x14ac:dyDescent="0.25">
      <c r="A11" t="s">
        <v>971</v>
      </c>
      <c r="B11" s="135" t="str">
        <f>COVER!B6</f>
        <v>x</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066-005100</v>
      </c>
      <c r="G15" s="1962">
        <v>402100400</v>
      </c>
    </row>
    <row r="16" spans="1:7" ht="15" x14ac:dyDescent="0.25">
      <c r="A16" t="s">
        <v>419</v>
      </c>
      <c r="B16" s="135" t="str">
        <f>COVER!T13</f>
        <v>Mack &amp; Associates, P.C.</v>
      </c>
      <c r="G16" s="1962">
        <v>402100600</v>
      </c>
    </row>
    <row r="17" spans="1:7" ht="15" x14ac:dyDescent="0.25">
      <c r="A17" t="s">
        <v>878</v>
      </c>
      <c r="B17" s="135" t="str">
        <f>COVER!T15</f>
        <v>Tawnya Mack, CPA</v>
      </c>
      <c r="G17" s="1962">
        <v>402100800</v>
      </c>
    </row>
    <row r="18" spans="1:7" ht="15" x14ac:dyDescent="0.25">
      <c r="A18" t="s">
        <v>1142</v>
      </c>
      <c r="B18" s="135" t="str">
        <f>COVER!T17</f>
        <v>116 E. Washington St., Suite One</v>
      </c>
      <c r="G18" s="1962">
        <v>102200300</v>
      </c>
    </row>
    <row r="19" spans="1:7" ht="15" x14ac:dyDescent="0.25">
      <c r="A19" t="s">
        <v>880</v>
      </c>
      <c r="B19" s="135" t="str">
        <f>COVER!T25</f>
        <v>tmak@mackcpas.com</v>
      </c>
      <c r="G19" s="1962">
        <v>102200400</v>
      </c>
    </row>
    <row r="20" spans="1:7" ht="15" x14ac:dyDescent="0.25">
      <c r="A20" t="s">
        <v>881</v>
      </c>
      <c r="B20" s="135" t="str">
        <f>COVER!T19</f>
        <v>Morris</v>
      </c>
      <c r="G20" s="1962">
        <v>102200600</v>
      </c>
    </row>
    <row r="21" spans="1:7" ht="15" x14ac:dyDescent="0.25">
      <c r="A21" t="s">
        <v>476</v>
      </c>
      <c r="B21" s="135" t="str">
        <f>COVER!X19</f>
        <v>IL</v>
      </c>
      <c r="G21" s="1962">
        <v>102200800</v>
      </c>
    </row>
    <row r="22" spans="1:7" ht="15" x14ac:dyDescent="0.25">
      <c r="A22" t="s">
        <v>882</v>
      </c>
      <c r="B22" s="135">
        <f>COVER!Z19</f>
        <v>60450</v>
      </c>
      <c r="G22" s="1962">
        <v>102300300</v>
      </c>
    </row>
    <row r="23" spans="1:7" ht="15" x14ac:dyDescent="0.25">
      <c r="A23" t="s">
        <v>1144</v>
      </c>
      <c r="B23" s="135" t="str">
        <f>COVER!T21</f>
        <v>815-942-3306</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1120834</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1120834</v>
      </c>
      <c r="D92" s="2" t="str">
        <f t="shared" si="0"/>
        <v>Error?</v>
      </c>
      <c r="G92" s="1962">
        <v>102640600</v>
      </c>
    </row>
    <row r="93" spans="1:7" ht="15" x14ac:dyDescent="0.25">
      <c r="A93" s="5">
        <v>32</v>
      </c>
      <c r="B93" s="1890">
        <f>'Assets-Liab 5-6'!C41</f>
        <v>1120834</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0</v>
      </c>
      <c r="D123" s="2" t="str">
        <f t="shared" si="0"/>
        <v>Error?</v>
      </c>
      <c r="G123" s="1962">
        <v>203000400</v>
      </c>
    </row>
    <row r="124" spans="1:7" ht="15" x14ac:dyDescent="0.25">
      <c r="A124" s="5">
        <v>63</v>
      </c>
      <c r="B124" s="1890">
        <f>'Assets-Liab 5-6'!D41</f>
        <v>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4137</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4137</v>
      </c>
      <c r="D212" s="2" t="str">
        <f t="shared" si="2"/>
        <v>Error?</v>
      </c>
    </row>
    <row r="213" spans="1:4" x14ac:dyDescent="0.2">
      <c r="A213" s="12">
        <v>152</v>
      </c>
      <c r="B213" s="1890">
        <f>'Assets-Liab 5-6'!H41</f>
        <v>4137</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90524</v>
      </c>
      <c r="D273" s="2" t="str">
        <f t="shared" si="3"/>
        <v>Error?</v>
      </c>
    </row>
    <row r="274" spans="1:4" x14ac:dyDescent="0.2">
      <c r="A274" s="5">
        <v>213</v>
      </c>
      <c r="B274" s="1890">
        <f>'Assets-Liab 5-6'!M17</f>
        <v>4384829</v>
      </c>
      <c r="D274" s="2" t="str">
        <f t="shared" si="3"/>
        <v>Error?</v>
      </c>
    </row>
    <row r="275" spans="1:4" x14ac:dyDescent="0.2">
      <c r="A275" s="5">
        <v>214</v>
      </c>
      <c r="B275" s="1890">
        <f>'Assets-Liab 5-6'!M18</f>
        <v>0</v>
      </c>
      <c r="D275" s="2" t="str">
        <f t="shared" si="3"/>
        <v>Error?</v>
      </c>
    </row>
    <row r="276" spans="1:4" x14ac:dyDescent="0.2">
      <c r="A276" s="5">
        <v>215</v>
      </c>
      <c r="B276" s="1890">
        <f>'Assets-Liab 5-6'!M19</f>
        <v>280330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4755683</v>
      </c>
      <c r="C279" s="2" t="s">
        <v>569</v>
      </c>
      <c r="D279" s="2" t="str">
        <f t="shared" si="3"/>
        <v>Error?</v>
      </c>
    </row>
    <row r="280" spans="1:4" x14ac:dyDescent="0.2">
      <c r="A280" s="5">
        <v>219</v>
      </c>
      <c r="B280" s="1890">
        <f>'Assets-Liab 5-6'!M40</f>
        <v>4755683</v>
      </c>
      <c r="D280" s="2" t="str">
        <f t="shared" si="3"/>
        <v>Error?</v>
      </c>
    </row>
    <row r="281" spans="1:4" x14ac:dyDescent="0.2">
      <c r="A281" s="5">
        <v>220</v>
      </c>
      <c r="B281" s="1890">
        <f>'Assets-Liab 5-6'!M41</f>
        <v>4755683</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1345000</v>
      </c>
      <c r="D283" s="2" t="str">
        <f t="shared" si="3"/>
        <v>Error?</v>
      </c>
    </row>
    <row r="284" spans="1:4" x14ac:dyDescent="0.2">
      <c r="A284" s="5">
        <v>223</v>
      </c>
      <c r="B284" s="1890">
        <f>'Assets-Liab 5-6'!N23</f>
        <v>1345000</v>
      </c>
      <c r="C284" s="2" t="s">
        <v>569</v>
      </c>
      <c r="D284" s="2" t="str">
        <f t="shared" si="3"/>
        <v>Error?</v>
      </c>
    </row>
    <row r="285" spans="1:4" x14ac:dyDescent="0.2">
      <c r="A285" s="5">
        <v>224</v>
      </c>
      <c r="B285" s="1890">
        <f>'Assets-Liab 5-6'!N36</f>
        <v>1345000</v>
      </c>
      <c r="D285" s="2" t="str">
        <f t="shared" si="3"/>
        <v>Error?</v>
      </c>
    </row>
    <row r="286" spans="1:4" x14ac:dyDescent="0.2">
      <c r="A286" s="10">
        <v>225</v>
      </c>
      <c r="B286" s="1890"/>
      <c r="D286" s="2" t="str">
        <f t="shared" si="3"/>
        <v>OK</v>
      </c>
    </row>
    <row r="287" spans="1:4" x14ac:dyDescent="0.2">
      <c r="A287" s="5">
        <v>226</v>
      </c>
      <c r="B287" s="1890">
        <f>'Assets-Liab 5-6'!N37</f>
        <v>1345000</v>
      </c>
      <c r="C287" s="2" t="s">
        <v>569</v>
      </c>
      <c r="D287" s="2" t="str">
        <f t="shared" si="3"/>
        <v>Error?</v>
      </c>
    </row>
    <row r="288" spans="1:4" x14ac:dyDescent="0.2">
      <c r="A288" s="5">
        <v>227</v>
      </c>
      <c r="B288" s="1890">
        <f>'Assets-Liab 5-6'!N41</f>
        <v>1345000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5000</v>
      </c>
      <c r="D716" s="2" t="str">
        <f t="shared" si="10"/>
        <v>Error?</v>
      </c>
    </row>
    <row r="717" spans="1:4" x14ac:dyDescent="0.2">
      <c r="A717" s="5">
        <v>656</v>
      </c>
      <c r="B717" s="1890">
        <f>'Expenditures 15-22'!C13</f>
        <v>1442598</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1447598</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193811</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193811</v>
      </c>
      <c r="C727" s="2" t="s">
        <v>569</v>
      </c>
      <c r="D727" s="2" t="str">
        <f t="shared" si="10"/>
        <v>Error?</v>
      </c>
    </row>
    <row r="728" spans="1:4" x14ac:dyDescent="0.2">
      <c r="A728" s="5">
        <v>667</v>
      </c>
      <c r="B728" s="1890">
        <f>'Expenditures 15-22'!C44</f>
        <v>123722</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123722</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177952</v>
      </c>
      <c r="D733" s="2" t="str">
        <f t="shared" si="10"/>
        <v>Error?</v>
      </c>
    </row>
    <row r="734" spans="1:4" x14ac:dyDescent="0.2">
      <c r="A734" s="5">
        <v>673</v>
      </c>
      <c r="B734" s="1890">
        <f>'Expenditures 15-22'!C53</f>
        <v>177952</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57785</v>
      </c>
      <c r="D739" s="2" t="str">
        <f t="shared" si="10"/>
        <v>Error?</v>
      </c>
    </row>
    <row r="740" spans="1:4" x14ac:dyDescent="0.2">
      <c r="A740" s="5">
        <v>679</v>
      </c>
      <c r="B740" s="1890">
        <f>'Expenditures 15-22'!C61</f>
        <v>175655</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233440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728925</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2176523</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84</v>
      </c>
      <c r="D774" s="2" t="str">
        <f t="shared" si="11"/>
        <v>Error?</v>
      </c>
    </row>
    <row r="775" spans="1:4" x14ac:dyDescent="0.2">
      <c r="A775" s="5">
        <v>714</v>
      </c>
      <c r="B775" s="1890">
        <f>'Expenditures 15-22'!D13</f>
        <v>264407</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264491</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35728</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35728</v>
      </c>
      <c r="C785" s="2" t="s">
        <v>569</v>
      </c>
      <c r="D785" s="2" t="str">
        <f t="shared" si="11"/>
        <v>Error?</v>
      </c>
    </row>
    <row r="786" spans="1:4" x14ac:dyDescent="0.2">
      <c r="A786" s="5">
        <v>725</v>
      </c>
      <c r="B786" s="1890">
        <f>'Expenditures 15-22'!D44</f>
        <v>42437</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42437</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38208</v>
      </c>
      <c r="D791" s="2" t="str">
        <f t="shared" si="11"/>
        <v>Error?</v>
      </c>
    </row>
    <row r="792" spans="1:4" x14ac:dyDescent="0.2">
      <c r="A792" s="5">
        <v>731</v>
      </c>
      <c r="B792" s="1890">
        <f>'Expenditures 15-22'!D53</f>
        <v>38208</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24892</v>
      </c>
      <c r="D797" s="2" t="str">
        <f t="shared" si="11"/>
        <v>Error?</v>
      </c>
    </row>
    <row r="798" spans="1:4" x14ac:dyDescent="0.2">
      <c r="A798" s="5">
        <v>737</v>
      </c>
      <c r="B798" s="1890">
        <f>'Expenditures 15-22'!D61</f>
        <v>36349</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61241</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177614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442105</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160</v>
      </c>
      <c r="D832" s="2" t="str">
        <f t="shared" si="12"/>
        <v>Error?</v>
      </c>
    </row>
    <row r="833" spans="1:4" x14ac:dyDescent="0.2">
      <c r="A833" s="5">
        <v>772</v>
      </c>
      <c r="B833" s="1890">
        <f>'Expenditures 15-22'!E13</f>
        <v>2564</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2724</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23151</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23151</v>
      </c>
      <c r="C843" s="2" t="s">
        <v>569</v>
      </c>
      <c r="D843" s="2" t="str">
        <f t="shared" si="12"/>
        <v>Error?</v>
      </c>
    </row>
    <row r="844" spans="1:4" x14ac:dyDescent="0.2">
      <c r="A844" s="5">
        <v>783</v>
      </c>
      <c r="B844" s="1890">
        <f>'Expenditures 15-22'!E44</f>
        <v>44945</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44945</v>
      </c>
      <c r="C847" s="2" t="s">
        <v>569</v>
      </c>
      <c r="D847" s="2" t="str">
        <f t="shared" si="12"/>
        <v>Error?</v>
      </c>
    </row>
    <row r="848" spans="1:4" x14ac:dyDescent="0.2">
      <c r="A848" s="5">
        <v>787</v>
      </c>
      <c r="B848" s="1890">
        <f>'Expenditures 15-22'!E49</f>
        <v>16144</v>
      </c>
      <c r="D848" s="2" t="str">
        <f t="shared" si="12"/>
        <v>Error?</v>
      </c>
    </row>
    <row r="849" spans="1:4" x14ac:dyDescent="0.2">
      <c r="A849" s="5">
        <v>788</v>
      </c>
      <c r="B849" s="1890">
        <f>'Expenditures 15-22'!E50</f>
        <v>16266</v>
      </c>
      <c r="D849" s="2" t="str">
        <f t="shared" si="12"/>
        <v>Error?</v>
      </c>
    </row>
    <row r="850" spans="1:4" x14ac:dyDescent="0.2">
      <c r="A850" s="5">
        <v>789</v>
      </c>
      <c r="B850" s="1890">
        <f>'Expenditures 15-22'!E53</f>
        <v>32410</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7984</v>
      </c>
      <c r="D855" s="2" t="str">
        <f t="shared" si="12"/>
        <v>Error?</v>
      </c>
    </row>
    <row r="856" spans="1:4" x14ac:dyDescent="0.2">
      <c r="A856" s="5">
        <v>795</v>
      </c>
      <c r="B856" s="1890">
        <f>'Expenditures 15-22'!E61</f>
        <v>202344</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210328</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310834</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313558</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66</v>
      </c>
      <c r="D890" s="2" t="str">
        <f t="shared" si="12"/>
        <v>Error?</v>
      </c>
    </row>
    <row r="891" spans="1:4" x14ac:dyDescent="0.2">
      <c r="A891" s="5">
        <v>830</v>
      </c>
      <c r="B891" s="1890">
        <f>'Expenditures 15-22'!F13</f>
        <v>183897</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183963</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1174</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1174</v>
      </c>
      <c r="C901" s="2" t="s">
        <v>569</v>
      </c>
      <c r="D901" s="2" t="str">
        <f t="shared" si="13"/>
        <v>Error?</v>
      </c>
    </row>
    <row r="902" spans="1:4" x14ac:dyDescent="0.2">
      <c r="A902" s="5">
        <v>841</v>
      </c>
      <c r="B902" s="1890">
        <f>'Expenditures 15-22'!F44</f>
        <v>55414</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55414</v>
      </c>
      <c r="C905" s="2" t="s">
        <v>569</v>
      </c>
      <c r="D905" s="2" t="str">
        <f t="shared" si="13"/>
        <v>Error?</v>
      </c>
    </row>
    <row r="906" spans="1:4" x14ac:dyDescent="0.2">
      <c r="A906" s="5">
        <v>845</v>
      </c>
      <c r="B906" s="1890">
        <f>'Expenditures 15-22'!F49</f>
        <v>175</v>
      </c>
      <c r="D906" s="2" t="str">
        <f t="shared" si="13"/>
        <v>Error?</v>
      </c>
    </row>
    <row r="907" spans="1:4" x14ac:dyDescent="0.2">
      <c r="A907" s="5">
        <v>846</v>
      </c>
      <c r="B907" s="1890">
        <f>'Expenditures 15-22'!F50</f>
        <v>6328</v>
      </c>
      <c r="D907" s="2" t="str">
        <f t="shared" si="13"/>
        <v>Error?</v>
      </c>
    </row>
    <row r="908" spans="1:4" x14ac:dyDescent="0.2">
      <c r="A908" s="5">
        <v>847</v>
      </c>
      <c r="B908" s="1890">
        <f>'Expenditures 15-22'!F53</f>
        <v>6503</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1338</v>
      </c>
      <c r="D913" s="2" t="str">
        <f t="shared" si="13"/>
        <v>Error?</v>
      </c>
    </row>
    <row r="914" spans="1:4" x14ac:dyDescent="0.2">
      <c r="A914" s="5">
        <v>853</v>
      </c>
      <c r="B914" s="1890">
        <f>'Expenditures 15-22'!F61</f>
        <v>125199</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126537</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189628</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373591</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42495</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42495</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166335</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166335</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303120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303120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469455</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511950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254409</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254409</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995</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995</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2792</v>
      </c>
      <c r="D1023" s="2" t="str">
        <f t="shared" ref="D1023:D1086" si="15">IF(ISBLANK(B1023),"OK",IF(A1023-B1023=0,"OK","Error?"))</f>
        <v>Error?</v>
      </c>
    </row>
    <row r="1024" spans="1:4" x14ac:dyDescent="0.2">
      <c r="A1024" s="5">
        <v>963</v>
      </c>
      <c r="B1024" s="1890">
        <f>'Expenditures 15-22'!H53</f>
        <v>2792</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2723</v>
      </c>
      <c r="D1029" s="2" t="str">
        <f t="shared" si="15"/>
        <v>Error?</v>
      </c>
    </row>
    <row r="1030" spans="1:4" x14ac:dyDescent="0.2">
      <c r="A1030" s="5">
        <v>969</v>
      </c>
      <c r="B1030" s="1890">
        <f>'Expenditures 15-22'!H61</f>
        <v>616</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3339</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7126</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261535</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5310</v>
      </c>
      <c r="C1104" s="2" t="s">
        <v>569</v>
      </c>
      <c r="D1104" s="2" t="str">
        <f t="shared" si="16"/>
        <v>Error?</v>
      </c>
    </row>
    <row r="1105" spans="1:4" x14ac:dyDescent="0.2">
      <c r="A1105" s="5">
        <v>1044</v>
      </c>
      <c r="B1105" s="1890">
        <f>'Expenditures 15-22'!K13</f>
        <v>2190370</v>
      </c>
      <c r="C1105" s="2" t="s">
        <v>569</v>
      </c>
      <c r="D1105" s="2" t="str">
        <f t="shared" si="16"/>
        <v>Error?</v>
      </c>
    </row>
    <row r="1106" spans="1:4" x14ac:dyDescent="0.2">
      <c r="A1106" s="5">
        <v>1045</v>
      </c>
      <c r="B1106" s="1890">
        <f>'Expenditures 15-22'!K14</f>
        <v>0</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2195680</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254859</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254859</v>
      </c>
      <c r="C1115" s="2" t="s">
        <v>569</v>
      </c>
      <c r="D1115" s="2" t="str">
        <f t="shared" si="16"/>
        <v>Error?</v>
      </c>
    </row>
    <row r="1116" spans="1:4" x14ac:dyDescent="0.2">
      <c r="A1116" s="5">
        <v>1055</v>
      </c>
      <c r="B1116" s="1890">
        <f>'Expenditures 15-22'!K44</f>
        <v>432853</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432853</v>
      </c>
      <c r="C1119" s="2" t="s">
        <v>569</v>
      </c>
      <c r="D1119" s="2" t="str">
        <f t="shared" si="16"/>
        <v>Error?</v>
      </c>
    </row>
    <row r="1120" spans="1:4" x14ac:dyDescent="0.2">
      <c r="A1120" s="5">
        <v>1059</v>
      </c>
      <c r="B1120" s="1890">
        <f>'Expenditures 15-22'!K49</f>
        <v>16319</v>
      </c>
      <c r="C1120" s="2" t="s">
        <v>569</v>
      </c>
      <c r="D1120" s="2" t="str">
        <f t="shared" si="16"/>
        <v>Error?</v>
      </c>
    </row>
    <row r="1121" spans="1:4" x14ac:dyDescent="0.2">
      <c r="A1121" s="5">
        <v>1060</v>
      </c>
      <c r="B1121" s="1890">
        <f>'Expenditures 15-22'!K50</f>
        <v>241546</v>
      </c>
      <c r="C1121" s="2" t="s">
        <v>569</v>
      </c>
      <c r="D1121" s="2" t="str">
        <f t="shared" si="16"/>
        <v>Error?</v>
      </c>
    </row>
    <row r="1122" spans="1:4" x14ac:dyDescent="0.2">
      <c r="A1122" s="5">
        <v>1061</v>
      </c>
      <c r="B1122" s="1890">
        <f>'Expenditures 15-22'!K53</f>
        <v>257865</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94722</v>
      </c>
      <c r="C1127" s="2" t="s">
        <v>569</v>
      </c>
      <c r="D1127" s="2" t="str">
        <f t="shared" si="16"/>
        <v>Error?</v>
      </c>
    </row>
    <row r="1128" spans="1:4" x14ac:dyDescent="0.2">
      <c r="A1128" s="5">
        <v>1067</v>
      </c>
      <c r="B1128" s="1890">
        <f>'Expenditures 15-22'!K61</f>
        <v>843283</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938005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1883582</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0</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4079262</v>
      </c>
      <c r="C1152" s="2" t="s">
        <v>569</v>
      </c>
      <c r="D1152" s="2" t="str">
        <f t="shared" si="17"/>
        <v>Error?</v>
      </c>
    </row>
    <row r="1153" spans="1:4" x14ac:dyDescent="0.2">
      <c r="A1153" s="5">
        <v>1092</v>
      </c>
      <c r="B1153" s="1890">
        <f>'Expenditures 15-22'!K115</f>
        <v>96013</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40088</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200000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240088</v>
      </c>
      <c r="C1317" s="2" t="s">
        <v>569</v>
      </c>
      <c r="D1317" s="2" t="str">
        <f t="shared" si="19"/>
        <v>Error?</v>
      </c>
    </row>
    <row r="1318" spans="1:4" x14ac:dyDescent="0.2">
      <c r="A1318" s="5">
        <v>1257</v>
      </c>
      <c r="B1318" s="1890">
        <f>'Expenditures 15-22'!H174</f>
        <v>240088</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40088</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200000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240088</v>
      </c>
      <c r="C1331" s="2" t="s">
        <v>569</v>
      </c>
      <c r="D1331" s="2" t="str">
        <f t="shared" si="19"/>
        <v>Error?</v>
      </c>
    </row>
    <row r="1332" spans="1:4" x14ac:dyDescent="0.2">
      <c r="A1332" s="5">
        <v>1271</v>
      </c>
      <c r="B1332" s="1890">
        <f>'Expenditures 15-22'!K174</f>
        <v>240088</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17</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1024821</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1120834</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4120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4137</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1545000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90524</v>
      </c>
      <c r="D2008" s="2" t="str">
        <f t="shared" si="30"/>
        <v>Error?</v>
      </c>
    </row>
    <row r="2009" spans="1:4" x14ac:dyDescent="0.2">
      <c r="A2009" s="5">
        <v>1948</v>
      </c>
      <c r="B2009" s="1890">
        <f>'Cap Outlay Deprec 26'!C8</f>
        <v>8068865</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36010</v>
      </c>
      <c r="D2011" s="2" t="str">
        <f t="shared" si="30"/>
        <v>Error?</v>
      </c>
    </row>
    <row r="2012" spans="1:4" x14ac:dyDescent="0.2">
      <c r="A2012" s="5">
        <v>1951</v>
      </c>
      <c r="B2012" s="1890">
        <f>'Cap Outlay Deprec 26'!C13</f>
        <v>1631855</v>
      </c>
      <c r="D2012" s="2" t="str">
        <f t="shared" si="30"/>
        <v>Error?</v>
      </c>
    </row>
    <row r="2013" spans="1:4" x14ac:dyDescent="0.2">
      <c r="A2013" s="5">
        <v>1952</v>
      </c>
      <c r="B2013" s="1890">
        <f>'Cap Outlay Deprec 26'!C16</f>
        <v>9827254</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0</v>
      </c>
      <c r="D2017" s="2" t="str">
        <f t="shared" si="30"/>
        <v>Error?</v>
      </c>
    </row>
    <row r="2018" spans="1:4" x14ac:dyDescent="0.2">
      <c r="A2018" s="5">
        <v>1957</v>
      </c>
      <c r="B2018" s="1890">
        <f>'Cap Outlay Deprec 26'!D13</f>
        <v>195706</v>
      </c>
      <c r="D2018" s="2" t="str">
        <f t="shared" si="30"/>
        <v>Error?</v>
      </c>
    </row>
    <row r="2019" spans="1:4" x14ac:dyDescent="0.2">
      <c r="A2019" s="5">
        <v>1958</v>
      </c>
      <c r="B2019" s="1890">
        <f>'Cap Outlay Deprec 26'!D16</f>
        <v>195706</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90524</v>
      </c>
      <c r="C2026" s="2" t="s">
        <v>569</v>
      </c>
      <c r="D2026" s="2" t="str">
        <f t="shared" si="30"/>
        <v>Error?</v>
      </c>
    </row>
    <row r="2027" spans="1:4" x14ac:dyDescent="0.2">
      <c r="A2027" s="5">
        <v>1966</v>
      </c>
      <c r="B2027" s="1890">
        <f>'Cap Outlay Deprec 26'!F8</f>
        <v>8068865</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36010</v>
      </c>
      <c r="C2029" s="2" t="s">
        <v>569</v>
      </c>
      <c r="D2029" s="2" t="str">
        <f t="shared" si="30"/>
        <v>Error?</v>
      </c>
    </row>
    <row r="2030" spans="1:4" x14ac:dyDescent="0.2">
      <c r="A2030" s="5">
        <v>1969</v>
      </c>
      <c r="B2030" s="1890">
        <f>'Cap Outlay Deprec 26'!F13</f>
        <v>1827561</v>
      </c>
      <c r="C2030" s="2" t="s">
        <v>569</v>
      </c>
      <c r="D2030" s="2" t="str">
        <f t="shared" si="30"/>
        <v>Error?</v>
      </c>
    </row>
    <row r="2031" spans="1:4" x14ac:dyDescent="0.2">
      <c r="A2031" s="5">
        <v>1970</v>
      </c>
      <c r="B2031" s="1890">
        <f>'Cap Outlay Deprec 26'!F16</f>
        <v>10022960</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3514635</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34497</v>
      </c>
      <c r="D2035" s="2" t="str">
        <f t="shared" si="30"/>
        <v>Error?</v>
      </c>
    </row>
    <row r="2036" spans="1:4" x14ac:dyDescent="0.2">
      <c r="A2036" s="5">
        <v>1975</v>
      </c>
      <c r="B2036" s="1890">
        <f>'Cap Outlay Deprec 26'!H13</f>
        <v>1464937</v>
      </c>
      <c r="D2036" s="2" t="str">
        <f t="shared" si="30"/>
        <v>Error?</v>
      </c>
    </row>
    <row r="2037" spans="1:4" x14ac:dyDescent="0.2">
      <c r="A2037" s="5">
        <v>1976</v>
      </c>
      <c r="B2037" s="1890">
        <f>'Cap Outlay Deprec 26'!H16</f>
        <v>5014069</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169401</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505</v>
      </c>
      <c r="D2041" s="2" t="str">
        <f t="shared" si="30"/>
        <v>Error?</v>
      </c>
    </row>
    <row r="2042" spans="1:4" x14ac:dyDescent="0.2">
      <c r="A2042" s="5">
        <v>1981</v>
      </c>
      <c r="B2042" s="1890">
        <f>'Cap Outlay Deprec 26'!I13</f>
        <v>83302</v>
      </c>
      <c r="D2042" s="2" t="str">
        <f t="shared" si="30"/>
        <v>Error?</v>
      </c>
    </row>
    <row r="2043" spans="1:4" x14ac:dyDescent="0.2">
      <c r="A2043" s="5">
        <v>1982</v>
      </c>
      <c r="B2043" s="1890">
        <f>'Cap Outlay Deprec 26'!I16</f>
        <v>253208</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3684036</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35002</v>
      </c>
      <c r="C2053" s="2" t="s">
        <v>569</v>
      </c>
      <c r="D2053" s="2" t="str">
        <f t="shared" si="31"/>
        <v>Error?</v>
      </c>
    </row>
    <row r="2054" spans="1:4" x14ac:dyDescent="0.2">
      <c r="A2054" s="5">
        <v>1993</v>
      </c>
      <c r="B2054" s="1890">
        <f>'Cap Outlay Deprec 26'!K13</f>
        <v>1548239</v>
      </c>
      <c r="C2054" s="2" t="s">
        <v>569</v>
      </c>
      <c r="D2054" s="2" t="str">
        <f t="shared" si="31"/>
        <v>Error?</v>
      </c>
    </row>
    <row r="2055" spans="1:4" x14ac:dyDescent="0.2">
      <c r="A2055" s="5">
        <v>1994</v>
      </c>
      <c r="B2055" s="1890">
        <f>'Cap Outlay Deprec 26'!K16</f>
        <v>5267277</v>
      </c>
      <c r="C2055" s="2" t="s">
        <v>569</v>
      </c>
      <c r="D2055" s="2" t="str">
        <f t="shared" si="31"/>
        <v>Error?</v>
      </c>
    </row>
    <row r="2056" spans="1:4" x14ac:dyDescent="0.2">
      <c r="A2056" s="5">
        <v>1995</v>
      </c>
      <c r="B2056" s="1890">
        <f>'Cap Outlay Deprec 26'!L5</f>
        <v>90524</v>
      </c>
      <c r="C2056" s="2" t="s">
        <v>569</v>
      </c>
      <c r="D2056" s="2" t="str">
        <f t="shared" si="31"/>
        <v>Error?</v>
      </c>
    </row>
    <row r="2057" spans="1:4" x14ac:dyDescent="0.2">
      <c r="A2057" s="5">
        <v>1996</v>
      </c>
      <c r="B2057" s="1890">
        <f>'Cap Outlay Deprec 26'!L8</f>
        <v>4384829</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1008</v>
      </c>
      <c r="C2059" s="2" t="s">
        <v>569</v>
      </c>
      <c r="D2059" s="2" t="str">
        <f t="shared" si="31"/>
        <v>Error?</v>
      </c>
    </row>
    <row r="2060" spans="1:4" x14ac:dyDescent="0.2">
      <c r="A2060" s="5">
        <v>1999</v>
      </c>
      <c r="B2060" s="1890">
        <f>'Cap Outlay Deprec 26'!L13</f>
        <v>279322</v>
      </c>
      <c r="C2060" s="2" t="s">
        <v>569</v>
      </c>
      <c r="D2060" s="2" t="str">
        <f t="shared" si="31"/>
        <v>Error?</v>
      </c>
    </row>
    <row r="2061" spans="1:4" x14ac:dyDescent="0.2">
      <c r="A2061" s="5">
        <v>2000</v>
      </c>
      <c r="B2061" s="1890">
        <f>'Cap Outlay Deprec 26'!L16</f>
        <v>4755683</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0</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3445673</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599629</v>
      </c>
      <c r="C2553" s="2" t="s">
        <v>569</v>
      </c>
      <c r="D2553" s="2" t="str">
        <f t="shared" si="38"/>
        <v>Error?</v>
      </c>
    </row>
    <row r="2554" spans="1:4" x14ac:dyDescent="0.2">
      <c r="A2554" s="5">
        <v>2493</v>
      </c>
      <c r="B2554" s="1890">
        <f>'Acct Summary 7-8'!C7</f>
        <v>129973</v>
      </c>
      <c r="C2554" s="2" t="s">
        <v>569</v>
      </c>
      <c r="D2554" s="2" t="str">
        <f t="shared" si="38"/>
        <v>Error?</v>
      </c>
    </row>
    <row r="2555" spans="1:4" x14ac:dyDescent="0.2">
      <c r="A2555" s="5">
        <v>2494</v>
      </c>
      <c r="B2555" s="1890">
        <f>'Acct Summary 7-8'!C8</f>
        <v>4175275</v>
      </c>
      <c r="C2555" s="2" t="s">
        <v>569</v>
      </c>
      <c r="D2555" s="2" t="str">
        <f t="shared" si="38"/>
        <v>Error?</v>
      </c>
    </row>
    <row r="2556" spans="1:4" x14ac:dyDescent="0.2">
      <c r="A2556" s="5">
        <v>2495</v>
      </c>
      <c r="B2556" s="1890">
        <f>'Acct Summary 7-8'!C12</f>
        <v>2195680</v>
      </c>
      <c r="C2556" s="2" t="s">
        <v>569</v>
      </c>
      <c r="D2556" s="2" t="str">
        <f t="shared" si="38"/>
        <v>Error?</v>
      </c>
    </row>
    <row r="2557" spans="1:4" x14ac:dyDescent="0.2">
      <c r="A2557" s="5">
        <v>2496</v>
      </c>
      <c r="B2557" s="1890">
        <f>'Acct Summary 7-8'!C13</f>
        <v>1883582</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0</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4079262</v>
      </c>
      <c r="C2561" s="2" t="s">
        <v>569</v>
      </c>
      <c r="D2561" s="2" t="str">
        <f t="shared" si="39"/>
        <v>Error?</v>
      </c>
    </row>
    <row r="2562" spans="1:4" x14ac:dyDescent="0.2">
      <c r="A2562" s="5">
        <v>2501</v>
      </c>
      <c r="B2562" s="1890">
        <f>'Acct Summary 7-8'!C20</f>
        <v>96013</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240088</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240088</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240088</v>
      </c>
      <c r="C2634" s="2" t="s">
        <v>569</v>
      </c>
      <c r="D2634" s="2" t="str">
        <f t="shared" si="40"/>
        <v>Error?</v>
      </c>
    </row>
    <row r="2635" spans="1:4" x14ac:dyDescent="0.2">
      <c r="A2635" s="5">
        <v>2574</v>
      </c>
      <c r="B2635" s="1890">
        <f>'Acct Summary 7-8'!E17</f>
        <v>240088</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17</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17</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17</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41144</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41144</v>
      </c>
      <c r="D2914" s="2" t="str">
        <f t="shared" si="44"/>
        <v>Error?</v>
      </c>
    </row>
    <row r="2915" spans="1:4" x14ac:dyDescent="0.2">
      <c r="A2915" s="10">
        <v>2854</v>
      </c>
      <c r="B2915" s="1890"/>
      <c r="D2915" s="2" t="str">
        <f t="shared" si="44"/>
        <v>OK</v>
      </c>
    </row>
    <row r="2916" spans="1:4" x14ac:dyDescent="0.2">
      <c r="A2916" s="5">
        <v>2855</v>
      </c>
      <c r="B2916" s="1890">
        <f>'Assets-Liab 5-6'!L34</f>
        <v>41144</v>
      </c>
      <c r="C2916" s="2" t="s">
        <v>569</v>
      </c>
      <c r="D2916" s="2" t="str">
        <f t="shared" si="44"/>
        <v>Error?</v>
      </c>
    </row>
    <row r="2917" spans="1:4" x14ac:dyDescent="0.2">
      <c r="A2917" s="5">
        <v>2856</v>
      </c>
      <c r="B2917" s="1890">
        <f>'Assets-Liab 5-6'!L41</f>
        <v>41144</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96013</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17</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1120834</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4137</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41144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182958</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4358233</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240088</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17</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182958</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4262220</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240088</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1345000</v>
      </c>
      <c r="C4171" s="2" t="s">
        <v>569</v>
      </c>
      <c r="D4171" s="2" t="str">
        <f t="shared" si="64"/>
        <v>Error?</v>
      </c>
    </row>
    <row r="4172" spans="1:4" x14ac:dyDescent="0.2">
      <c r="A4172" s="5">
        <v>4111</v>
      </c>
      <c r="B4172" s="1890">
        <f>'Short-Term Long-Term Debt 24'!J49</f>
        <v>1345000</v>
      </c>
      <c r="C4172" s="2" t="s">
        <v>569</v>
      </c>
      <c r="D4172" s="2" t="str">
        <f t="shared" si="64"/>
        <v>Error?</v>
      </c>
    </row>
    <row r="4173" spans="1:4" x14ac:dyDescent="0.2">
      <c r="A4173" s="5">
        <v>4112</v>
      </c>
      <c r="B4173" s="1890">
        <f>'Short-Term Long-Term Debt 24'!H49</f>
        <v>200000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1120834</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1345000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3363576</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3363576</v>
      </c>
      <c r="C5087" s="2" t="s">
        <v>569</v>
      </c>
      <c r="D5087" s="2" t="str">
        <f t="shared" si="78"/>
        <v>Error?</v>
      </c>
    </row>
    <row r="5088" spans="1:4" x14ac:dyDescent="0.2">
      <c r="A5088" s="5">
        <v>5027</v>
      </c>
      <c r="B5088" s="1890">
        <f>'Revenues 9-14'!C65</f>
        <v>958</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958</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34981</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34981</v>
      </c>
      <c r="C5102" s="2" t="s">
        <v>569</v>
      </c>
      <c r="D5102" s="2" t="str">
        <f t="shared" si="78"/>
        <v>Error?</v>
      </c>
    </row>
    <row r="5103" spans="1:4" x14ac:dyDescent="0.2">
      <c r="A5103" s="5">
        <v>5042</v>
      </c>
      <c r="B5103" s="1890">
        <f>'Revenues 9-14'!C84</f>
        <v>7920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7920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31949</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6289</v>
      </c>
      <c r="D5119" s="2" t="str">
        <f t="shared" ref="D5119:D5182" si="79">IF(ISBLANK(B5119),"OK",IF(A5119-B5119=0,"OK","Error?"))</f>
        <v>Error?</v>
      </c>
    </row>
    <row r="5120" spans="1:4" x14ac:dyDescent="0.2">
      <c r="A5120" s="5">
        <v>5059</v>
      </c>
      <c r="B5120" s="1890">
        <f>'Revenues 9-14'!C108</f>
        <v>38238</v>
      </c>
      <c r="C5120" s="2" t="s">
        <v>569</v>
      </c>
      <c r="D5120" s="2" t="str">
        <f t="shared" si="79"/>
        <v>Error?</v>
      </c>
    </row>
    <row r="5121" spans="1:4" x14ac:dyDescent="0.2">
      <c r="A5121" s="5">
        <v>5060</v>
      </c>
      <c r="B5121" s="1890">
        <f>'Revenues 9-14'!C109</f>
        <v>3445673</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0</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594549</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599629</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599629</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599629</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129973</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129973</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129973</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129973</v>
      </c>
      <c r="C5326" s="2" t="s">
        <v>569</v>
      </c>
      <c r="D5326" s="2" t="str">
        <f t="shared" si="82"/>
        <v>Error?</v>
      </c>
    </row>
    <row r="5327" spans="1:5" x14ac:dyDescent="0.2">
      <c r="A5327" s="5">
        <v>5266</v>
      </c>
      <c r="B5327" s="1890">
        <f>'Revenues 9-14'!C268</f>
        <v>4175275</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240088</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240088</v>
      </c>
      <c r="C5526" s="2" t="s">
        <v>569</v>
      </c>
      <c r="D5526" s="2" t="str">
        <f t="shared" si="85"/>
        <v>Error?</v>
      </c>
    </row>
    <row r="5527" spans="1:4" x14ac:dyDescent="0.2">
      <c r="A5527" s="5">
        <v>5466</v>
      </c>
      <c r="B5527" s="1890">
        <f>'Revenues 9-14'!E109</f>
        <v>240088</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240088</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17</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17</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17</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17</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96013</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17</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8.5662105182390966E-2</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f>'Acct Summary 7-8'!H83</f>
        <v>4.1092579163645154E-3</v>
      </c>
      <c r="D6281" s="2" t="str">
        <f t="shared" si="97"/>
        <v>Error?</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5080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253208</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2100000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-31241</v>
      </c>
      <c r="D7820" s="2" t="str">
        <f t="shared" si="128"/>
        <v>Error?</v>
      </c>
    </row>
    <row r="7821" spans="1:5" x14ac:dyDescent="0.2">
      <c r="A7821">
        <v>7760</v>
      </c>
      <c r="B7821" s="1890">
        <f>'ICR Computation 30'!G40</f>
        <v>-31241</v>
      </c>
      <c r="D7821" s="2" t="str">
        <f t="shared" si="128"/>
        <v>Error?</v>
      </c>
    </row>
    <row r="7822" spans="1:5" x14ac:dyDescent="0.2">
      <c r="A7822" s="1">
        <v>7761</v>
      </c>
      <c r="B7822" s="1890">
        <f>'PCTC-OEPP 27-28'!F14</f>
        <v>4319350</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5310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717260</v>
      </c>
      <c r="D7834" s="2" t="str">
        <f t="shared" si="129"/>
        <v>Error?</v>
      </c>
      <c r="E7834" s="4" t="s">
        <v>2001</v>
      </c>
    </row>
    <row r="7835" spans="1:5" x14ac:dyDescent="0.2">
      <c r="A7835">
        <v>7774</v>
      </c>
      <c r="B7835" s="1890">
        <f>'PCTC-OEPP 27-28'!F78</f>
        <v>3602090</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t="str">
        <f>'PCTC-OEPP 27-28'!F80</f>
        <v xml:space="preserve"> Complete Line 79</v>
      </c>
      <c r="D7837" s="2" t="e">
        <f t="shared" si="129"/>
        <v>#VALUE!</v>
      </c>
      <c r="E7837" s="4" t="s">
        <v>2001</v>
      </c>
    </row>
    <row r="7838" spans="1:5" x14ac:dyDescent="0.2">
      <c r="A7838">
        <v>7777</v>
      </c>
      <c r="B7838" s="1890">
        <f>'PCTC-OEPP 27-28'!F96</f>
        <v>34981</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240088</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599629</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0</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129973</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1012591</v>
      </c>
      <c r="D7877" s="2" t="str">
        <f t="shared" si="129"/>
        <v>Error?</v>
      </c>
      <c r="E7877" s="4" t="s">
        <v>2001</v>
      </c>
    </row>
    <row r="7878" spans="1:5" x14ac:dyDescent="0.2">
      <c r="A7878">
        <v>7817</v>
      </c>
      <c r="B7878" s="1890">
        <f>'PCTC-OEPP 27-28'!F176</f>
        <v>2589499</v>
      </c>
      <c r="D7878" s="2" t="str">
        <f t="shared" si="129"/>
        <v>Error?</v>
      </c>
      <c r="E7878" s="4" t="s">
        <v>2001</v>
      </c>
    </row>
    <row r="7879" spans="1:5" x14ac:dyDescent="0.2">
      <c r="A7879">
        <v>7818</v>
      </c>
      <c r="B7879" s="1890">
        <f>'PCTC-OEPP 27-28'!F178</f>
        <v>2842707</v>
      </c>
      <c r="D7879" s="2" t="str">
        <f t="shared" si="129"/>
        <v>Error?</v>
      </c>
      <c r="E7879" s="4" t="s">
        <v>2001</v>
      </c>
    </row>
    <row r="7880" spans="1:5" x14ac:dyDescent="0.2">
      <c r="A7880">
        <v>7819</v>
      </c>
      <c r="B7880" s="1890"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3" t="s">
        <v>1183</v>
      </c>
      <c r="B2" s="2443"/>
      <c r="C2" s="2443"/>
      <c r="D2" s="2443"/>
      <c r="E2" s="2443"/>
      <c r="F2" s="2443"/>
      <c r="G2" s="2443"/>
      <c r="H2" s="2443"/>
      <c r="I2" s="2443"/>
      <c r="J2" s="2443"/>
      <c r="K2" s="2443"/>
      <c r="L2" s="2443"/>
    </row>
    <row r="3" spans="1:29" ht="13.5" customHeight="1" x14ac:dyDescent="0.2">
      <c r="A3" s="2475" t="s">
        <v>1182</v>
      </c>
      <c r="B3" s="2475"/>
      <c r="C3" s="2475"/>
      <c r="D3" s="2475"/>
      <c r="E3" s="2475"/>
      <c r="F3" s="2475"/>
      <c r="G3" s="2475"/>
      <c r="H3" s="2475"/>
      <c r="I3" s="2475"/>
      <c r="J3" s="2475"/>
      <c r="K3" s="2475"/>
      <c r="L3" s="2475"/>
    </row>
    <row r="4" spans="1:29" ht="13.5" customHeight="1" x14ac:dyDescent="0.2">
      <c r="A4" s="2464" t="str">
        <f>"Year Ending June 30, "&amp;'AFR20'!E2</f>
        <v>Year Ending June 30, 2020</v>
      </c>
      <c r="B4" s="2465"/>
      <c r="C4" s="2465"/>
      <c r="D4" s="2465"/>
      <c r="E4" s="2465"/>
      <c r="F4" s="2465"/>
      <c r="G4" s="2465"/>
      <c r="H4" s="2465"/>
      <c r="I4" s="2465"/>
      <c r="J4" s="2465"/>
      <c r="K4" s="2465"/>
      <c r="L4" s="2465"/>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6" t="str">
        <f>COVER!A17</f>
        <v>Wilco Area Career Center</v>
      </c>
      <c r="B7" s="2467"/>
      <c r="C7" s="2467"/>
      <c r="D7" s="2468"/>
      <c r="E7" s="2469">
        <f>COVER!A13</f>
        <v>56000000040</v>
      </c>
      <c r="F7" s="2470"/>
      <c r="G7" s="2476" t="str">
        <f>COVER!T23</f>
        <v>066-005100</v>
      </c>
      <c r="H7" s="2477"/>
      <c r="I7" s="2477"/>
      <c r="J7" s="2477"/>
      <c r="K7" s="2477"/>
      <c r="L7" s="2478"/>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9"/>
      <c r="B9" s="2480"/>
      <c r="C9" s="2480"/>
      <c r="D9" s="2480"/>
      <c r="E9" s="2480"/>
      <c r="F9" s="2481"/>
      <c r="G9" s="2449" t="str">
        <f>COVER!T13</f>
        <v>Mack &amp; Associates, P.C.</v>
      </c>
      <c r="H9" s="2482"/>
      <c r="I9" s="2482"/>
      <c r="J9" s="2482"/>
      <c r="K9" s="2482"/>
      <c r="L9" s="2483"/>
    </row>
    <row r="10" spans="1:29" ht="13.5" customHeight="1" x14ac:dyDescent="0.2">
      <c r="A10" s="2455" t="str">
        <f>COVER!A38</f>
        <v>Elizabeth Kaufman</v>
      </c>
      <c r="B10" s="2456"/>
      <c r="C10" s="2456"/>
      <c r="D10" s="2456"/>
      <c r="E10" s="2456"/>
      <c r="F10" s="2457"/>
      <c r="G10" s="2449" t="str">
        <f>COVER!T17</f>
        <v>116 E. Washington St., Suite One</v>
      </c>
      <c r="H10" s="2450"/>
      <c r="I10" s="2450"/>
      <c r="J10" s="2450"/>
      <c r="K10" s="2450"/>
      <c r="L10" s="2451"/>
    </row>
    <row r="11" spans="1:29" ht="13.5" customHeight="1" x14ac:dyDescent="0.2">
      <c r="A11" s="1008" t="s">
        <v>1505</v>
      </c>
      <c r="B11" s="1009"/>
      <c r="C11" s="1010"/>
      <c r="D11" s="1015"/>
      <c r="E11" s="1010"/>
      <c r="F11" s="1014"/>
      <c r="G11" s="2449" t="str">
        <f>COVER!T19</f>
        <v>Morris</v>
      </c>
      <c r="H11" s="2450"/>
      <c r="I11" s="2450"/>
      <c r="J11" s="2450"/>
      <c r="K11" s="2450"/>
      <c r="L11" s="2451"/>
    </row>
    <row r="12" spans="1:29" ht="13.5" customHeight="1" x14ac:dyDescent="0.2">
      <c r="A12" s="2458" t="s">
        <v>1504</v>
      </c>
      <c r="B12" s="2459"/>
      <c r="C12" s="2459"/>
      <c r="D12" s="2459"/>
      <c r="E12" s="2459"/>
      <c r="F12" s="2460"/>
      <c r="G12" s="2452"/>
      <c r="H12" s="2453"/>
      <c r="I12" s="2453"/>
      <c r="J12" s="2453"/>
      <c r="K12" s="2453"/>
      <c r="L12" s="2454"/>
    </row>
    <row r="13" spans="1:29" ht="13.5" customHeight="1" x14ac:dyDescent="0.2">
      <c r="A13" s="2449"/>
      <c r="B13" s="2450"/>
      <c r="C13" s="2450"/>
      <c r="D13" s="2450"/>
      <c r="E13" s="2450"/>
      <c r="F13" s="2451"/>
      <c r="G13" s="2444" t="s">
        <v>1506</v>
      </c>
      <c r="H13" s="2445"/>
      <c r="I13" s="2461" t="str">
        <f>COVER!T25</f>
        <v>tmak@mackcpas.com</v>
      </c>
      <c r="J13" s="2462"/>
      <c r="K13" s="2462"/>
      <c r="L13" s="2463"/>
    </row>
    <row r="14" spans="1:29" ht="13.5" customHeight="1" x14ac:dyDescent="0.2">
      <c r="A14" s="2449" t="str">
        <f>COVER!A19</f>
        <v>500 Wilco Boulevard</v>
      </c>
      <c r="B14" s="2450"/>
      <c r="C14" s="2450"/>
      <c r="D14" s="2450"/>
      <c r="E14" s="2450"/>
      <c r="F14" s="2451"/>
      <c r="G14" s="1019" t="s">
        <v>1177</v>
      </c>
      <c r="H14" s="1017"/>
      <c r="I14" s="1017"/>
      <c r="J14" s="1017"/>
      <c r="K14" s="1017"/>
      <c r="L14" s="1018"/>
    </row>
    <row r="15" spans="1:29" ht="13.5" customHeight="1" x14ac:dyDescent="0.2">
      <c r="A15" s="2449" t="str">
        <f>COVER!A21</f>
        <v>Romeoville</v>
      </c>
      <c r="B15" s="2450"/>
      <c r="C15" s="2450"/>
      <c r="D15" s="2450"/>
      <c r="E15" s="2450"/>
      <c r="F15" s="2451"/>
      <c r="G15" s="2446" t="str">
        <f>COVER!T15</f>
        <v>Tawnya Mack, CPA</v>
      </c>
      <c r="H15" s="2447"/>
      <c r="I15" s="2447"/>
      <c r="J15" s="2447"/>
      <c r="K15" s="2447"/>
      <c r="L15" s="2448"/>
    </row>
    <row r="16" spans="1:29" ht="12.2" customHeight="1" x14ac:dyDescent="0.2">
      <c r="A16" s="2472">
        <f>COVER!A25</f>
        <v>60441</v>
      </c>
      <c r="B16" s="2473"/>
      <c r="C16" s="2473"/>
      <c r="D16" s="2473"/>
      <c r="E16" s="2473"/>
      <c r="F16" s="2474"/>
      <c r="G16" s="2484"/>
      <c r="H16" s="2485"/>
      <c r="I16" s="2485"/>
      <c r="J16" s="2485"/>
      <c r="K16" s="2485"/>
      <c r="L16" s="2486"/>
    </row>
    <row r="17" spans="1:13" ht="12.2" customHeight="1" x14ac:dyDescent="0.2">
      <c r="A17" s="2487"/>
      <c r="B17" s="2473"/>
      <c r="C17" s="2473"/>
      <c r="D17" s="2473"/>
      <c r="E17" s="2473"/>
      <c r="F17" s="2474"/>
      <c r="G17" s="1019" t="s">
        <v>1176</v>
      </c>
      <c r="H17" s="1017"/>
      <c r="I17" s="1017"/>
      <c r="J17" s="1017"/>
      <c r="K17" s="1021" t="s">
        <v>1175</v>
      </c>
      <c r="L17" s="1014"/>
      <c r="M17" s="1007"/>
    </row>
    <row r="18" spans="1:13" ht="12.2" customHeight="1" x14ac:dyDescent="0.2">
      <c r="A18" s="2455"/>
      <c r="B18" s="2456"/>
      <c r="C18" s="2456"/>
      <c r="D18" s="2456"/>
      <c r="E18" s="2456"/>
      <c r="F18" s="2457"/>
      <c r="G18" s="2466" t="str">
        <f>COVER!T21</f>
        <v>815-942-3306</v>
      </c>
      <c r="H18" s="2467"/>
      <c r="I18" s="2467"/>
      <c r="J18" s="2467"/>
      <c r="K18" s="2466" t="str">
        <f>COVER!X21</f>
        <v>815-942-9430</v>
      </c>
      <c r="L18" s="2471"/>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8" t="str">
        <f>'Single Audit Cover'!A7</f>
        <v>Wilco Area Career Center</v>
      </c>
      <c r="B1" s="2489"/>
      <c r="C1" s="2489"/>
      <c r="D1" s="2489"/>
    </row>
    <row r="2" spans="1:11" s="1036" customFormat="1" ht="12.75" x14ac:dyDescent="0.2">
      <c r="A2" s="2490">
        <f>'Single Audit Cover'!E7</f>
        <v>56000000040</v>
      </c>
      <c r="B2" s="2491"/>
      <c r="C2" s="2491"/>
      <c r="D2" s="2491"/>
    </row>
    <row r="3" spans="1:11" s="1036" customFormat="1" ht="12.75" x14ac:dyDescent="0.2">
      <c r="A3" s="2488" t="s">
        <v>1499</v>
      </c>
      <c r="B3" s="2489"/>
      <c r="C3" s="2489"/>
      <c r="D3" s="2489"/>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3" t="str">
        <f>'Single Audit Cover'!A7</f>
        <v>Wilco Area Career Center</v>
      </c>
      <c r="B1" s="2493"/>
      <c r="C1" s="2493"/>
      <c r="D1" s="2493"/>
      <c r="E1" s="2493"/>
    </row>
    <row r="2" spans="1:5" x14ac:dyDescent="0.2">
      <c r="A2" s="2494">
        <f>'Single Audit Cover'!E7</f>
        <v>56000000040</v>
      </c>
      <c r="B2" s="2494"/>
      <c r="C2" s="2494"/>
      <c r="D2" s="2494"/>
      <c r="E2" s="2494"/>
    </row>
    <row r="3" spans="1:5" ht="4.5" customHeight="1" x14ac:dyDescent="0.2"/>
    <row r="4" spans="1:5" x14ac:dyDescent="0.2">
      <c r="A4" s="2493" t="s">
        <v>1236</v>
      </c>
      <c r="B4" s="2493"/>
      <c r="C4" s="2493"/>
      <c r="D4" s="2493"/>
      <c r="E4" s="2493"/>
    </row>
    <row r="5" spans="1:5" x14ac:dyDescent="0.2">
      <c r="A5" s="2496" t="str">
        <f>'Single Audit Cover'!A4</f>
        <v>Year Ending June 30, 2020</v>
      </c>
      <c r="B5" s="2496"/>
      <c r="C5" s="2496"/>
      <c r="D5" s="2496"/>
      <c r="E5" s="2496"/>
    </row>
    <row r="6" spans="1:5" x14ac:dyDescent="0.2">
      <c r="A6" s="2493" t="s">
        <v>1235</v>
      </c>
      <c r="B6" s="2493"/>
      <c r="C6" s="2493"/>
      <c r="D6" s="2493"/>
      <c r="E6" s="2493"/>
    </row>
    <row r="8" spans="1:5" x14ac:dyDescent="0.2">
      <c r="A8" s="1081" t="s">
        <v>1234</v>
      </c>
    </row>
    <row r="10" spans="1:5" x14ac:dyDescent="0.2">
      <c r="A10" s="1082" t="s">
        <v>1233</v>
      </c>
      <c r="B10" s="1083" t="s">
        <v>1232</v>
      </c>
      <c r="C10" s="1083"/>
      <c r="D10" s="1084">
        <f>SUM('Acct Summary 7-8'!C7:K7)</f>
        <v>129973</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129973</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5"/>
      <c r="B24" s="2495"/>
      <c r="D24" s="1089"/>
    </row>
    <row r="25" spans="1:4" x14ac:dyDescent="0.2">
      <c r="A25" s="2492"/>
      <c r="B25" s="2492"/>
      <c r="D25" s="1089"/>
    </row>
    <row r="26" spans="1:4" x14ac:dyDescent="0.2">
      <c r="A26" s="2492"/>
      <c r="B26" s="2492"/>
      <c r="D26" s="1089"/>
    </row>
    <row r="27" spans="1:4" x14ac:dyDescent="0.2">
      <c r="A27" s="2492"/>
      <c r="B27" s="2492"/>
      <c r="D27" s="1089"/>
    </row>
    <row r="28" spans="1:4" x14ac:dyDescent="0.2">
      <c r="A28" s="2492"/>
      <c r="B28" s="2492"/>
      <c r="D28" s="1089"/>
    </row>
    <row r="29" spans="1:4" x14ac:dyDescent="0.2">
      <c r="A29" s="2492"/>
      <c r="B29" s="2492"/>
      <c r="D29" s="1089"/>
    </row>
    <row r="30" spans="1:4" x14ac:dyDescent="0.2">
      <c r="A30" s="2492"/>
      <c r="B30" s="2492"/>
      <c r="D30" s="1089"/>
    </row>
    <row r="32" spans="1:4" x14ac:dyDescent="0.2">
      <c r="A32" s="1081" t="s">
        <v>1224</v>
      </c>
      <c r="D32" s="1084">
        <f>SUM(D19:D30)</f>
        <v>129973</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2"/>
      <c r="B40" s="2492"/>
      <c r="D40" s="1089"/>
    </row>
    <row r="41" spans="1:4" x14ac:dyDescent="0.2">
      <c r="A41" s="2492"/>
      <c r="B41" s="2492"/>
      <c r="D41" s="1092"/>
    </row>
    <row r="42" spans="1:4" x14ac:dyDescent="0.2">
      <c r="A42" s="2492"/>
      <c r="B42" s="2492"/>
      <c r="D42" s="1092"/>
    </row>
    <row r="43" spans="1:4" x14ac:dyDescent="0.2">
      <c r="A43" s="2492"/>
      <c r="B43" s="2492"/>
      <c r="D43" s="1092"/>
    </row>
    <row r="44" spans="1:4" x14ac:dyDescent="0.2">
      <c r="A44" s="2492"/>
      <c r="B44" s="2492"/>
      <c r="D44" s="1092"/>
    </row>
    <row r="45" spans="1:4" x14ac:dyDescent="0.2">
      <c r="A45" s="2492"/>
      <c r="B45" s="2492"/>
      <c r="D45" s="1092"/>
    </row>
    <row r="47" spans="1:4" x14ac:dyDescent="0.2">
      <c r="B47" s="1093" t="s">
        <v>1218</v>
      </c>
      <c r="C47" s="1093"/>
      <c r="D47" s="1094">
        <f>SUM(D35:D45)</f>
        <v>0</v>
      </c>
    </row>
    <row r="49" spans="2:4" x14ac:dyDescent="0.2">
      <c r="B49" s="1093" t="s">
        <v>1217</v>
      </c>
      <c r="C49" s="1093"/>
      <c r="D49" s="1094">
        <f>D32-D47</f>
        <v>129973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5" t="str">
        <f>'Single Audit Cover'!A7</f>
        <v>Wilco Area Career Center</v>
      </c>
      <c r="C1" s="2497"/>
      <c r="D1" s="2497"/>
      <c r="E1" s="2497"/>
      <c r="F1" s="2497"/>
      <c r="G1" s="2497"/>
      <c r="H1" s="2497"/>
      <c r="I1" s="2497"/>
      <c r="J1" s="2497"/>
      <c r="K1" s="2497"/>
      <c r="L1" s="2497"/>
      <c r="M1" s="2497"/>
    </row>
    <row r="2" spans="2:14" ht="15" x14ac:dyDescent="0.2">
      <c r="B2" s="2498">
        <f>'Single Audit Cover'!E7</f>
        <v>56000000040</v>
      </c>
      <c r="C2" s="2498"/>
      <c r="D2" s="2498"/>
      <c r="E2" s="2498"/>
      <c r="F2" s="2498"/>
      <c r="G2" s="2498"/>
      <c r="H2" s="2498"/>
      <c r="I2" s="2498"/>
      <c r="J2" s="2498"/>
      <c r="K2" s="2498"/>
      <c r="L2" s="2498"/>
      <c r="M2" s="2498"/>
      <c r="N2" s="1123"/>
    </row>
    <row r="3" spans="2:14" ht="15" x14ac:dyDescent="0.2">
      <c r="B3" s="2499" t="s">
        <v>1210</v>
      </c>
      <c r="C3" s="2499"/>
      <c r="D3" s="2499"/>
      <c r="E3" s="2499"/>
      <c r="F3" s="2499"/>
      <c r="G3" s="2499"/>
      <c r="H3" s="2499"/>
      <c r="I3" s="2499"/>
      <c r="J3" s="2499"/>
      <c r="K3" s="2499"/>
      <c r="L3" s="2499"/>
      <c r="M3" s="2499"/>
      <c r="N3" s="1123"/>
    </row>
    <row r="4" spans="2:14" ht="15" x14ac:dyDescent="0.2">
      <c r="B4" s="2500" t="str">
        <f>'Single Audit Cover'!A4</f>
        <v>Year Ending June 30, 2020</v>
      </c>
      <c r="C4" s="2500"/>
      <c r="D4" s="2500"/>
      <c r="E4" s="2500"/>
      <c r="F4" s="2500"/>
      <c r="G4" s="2500"/>
      <c r="H4" s="2500"/>
      <c r="I4" s="2500"/>
      <c r="J4" s="2500"/>
      <c r="K4" s="2500"/>
      <c r="L4" s="2500"/>
      <c r="M4" s="2500"/>
      <c r="N4" s="1123"/>
    </row>
    <row r="5" spans="2:14" x14ac:dyDescent="0.2">
      <c r="H5" s="1984"/>
      <c r="J5" s="1984"/>
    </row>
    <row r="6" spans="2:14" x14ac:dyDescent="0.2">
      <c r="B6" s="1124"/>
      <c r="C6" s="1125"/>
      <c r="D6" s="1126" t="s">
        <v>1256</v>
      </c>
      <c r="E6" s="1127" t="s">
        <v>524</v>
      </c>
      <c r="F6" s="1128"/>
      <c r="G6" s="1129" t="s">
        <v>1714</v>
      </c>
      <c r="H6" s="1127"/>
      <c r="I6" s="1127"/>
      <c r="J6" s="1985"/>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3" t="str">
        <f>"7/1/"&amp;MID('AFR20'!$E$2,3,2)-2&amp;"-6/30/"&amp;MID('AFR20'!$E$2,3,2)-1</f>
        <v>7/1/18-6/30/19</v>
      </c>
      <c r="F9" s="1983" t="str">
        <f>"7/1/"&amp;MID('AFR20'!$E$2,3,2)-1&amp;"-6/30/"&amp;MID('AFR20'!$E$2,3,2)</f>
        <v>7/1/19-6/30/20</v>
      </c>
      <c r="G9" s="1983" t="str">
        <f>"7/1/"&amp;MID('AFR20'!$E$2,3,2)-2&amp;"-6/30/"&amp;MID('AFR20'!$E$2,3,2)-1</f>
        <v>7/1/18-6/30/19</v>
      </c>
      <c r="H9" s="1138" t="s">
        <v>1568</v>
      </c>
      <c r="I9" s="1983"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10" t="str">
        <f>'Single Audit Cover'!A7</f>
        <v>Wilco Area Career Center</v>
      </c>
      <c r="B1" s="2510"/>
      <c r="C1" s="2510"/>
      <c r="D1" s="2510"/>
      <c r="E1" s="2510"/>
      <c r="F1" s="2510"/>
    </row>
    <row r="2" spans="1:7" ht="13.5" customHeight="1" x14ac:dyDescent="0.2">
      <c r="A2" s="2498">
        <f>'Single Audit Cover'!E7</f>
        <v>56000000040</v>
      </c>
      <c r="B2" s="2498"/>
      <c r="C2" s="2498"/>
      <c r="D2" s="2498"/>
      <c r="E2" s="2498"/>
      <c r="F2" s="2498"/>
      <c r="G2" s="1096"/>
    </row>
    <row r="3" spans="1:7" ht="15.75" customHeight="1" x14ac:dyDescent="0.2">
      <c r="A3" s="2511" t="s">
        <v>1262</v>
      </c>
      <c r="B3" s="2511"/>
      <c r="C3" s="2511"/>
      <c r="D3" s="2511"/>
      <c r="E3" s="2511"/>
      <c r="F3" s="2511"/>
    </row>
    <row r="4" spans="1:7" ht="13.5" customHeight="1" x14ac:dyDescent="0.2">
      <c r="A4" s="2512" t="str">
        <f>'Single Audit Cover'!A4</f>
        <v>Year Ending June 30, 2020</v>
      </c>
      <c r="B4" s="2512"/>
      <c r="C4" s="2512"/>
      <c r="D4" s="2512"/>
      <c r="E4" s="2512"/>
      <c r="F4" s="2512"/>
    </row>
    <row r="5" spans="1:7" ht="8.25" customHeight="1" x14ac:dyDescent="0.2">
      <c r="C5" s="295"/>
      <c r="D5" s="295"/>
    </row>
    <row r="6" spans="1:7" ht="13.5" customHeight="1" x14ac:dyDescent="0.2">
      <c r="A6" s="1097" t="s">
        <v>1708</v>
      </c>
      <c r="C6" s="295"/>
      <c r="D6" s="295"/>
    </row>
    <row r="7" spans="1:7" ht="60.95" customHeight="1" x14ac:dyDescent="0.2">
      <c r="A7" s="2509" t="s">
        <v>1709</v>
      </c>
      <c r="B7" s="2509"/>
      <c r="C7" s="2509"/>
      <c r="D7" s="2509"/>
      <c r="E7" s="2509"/>
      <c r="F7" s="2509"/>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9" t="s">
        <v>1711</v>
      </c>
      <c r="B13" s="2509"/>
      <c r="C13" s="2509"/>
      <c r="D13" s="2509"/>
      <c r="E13" s="2509"/>
      <c r="F13" s="2509"/>
    </row>
    <row r="14" spans="1:7" ht="9.75" customHeight="1" x14ac:dyDescent="0.2">
      <c r="C14" s="1081"/>
      <c r="D14" s="1081"/>
    </row>
    <row r="15" spans="1:7" ht="13.5" customHeight="1" x14ac:dyDescent="0.2">
      <c r="C15" s="1525" t="s">
        <v>1261</v>
      </c>
      <c r="D15" s="2507" t="s">
        <v>1260</v>
      </c>
      <c r="E15" s="2507"/>
      <c r="F15" s="2507"/>
    </row>
    <row r="16" spans="1:7" ht="13.5" customHeight="1" x14ac:dyDescent="0.2">
      <c r="A16" s="1103"/>
      <c r="B16" s="1097" t="s">
        <v>1259</v>
      </c>
      <c r="C16" s="1525" t="s">
        <v>1258</v>
      </c>
      <c r="D16" s="2508" t="s">
        <v>1574</v>
      </c>
      <c r="E16" s="2508"/>
      <c r="F16" s="2508"/>
    </row>
    <row r="17" spans="1:6" ht="20.45" customHeight="1" x14ac:dyDescent="0.2">
      <c r="A17" s="1104"/>
      <c r="B17" s="1105"/>
      <c r="C17" s="1106"/>
      <c r="D17" s="2502"/>
      <c r="E17" s="2502"/>
      <c r="F17" s="2502"/>
    </row>
    <row r="18" spans="1:6" ht="20.65" customHeight="1" x14ac:dyDescent="0.2">
      <c r="A18" s="1104"/>
      <c r="B18" s="1105"/>
      <c r="C18" s="1106"/>
      <c r="D18" s="2502"/>
      <c r="E18" s="2502"/>
      <c r="F18" s="2502"/>
    </row>
    <row r="19" spans="1:6" ht="20.65" customHeight="1" x14ac:dyDescent="0.2">
      <c r="A19" s="1104"/>
      <c r="B19" s="1105"/>
      <c r="C19" s="1106"/>
      <c r="D19" s="2502"/>
      <c r="E19" s="2502"/>
      <c r="F19" s="2502"/>
    </row>
    <row r="20" spans="1:6" ht="20.65" customHeight="1" x14ac:dyDescent="0.2">
      <c r="A20" s="1104"/>
      <c r="B20" s="1105"/>
      <c r="C20" s="1106"/>
      <c r="D20" s="2502"/>
      <c r="E20" s="2502"/>
      <c r="F20" s="2502"/>
    </row>
    <row r="21" spans="1:6" ht="20.65" customHeight="1" x14ac:dyDescent="0.2">
      <c r="A21" s="1104"/>
      <c r="B21" s="1105"/>
      <c r="C21" s="1106"/>
      <c r="D21" s="2502"/>
      <c r="E21" s="2502"/>
      <c r="F21" s="2502"/>
    </row>
    <row r="22" spans="1:6" ht="20.65" customHeight="1" x14ac:dyDescent="0.2">
      <c r="A22" s="1104"/>
      <c r="B22" s="1105"/>
      <c r="C22" s="1106"/>
      <c r="D22" s="2502"/>
      <c r="E22" s="2502"/>
      <c r="F22" s="2502"/>
    </row>
    <row r="23" spans="1:6" ht="20.65" customHeight="1" x14ac:dyDescent="0.2">
      <c r="A23" s="1104"/>
      <c r="B23" s="1105"/>
      <c r="C23" s="1106"/>
      <c r="D23" s="2502"/>
      <c r="E23" s="2502"/>
      <c r="F23" s="2502"/>
    </row>
    <row r="24" spans="1:6" ht="20.65" customHeight="1" x14ac:dyDescent="0.2">
      <c r="A24" s="1104"/>
      <c r="B24" s="1105"/>
      <c r="C24" s="1106"/>
      <c r="D24" s="2502"/>
      <c r="E24" s="2502"/>
      <c r="F24" s="2502"/>
    </row>
    <row r="25" spans="1:6" ht="20.65" customHeight="1" x14ac:dyDescent="0.2">
      <c r="A25" s="1104"/>
      <c r="B25" s="1105"/>
      <c r="C25" s="1106"/>
      <c r="D25" s="2502"/>
      <c r="E25" s="2502"/>
      <c r="F25" s="2502"/>
    </row>
    <row r="26" spans="1:6" ht="20.65" customHeight="1" x14ac:dyDescent="0.2">
      <c r="A26" s="1104"/>
      <c r="B26" s="1105"/>
      <c r="C26" s="1106"/>
      <c r="D26" s="2502"/>
      <c r="E26" s="2502"/>
      <c r="F26" s="2502"/>
    </row>
    <row r="27" spans="1:6" ht="20.65" customHeight="1" x14ac:dyDescent="0.2">
      <c r="A27" s="1104"/>
      <c r="B27" s="1105"/>
      <c r="C27" s="1106"/>
      <c r="D27" s="2502"/>
      <c r="E27" s="2502"/>
      <c r="F27" s="2502"/>
    </row>
    <row r="28" spans="1:6" ht="20.65" customHeight="1" x14ac:dyDescent="0.2">
      <c r="A28" s="1104"/>
      <c r="B28" s="1105"/>
      <c r="C28" s="1106"/>
      <c r="D28" s="2502"/>
      <c r="E28" s="2502"/>
      <c r="F28" s="2502"/>
    </row>
    <row r="29" spans="1:6" ht="20.65" customHeight="1" x14ac:dyDescent="0.2">
      <c r="A29" s="1104"/>
      <c r="B29" s="1105"/>
      <c r="C29" s="1106"/>
      <c r="D29" s="2502"/>
      <c r="E29" s="2502"/>
      <c r="F29" s="2502"/>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3" t="s">
        <v>1712</v>
      </c>
      <c r="B32" s="2503"/>
      <c r="C32" s="2503"/>
      <c r="D32" s="2503"/>
      <c r="E32" s="2503"/>
      <c r="F32" s="2503"/>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4">
        <f>+C33+C34</f>
        <v>0</v>
      </c>
      <c r="F34" s="2505"/>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6" t="s">
        <v>1576</v>
      </c>
      <c r="C49" s="2506"/>
      <c r="D49" s="2506"/>
      <c r="E49" s="1213"/>
    </row>
    <row r="50" spans="1:5" s="1121" customFormat="1" ht="3.75" customHeight="1" x14ac:dyDescent="0.2">
      <c r="A50" s="1120"/>
      <c r="B50" s="1524"/>
      <c r="C50" s="1524"/>
      <c r="D50" s="1524"/>
      <c r="E50" s="1213"/>
    </row>
    <row r="51" spans="1:5" s="1121" customFormat="1" ht="20.25" customHeight="1" x14ac:dyDescent="0.2">
      <c r="A51" s="1122">
        <v>6</v>
      </c>
      <c r="B51" s="2501" t="s">
        <v>1537</v>
      </c>
      <c r="C51" s="2501"/>
      <c r="D51" s="2501"/>
    </row>
    <row r="52" spans="1:5" ht="14.25" customHeight="1" x14ac:dyDescent="0.2">
      <c r="A52" s="1122"/>
      <c r="B52" s="2501"/>
      <c r="C52" s="2501"/>
      <c r="D52" s="250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8" t="s">
        <v>1160</v>
      </c>
      <c r="B2" s="2108"/>
      <c r="C2" s="2108"/>
      <c r="D2" s="2108"/>
      <c r="E2" s="2108"/>
      <c r="F2" s="2108"/>
      <c r="G2" s="2108"/>
      <c r="H2" s="2108"/>
      <c r="I2" s="2108"/>
      <c r="J2" s="210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2" t="s">
        <v>1619</v>
      </c>
      <c r="B35" s="2123"/>
      <c r="C35" s="2123"/>
      <c r="D35" s="2123"/>
      <c r="E35" s="2124"/>
      <c r="F35" s="2124"/>
      <c r="G35" s="2124"/>
      <c r="H35" s="2124"/>
      <c r="I35" s="212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2" t="s">
        <v>310</v>
      </c>
      <c r="B47" s="2125"/>
      <c r="C47" s="2125"/>
      <c r="D47" s="2125"/>
      <c r="E47" s="2126"/>
      <c r="F47" s="2126"/>
      <c r="G47" s="2126"/>
      <c r="H47" s="2126"/>
      <c r="I47" s="212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9"/>
      <c r="C57" s="2130"/>
      <c r="D57" s="2130"/>
      <c r="E57" s="2130"/>
      <c r="F57" s="2130"/>
      <c r="G57" s="2130"/>
      <c r="H57" s="2130"/>
      <c r="I57" s="2130"/>
      <c r="J57" s="2131"/>
    </row>
    <row r="58" spans="1:10" s="176" customFormat="1" x14ac:dyDescent="0.2">
      <c r="A58" s="248"/>
      <c r="B58" s="2132"/>
      <c r="C58" s="2133"/>
      <c r="D58" s="2133"/>
      <c r="E58" s="2133"/>
      <c r="F58" s="2133"/>
      <c r="G58" s="2133"/>
      <c r="H58" s="2133"/>
      <c r="I58" s="2133"/>
      <c r="J58" s="2134"/>
    </row>
    <row r="59" spans="1:10" s="176" customFormat="1" x14ac:dyDescent="0.2">
      <c r="A59" s="248"/>
      <c r="B59" s="2132"/>
      <c r="C59" s="2133"/>
      <c r="D59" s="2133"/>
      <c r="E59" s="2133"/>
      <c r="F59" s="2133"/>
      <c r="G59" s="2133"/>
      <c r="H59" s="2133"/>
      <c r="I59" s="2133"/>
      <c r="J59" s="2134"/>
    </row>
    <row r="60" spans="1:10" s="176" customFormat="1" x14ac:dyDescent="0.2">
      <c r="A60" s="248"/>
      <c r="B60" s="2132"/>
      <c r="C60" s="2133"/>
      <c r="D60" s="2133"/>
      <c r="E60" s="2133"/>
      <c r="F60" s="2133"/>
      <c r="G60" s="2133"/>
      <c r="H60" s="2133"/>
      <c r="I60" s="2133"/>
      <c r="J60" s="2134"/>
    </row>
    <row r="61" spans="1:10" s="176" customFormat="1" x14ac:dyDescent="0.2">
      <c r="A61" s="248"/>
      <c r="B61" s="2132"/>
      <c r="C61" s="2133"/>
      <c r="D61" s="2133"/>
      <c r="E61" s="2133"/>
      <c r="F61" s="2133"/>
      <c r="G61" s="2133"/>
      <c r="H61" s="2133"/>
      <c r="I61" s="2133"/>
      <c r="J61" s="2134"/>
    </row>
    <row r="62" spans="1:10" s="176" customFormat="1" x14ac:dyDescent="0.2">
      <c r="A62" s="248"/>
      <c r="B62" s="2132"/>
      <c r="C62" s="2133"/>
      <c r="D62" s="2133"/>
      <c r="E62" s="2133"/>
      <c r="F62" s="2133"/>
      <c r="G62" s="2133"/>
      <c r="H62" s="2133"/>
      <c r="I62" s="2133"/>
      <c r="J62" s="2134"/>
    </row>
    <row r="63" spans="1:10" s="176" customFormat="1" x14ac:dyDescent="0.2">
      <c r="A63" s="248"/>
      <c r="B63" s="2132"/>
      <c r="C63" s="2133"/>
      <c r="D63" s="2133"/>
      <c r="E63" s="2133"/>
      <c r="F63" s="2133"/>
      <c r="G63" s="2133"/>
      <c r="H63" s="2133"/>
      <c r="I63" s="2133"/>
      <c r="J63" s="2134"/>
    </row>
    <row r="64" spans="1:10" s="176" customFormat="1" x14ac:dyDescent="0.2">
      <c r="A64" s="248"/>
      <c r="B64" s="2132"/>
      <c r="C64" s="2133"/>
      <c r="D64" s="2133"/>
      <c r="E64" s="2133"/>
      <c r="F64" s="2133"/>
      <c r="G64" s="2133"/>
      <c r="H64" s="2133"/>
      <c r="I64" s="2133"/>
      <c r="J64" s="2134"/>
    </row>
    <row r="65" spans="1:11" s="176" customFormat="1" x14ac:dyDescent="0.2">
      <c r="A65" s="248"/>
      <c r="B65" s="2132"/>
      <c r="C65" s="2133"/>
      <c r="D65" s="2133"/>
      <c r="E65" s="2133"/>
      <c r="F65" s="2133"/>
      <c r="G65" s="2133"/>
      <c r="H65" s="2133"/>
      <c r="I65" s="2133"/>
      <c r="J65" s="2134"/>
    </row>
    <row r="66" spans="1:11" s="176" customFormat="1" x14ac:dyDescent="0.2">
      <c r="A66" s="248"/>
      <c r="B66" s="2132"/>
      <c r="C66" s="2133"/>
      <c r="D66" s="2133"/>
      <c r="E66" s="2133"/>
      <c r="F66" s="2133"/>
      <c r="G66" s="2133"/>
      <c r="H66" s="2133"/>
      <c r="I66" s="2133"/>
      <c r="J66" s="2134"/>
    </row>
    <row r="67" spans="1:11" s="176" customFormat="1" ht="9" customHeight="1" x14ac:dyDescent="0.2">
      <c r="A67" s="249"/>
      <c r="B67" s="2135"/>
      <c r="C67" s="2136"/>
      <c r="D67" s="2136"/>
      <c r="E67" s="2136"/>
      <c r="F67" s="2136"/>
      <c r="G67" s="2136"/>
      <c r="H67" s="2136"/>
      <c r="I67" s="2136"/>
      <c r="J67" s="213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2" t="s">
        <v>1314</v>
      </c>
      <c r="B70" s="2125"/>
      <c r="C70" s="2125"/>
      <c r="D70" s="2125"/>
      <c r="E70" s="2126"/>
      <c r="F70" s="2126"/>
      <c r="G70" s="2126"/>
      <c r="H70" s="2126"/>
      <c r="I70" s="212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7" t="s">
        <v>1311</v>
      </c>
      <c r="B83" s="2127"/>
      <c r="C83" s="2127"/>
      <c r="D83" s="212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8" t="s">
        <v>1992</v>
      </c>
      <c r="B85" s="2138"/>
      <c r="C85" s="2138"/>
      <c r="D85" s="2139"/>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40" t="s">
        <v>1992</v>
      </c>
      <c r="B88" s="2141"/>
      <c r="C88" s="2141"/>
      <c r="D88" s="2142"/>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9"/>
      <c r="C102" s="2110"/>
      <c r="D102" s="2110"/>
      <c r="E102" s="2110"/>
      <c r="F102" s="2110"/>
      <c r="G102" s="2110"/>
      <c r="H102" s="2110"/>
      <c r="I102" s="2111"/>
    </row>
    <row r="103" spans="1:9" s="176" customFormat="1" ht="11.25" customHeight="1" x14ac:dyDescent="0.2">
      <c r="A103" s="294"/>
      <c r="B103" s="2112"/>
      <c r="C103" s="2113"/>
      <c r="D103" s="2113"/>
      <c r="E103" s="2113"/>
      <c r="F103" s="2113"/>
      <c r="G103" s="2113"/>
      <c r="H103" s="2113"/>
      <c r="I103" s="2114"/>
    </row>
    <row r="104" spans="1:9" s="176" customFormat="1" ht="11.25" customHeight="1" x14ac:dyDescent="0.2">
      <c r="A104" s="294"/>
      <c r="B104" s="2112"/>
      <c r="C104" s="2113"/>
      <c r="D104" s="2113"/>
      <c r="E104" s="2113"/>
      <c r="F104" s="2113"/>
      <c r="G104" s="2113"/>
      <c r="H104" s="2113"/>
      <c r="I104" s="2114"/>
    </row>
    <row r="105" spans="1:9" s="176" customFormat="1" x14ac:dyDescent="0.2">
      <c r="A105" s="294"/>
      <c r="B105" s="2112"/>
      <c r="C105" s="2113"/>
      <c r="D105" s="2113"/>
      <c r="E105" s="2113"/>
      <c r="F105" s="2113"/>
      <c r="G105" s="2113"/>
      <c r="H105" s="2113"/>
      <c r="I105" s="2114"/>
    </row>
    <row r="106" spans="1:9" s="176" customFormat="1" ht="11.25" customHeight="1" x14ac:dyDescent="0.2">
      <c r="A106" s="294"/>
      <c r="B106" s="2112"/>
      <c r="C106" s="2113"/>
      <c r="D106" s="2113"/>
      <c r="E106" s="2113"/>
      <c r="F106" s="2113"/>
      <c r="G106" s="2113"/>
      <c r="H106" s="2113"/>
      <c r="I106" s="2114"/>
    </row>
    <row r="107" spans="1:9" s="176" customFormat="1" ht="11.25" customHeight="1" x14ac:dyDescent="0.2">
      <c r="A107" s="294"/>
      <c r="B107" s="2112"/>
      <c r="C107" s="2113"/>
      <c r="D107" s="2113"/>
      <c r="E107" s="2113"/>
      <c r="F107" s="2113"/>
      <c r="G107" s="2113"/>
      <c r="H107" s="2113"/>
      <c r="I107" s="2114"/>
    </row>
    <row r="108" spans="1:9" s="176" customFormat="1" ht="11.25" customHeight="1" x14ac:dyDescent="0.2">
      <c r="A108" s="294"/>
      <c r="B108" s="2112"/>
      <c r="C108" s="2113"/>
      <c r="D108" s="2113"/>
      <c r="E108" s="2113"/>
      <c r="F108" s="2113"/>
      <c r="G108" s="2113"/>
      <c r="H108" s="2113"/>
      <c r="I108" s="2114"/>
    </row>
    <row r="109" spans="1:9" s="176" customFormat="1" ht="11.25" customHeight="1" x14ac:dyDescent="0.2">
      <c r="A109" s="294"/>
      <c r="B109" s="2112"/>
      <c r="C109" s="2113"/>
      <c r="D109" s="2113"/>
      <c r="E109" s="2113"/>
      <c r="F109" s="2113"/>
      <c r="G109" s="2113"/>
      <c r="H109" s="2113"/>
      <c r="I109" s="2114"/>
    </row>
    <row r="110" spans="1:9" s="176" customFormat="1" ht="11.25" customHeight="1" x14ac:dyDescent="0.2">
      <c r="A110" s="294"/>
      <c r="B110" s="2112"/>
      <c r="C110" s="2113"/>
      <c r="D110" s="2113"/>
      <c r="E110" s="2113"/>
      <c r="F110" s="2113"/>
      <c r="G110" s="2113"/>
      <c r="H110" s="2113"/>
      <c r="I110" s="2114"/>
    </row>
    <row r="111" spans="1:9" s="176" customFormat="1" ht="11.25" customHeight="1" x14ac:dyDescent="0.2">
      <c r="A111" s="294"/>
      <c r="B111" s="2112"/>
      <c r="C111" s="2113"/>
      <c r="D111" s="2113"/>
      <c r="E111" s="2113"/>
      <c r="F111" s="2113"/>
      <c r="G111" s="2113"/>
      <c r="H111" s="2113"/>
      <c r="I111" s="2114"/>
    </row>
    <row r="112" spans="1:9" s="176" customFormat="1" ht="11.25" customHeight="1" x14ac:dyDescent="0.2">
      <c r="A112" s="294"/>
      <c r="B112" s="2115"/>
      <c r="C112" s="2116"/>
      <c r="D112" s="2116"/>
      <c r="E112" s="2116"/>
      <c r="F112" s="2116"/>
      <c r="G112" s="2116"/>
      <c r="H112" s="2116"/>
      <c r="I112" s="211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8" t="s">
        <v>2032</v>
      </c>
      <c r="D114" s="211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9" t="s">
        <v>1321</v>
      </c>
      <c r="D117" s="2120"/>
      <c r="E117" s="2121"/>
      <c r="F117" s="2121"/>
      <c r="G117" s="2121"/>
      <c r="H117" s="2121"/>
      <c r="I117" s="282"/>
    </row>
    <row r="118" spans="1:9" s="176" customFormat="1" ht="24" customHeight="1" x14ac:dyDescent="0.2">
      <c r="A118" s="294"/>
      <c r="B118" s="294"/>
      <c r="C118" s="294"/>
      <c r="D118" s="301" t="s">
        <v>2041</v>
      </c>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4" t="str">
        <f>'Single Audit Cover'!A7</f>
        <v>Wilco Area Career Center</v>
      </c>
      <c r="C1" s="2525"/>
      <c r="D1" s="2525"/>
      <c r="E1" s="2525"/>
      <c r="F1" s="2525"/>
      <c r="G1" s="2525"/>
      <c r="H1" s="2525"/>
      <c r="I1" s="2525"/>
      <c r="J1" s="1223"/>
    </row>
    <row r="2" spans="2:10" s="295" customFormat="1" ht="12.75" customHeight="1" x14ac:dyDescent="0.2">
      <c r="B2" s="2526">
        <f>'Single Audit Cover'!E7</f>
        <v>56000000040</v>
      </c>
      <c r="C2" s="2527"/>
      <c r="D2" s="2527"/>
      <c r="E2" s="2527"/>
      <c r="F2" s="2527"/>
      <c r="G2" s="2527"/>
      <c r="H2" s="2527"/>
      <c r="I2" s="2527"/>
      <c r="J2" s="1223"/>
    </row>
    <row r="3" spans="2:10" s="295" customFormat="1" ht="12.75" customHeight="1" x14ac:dyDescent="0.2">
      <c r="B3" s="2528" t="s">
        <v>1276</v>
      </c>
      <c r="C3" s="2529"/>
      <c r="D3" s="2529"/>
      <c r="E3" s="2529"/>
      <c r="F3" s="2529"/>
      <c r="G3" s="2529"/>
      <c r="H3" s="2529"/>
      <c r="I3" s="2529"/>
      <c r="J3" s="1224"/>
    </row>
    <row r="4" spans="2:10" s="295" customFormat="1" ht="12.75" customHeight="1" x14ac:dyDescent="0.2">
      <c r="B4" s="2528" t="str">
        <f>'Single Audit Cover'!A4</f>
        <v>Year Ending June 30, 2020</v>
      </c>
      <c r="C4" s="2529"/>
      <c r="D4" s="2529"/>
      <c r="E4" s="2529"/>
      <c r="F4" s="2529"/>
      <c r="G4" s="2529"/>
      <c r="H4" s="2529"/>
      <c r="I4" s="2529"/>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8" t="s">
        <v>1275</v>
      </c>
      <c r="C7" s="2529"/>
      <c r="D7" s="2529"/>
      <c r="E7" s="2529"/>
      <c r="F7" s="2529"/>
      <c r="G7" s="2529"/>
      <c r="H7" s="2529"/>
      <c r="I7" s="2529"/>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30"/>
      <c r="D11" s="2530"/>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1"/>
      <c r="E29" s="2531"/>
      <c r="F29" s="2531"/>
      <c r="G29" s="2531"/>
      <c r="H29" s="2531"/>
      <c r="I29" s="2531"/>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2" t="s">
        <v>1731</v>
      </c>
      <c r="D37" s="2533"/>
      <c r="E37" s="2533"/>
      <c r="F37" s="2534"/>
      <c r="G37" s="2532" t="s">
        <v>1578</v>
      </c>
      <c r="H37" s="2533"/>
      <c r="I37" s="2534"/>
    </row>
    <row r="38" spans="2:9" ht="16.5" customHeight="1" x14ac:dyDescent="0.2">
      <c r="B38" s="1245"/>
      <c r="C38" s="2520"/>
      <c r="D38" s="2521"/>
      <c r="E38" s="2521"/>
      <c r="F38" s="2522"/>
      <c r="G38" s="2535"/>
      <c r="H38" s="2536"/>
      <c r="I38" s="2537"/>
    </row>
    <row r="39" spans="2:9" ht="16.5" customHeight="1" x14ac:dyDescent="0.2">
      <c r="B39" s="1245"/>
      <c r="C39" s="2520"/>
      <c r="D39" s="2521"/>
      <c r="E39" s="2521"/>
      <c r="F39" s="2522"/>
      <c r="G39" s="2523"/>
      <c r="H39" s="2523"/>
      <c r="I39" s="2523"/>
    </row>
    <row r="40" spans="2:9" ht="16.5" customHeight="1" x14ac:dyDescent="0.2">
      <c r="B40" s="1245"/>
      <c r="C40" s="2520"/>
      <c r="D40" s="2521"/>
      <c r="E40" s="2521"/>
      <c r="F40" s="2522"/>
      <c r="G40" s="2523"/>
      <c r="H40" s="2523"/>
      <c r="I40" s="2523"/>
    </row>
    <row r="41" spans="2:9" ht="16.5" customHeight="1" x14ac:dyDescent="0.2">
      <c r="B41" s="1245"/>
      <c r="C41" s="2520"/>
      <c r="D41" s="2521"/>
      <c r="E41" s="2521"/>
      <c r="F41" s="2522"/>
      <c r="G41" s="2523"/>
      <c r="H41" s="2523"/>
      <c r="I41" s="2523"/>
    </row>
    <row r="42" spans="2:9" ht="16.5" customHeight="1" x14ac:dyDescent="0.2">
      <c r="B42" s="1245"/>
      <c r="C42" s="2520"/>
      <c r="D42" s="2521"/>
      <c r="E42" s="2521"/>
      <c r="F42" s="2522"/>
      <c r="G42" s="2523"/>
      <c r="H42" s="2523"/>
      <c r="I42" s="2523"/>
    </row>
    <row r="43" spans="2:9" ht="16.5" customHeight="1" x14ac:dyDescent="0.2">
      <c r="B43" s="1245"/>
      <c r="C43" s="2513" t="s">
        <v>1579</v>
      </c>
      <c r="D43" s="2514"/>
      <c r="E43" s="2514"/>
      <c r="F43" s="2515"/>
      <c r="G43" s="2516">
        <f>SUM(G38:I42)</f>
        <v>0</v>
      </c>
      <c r="H43" s="2516"/>
      <c r="I43" s="2516"/>
    </row>
    <row r="44" spans="2:9" ht="12.75" customHeight="1" x14ac:dyDescent="0.2"/>
    <row r="45" spans="2:9" ht="12.75" customHeight="1" x14ac:dyDescent="0.2">
      <c r="B45" s="1986" t="str">
        <f>"Total Federal Expenditures for 7/1/"&amp;MID('AFR20'!E2,3,2)-1&amp;"-6/30/"&amp;MID('AFR20'!E2,3,2)</f>
        <v>Total Federal Expenditures for 7/1/19-6/30/20</v>
      </c>
      <c r="C45" s="1987"/>
      <c r="D45" s="2517">
        <v>0</v>
      </c>
      <c r="E45" s="2518"/>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9"/>
      <c r="F49" s="2519"/>
      <c r="G49" s="2519"/>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4" t="str">
        <f>'Single Audit Cover'!A7</f>
        <v>Wilco Area Career Center</v>
      </c>
      <c r="C1" s="2524"/>
      <c r="D1" s="2524"/>
      <c r="E1" s="2524"/>
      <c r="F1" s="2524"/>
      <c r="G1" s="2524"/>
      <c r="H1" s="2524"/>
      <c r="I1" s="2524"/>
      <c r="J1" s="2524"/>
      <c r="K1" s="2524"/>
      <c r="L1" s="1189"/>
      <c r="M1" s="1189"/>
    </row>
    <row r="2" spans="1:13" ht="12" customHeight="1" x14ac:dyDescent="0.2">
      <c r="B2" s="2526">
        <f>'Single Audit Cover'!E7</f>
        <v>56000000040</v>
      </c>
      <c r="C2" s="2526"/>
      <c r="D2" s="2526"/>
      <c r="E2" s="2526"/>
      <c r="F2" s="2526"/>
      <c r="G2" s="2526"/>
      <c r="H2" s="2526"/>
      <c r="I2" s="2526"/>
      <c r="J2" s="2526"/>
      <c r="K2" s="2526"/>
      <c r="L2" s="1190"/>
      <c r="M2" s="1191"/>
    </row>
    <row r="3" spans="1:13" ht="10.35" customHeight="1" x14ac:dyDescent="0.2">
      <c r="B3" s="2540" t="s">
        <v>1276</v>
      </c>
      <c r="C3" s="2540"/>
      <c r="D3" s="2540"/>
      <c r="E3" s="2540"/>
      <c r="F3" s="2540"/>
      <c r="G3" s="2540"/>
      <c r="H3" s="2540"/>
      <c r="I3" s="2540"/>
      <c r="J3" s="2540"/>
      <c r="K3" s="2540"/>
      <c r="L3" s="1192"/>
      <c r="M3" s="1192"/>
    </row>
    <row r="4" spans="1:13" ht="14.25" customHeight="1" x14ac:dyDescent="0.2">
      <c r="B4" s="2541" t="str">
        <f>'Single Audit Cover'!A4</f>
        <v>Year Ending June 30, 2020</v>
      </c>
      <c r="C4" s="2541"/>
      <c r="D4" s="2541"/>
      <c r="E4" s="2541"/>
      <c r="F4" s="2541"/>
      <c r="G4" s="2541"/>
      <c r="H4" s="2541"/>
      <c r="I4" s="2541"/>
      <c r="J4" s="2541"/>
      <c r="K4" s="2541"/>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1" t="s">
        <v>1287</v>
      </c>
      <c r="C7" s="2541"/>
      <c r="D7" s="2542"/>
      <c r="E7" s="2542"/>
      <c r="F7" s="2542"/>
      <c r="G7" s="2542"/>
      <c r="H7" s="2542"/>
      <c r="I7" s="2542"/>
      <c r="J7" s="2542"/>
      <c r="K7" s="2542"/>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8"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9"/>
      <c r="C14" s="2539"/>
      <c r="D14" s="2539"/>
      <c r="E14" s="2539"/>
      <c r="F14" s="2539"/>
      <c r="G14" s="2539"/>
      <c r="H14" s="2539"/>
      <c r="I14" s="2539"/>
      <c r="J14" s="2539"/>
      <c r="K14" s="2539"/>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9"/>
      <c r="C17" s="2539"/>
      <c r="D17" s="2539"/>
      <c r="E17" s="2539"/>
      <c r="F17" s="2539"/>
      <c r="G17" s="2539"/>
      <c r="H17" s="2539"/>
      <c r="I17" s="2539"/>
      <c r="J17" s="2539"/>
      <c r="K17" s="2539"/>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3"/>
      <c r="C20" s="2543"/>
      <c r="D20" s="2539"/>
      <c r="E20" s="2539"/>
      <c r="F20" s="2539"/>
      <c r="G20" s="2539"/>
      <c r="H20" s="2539"/>
      <c r="I20" s="2539"/>
      <c r="J20" s="2539"/>
      <c r="K20" s="2539"/>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9"/>
      <c r="C23" s="2539"/>
      <c r="D23" s="2539"/>
      <c r="E23" s="2539"/>
      <c r="F23" s="2539"/>
      <c r="G23" s="2539"/>
      <c r="H23" s="2539"/>
      <c r="I23" s="2539"/>
      <c r="J23" s="2539"/>
      <c r="K23" s="2539"/>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9"/>
      <c r="C26" s="2539"/>
      <c r="D26" s="2539"/>
      <c r="E26" s="2539"/>
      <c r="F26" s="2539"/>
      <c r="G26" s="2539"/>
      <c r="H26" s="2539"/>
      <c r="I26" s="2539"/>
      <c r="J26" s="2539"/>
      <c r="K26" s="2539"/>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8"/>
      <c r="C29" s="2538"/>
      <c r="D29" s="2539"/>
      <c r="E29" s="2539"/>
      <c r="F29" s="2539"/>
      <c r="G29" s="2539"/>
      <c r="H29" s="2539"/>
      <c r="I29" s="2539"/>
      <c r="J29" s="2539"/>
      <c r="K29" s="2539"/>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8"/>
      <c r="C32" s="2538"/>
      <c r="D32" s="2539"/>
      <c r="E32" s="2539"/>
      <c r="F32" s="2539"/>
      <c r="G32" s="2539"/>
      <c r="H32" s="2539"/>
      <c r="I32" s="2539"/>
      <c r="J32" s="2539"/>
      <c r="K32" s="2539"/>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7" t="str">
        <f>'Single Audit Cover'!A7</f>
        <v>Wilco Area Career Center</v>
      </c>
      <c r="C1" s="2547"/>
      <c r="D1" s="2547"/>
      <c r="E1" s="2547"/>
      <c r="F1" s="2547"/>
      <c r="G1" s="2547"/>
      <c r="H1" s="2547"/>
      <c r="I1" s="2547"/>
      <c r="J1" s="2547"/>
      <c r="K1" s="2547"/>
      <c r="L1" s="1266"/>
    </row>
    <row r="2" spans="1:12" ht="12.75" customHeight="1" x14ac:dyDescent="0.2">
      <c r="B2" s="2548">
        <f>'Single Audit Cover'!E7</f>
        <v>56000000040</v>
      </c>
      <c r="C2" s="2548"/>
      <c r="D2" s="2548"/>
      <c r="E2" s="2548"/>
      <c r="F2" s="2548"/>
      <c r="G2" s="2548"/>
      <c r="H2" s="2548"/>
      <c r="I2" s="2548"/>
      <c r="J2" s="2548"/>
      <c r="K2" s="2548"/>
      <c r="L2" s="1267"/>
    </row>
    <row r="3" spans="1:12" ht="12.75" customHeight="1" x14ac:dyDescent="0.2">
      <c r="B3" s="2540" t="s">
        <v>1276</v>
      </c>
      <c r="C3" s="2540"/>
      <c r="D3" s="2540"/>
      <c r="E3" s="2540"/>
      <c r="F3" s="2540"/>
      <c r="G3" s="2540"/>
      <c r="H3" s="2540"/>
      <c r="I3" s="2540"/>
      <c r="J3" s="2540"/>
      <c r="K3" s="2540"/>
      <c r="L3" s="1192"/>
    </row>
    <row r="4" spans="1:12" ht="12.75" customHeight="1" x14ac:dyDescent="0.2">
      <c r="B4" s="2540" t="str">
        <f>'Single Audit Cover'!A4</f>
        <v>Year Ending June 30, 2020</v>
      </c>
      <c r="C4" s="2540"/>
      <c r="D4" s="2540"/>
      <c r="E4" s="2540"/>
      <c r="F4" s="2540"/>
      <c r="G4" s="2540"/>
      <c r="H4" s="2540"/>
      <c r="I4" s="2540"/>
      <c r="J4" s="2540"/>
      <c r="K4" s="2540"/>
      <c r="L4" s="1192"/>
    </row>
    <row r="5" spans="1:12" ht="5.25" customHeight="1" x14ac:dyDescent="0.2">
      <c r="B5" s="1081" t="s">
        <v>1161</v>
      </c>
      <c r="C5" s="1081"/>
      <c r="L5" s="300"/>
    </row>
    <row r="6" spans="1:12" ht="30.75" customHeight="1" x14ac:dyDescent="0.2">
      <c r="A6" s="300"/>
      <c r="B6" s="2549" t="s">
        <v>1299</v>
      </c>
      <c r="C6" s="2549"/>
      <c r="D6" s="2549"/>
      <c r="E6" s="2549"/>
      <c r="F6" s="2549"/>
      <c r="G6" s="2549"/>
      <c r="H6" s="2549"/>
      <c r="I6" s="2549"/>
      <c r="J6" s="2549"/>
      <c r="K6" s="2549"/>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8"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1"/>
      <c r="G12" s="2531"/>
      <c r="H12" s="2531"/>
      <c r="I12" s="2531"/>
      <c r="J12" s="2531"/>
      <c r="K12" s="2531"/>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4"/>
      <c r="E14" s="2544"/>
      <c r="F14" s="2544"/>
      <c r="H14" s="1275" t="s">
        <v>1294</v>
      </c>
      <c r="I14" s="2545"/>
      <c r="J14" s="2545"/>
      <c r="K14" s="2545"/>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5"/>
      <c r="E16" s="2545"/>
      <c r="F16" s="2545"/>
      <c r="G16" s="2545"/>
      <c r="H16" s="2545"/>
      <c r="I16" s="2545"/>
      <c r="J16" s="2545"/>
      <c r="K16" s="2545"/>
      <c r="L16" s="300"/>
    </row>
    <row r="17" spans="2:12" ht="13.5" customHeight="1" x14ac:dyDescent="0.2">
      <c r="B17" s="1201" t="s">
        <v>1292</v>
      </c>
      <c r="C17" s="1201"/>
      <c r="D17" s="2546"/>
      <c r="E17" s="2546"/>
      <c r="F17" s="2546"/>
      <c r="G17" s="2546"/>
      <c r="H17" s="2546"/>
      <c r="I17" s="2546"/>
      <c r="J17" s="2546"/>
      <c r="K17" s="2546"/>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9"/>
      <c r="C20" s="2539"/>
      <c r="D20" s="2539"/>
      <c r="E20" s="2539"/>
      <c r="F20" s="2539"/>
      <c r="G20" s="2539"/>
      <c r="H20" s="2539"/>
      <c r="I20" s="2539"/>
      <c r="J20" s="2539"/>
      <c r="K20" s="2539"/>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9"/>
      <c r="C23" s="2539"/>
      <c r="D23" s="2539"/>
      <c r="E23" s="2539"/>
      <c r="F23" s="2539"/>
      <c r="G23" s="2539"/>
      <c r="H23" s="2539"/>
      <c r="I23" s="2539"/>
      <c r="J23" s="2539"/>
      <c r="K23" s="2539"/>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9"/>
      <c r="C26" s="2539"/>
      <c r="D26" s="2539"/>
      <c r="E26" s="2539"/>
      <c r="F26" s="2539"/>
      <c r="G26" s="2539"/>
      <c r="H26" s="2539"/>
      <c r="I26" s="2539"/>
      <c r="J26" s="2539"/>
      <c r="K26" s="2539"/>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9"/>
      <c r="C29" s="2539"/>
      <c r="D29" s="2539"/>
      <c r="E29" s="2539"/>
      <c r="F29" s="2539"/>
      <c r="G29" s="2539"/>
      <c r="H29" s="2539"/>
      <c r="I29" s="2539"/>
      <c r="J29" s="2539"/>
      <c r="K29" s="2539"/>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9"/>
      <c r="C32" s="2539"/>
      <c r="D32" s="2539"/>
      <c r="E32" s="2539"/>
      <c r="F32" s="2539"/>
      <c r="G32" s="2539"/>
      <c r="H32" s="2539"/>
      <c r="I32" s="2539"/>
      <c r="J32" s="2539"/>
      <c r="K32" s="2539"/>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9"/>
      <c r="C35" s="2539"/>
      <c r="D35" s="2539"/>
      <c r="E35" s="2539"/>
      <c r="F35" s="2539"/>
      <c r="G35" s="2539"/>
      <c r="H35" s="2539"/>
      <c r="I35" s="2539"/>
      <c r="J35" s="2539"/>
      <c r="K35" s="2539"/>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9"/>
      <c r="C38" s="2539"/>
      <c r="D38" s="2539"/>
      <c r="E38" s="2539"/>
      <c r="F38" s="2539"/>
      <c r="G38" s="2539"/>
      <c r="H38" s="2539"/>
      <c r="I38" s="2539"/>
      <c r="J38" s="2539"/>
      <c r="K38" s="2539"/>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9"/>
      <c r="C41" s="2539"/>
      <c r="D41" s="2539"/>
      <c r="E41" s="2539"/>
      <c r="F41" s="2539"/>
      <c r="G41" s="2539"/>
      <c r="H41" s="2539"/>
      <c r="I41" s="2539"/>
      <c r="J41" s="2539"/>
      <c r="K41" s="2539"/>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4" t="str">
        <f>'Single Audit Cover'!A7</f>
        <v>Wilco Area Career Center</v>
      </c>
      <c r="C1" s="2524"/>
      <c r="D1" s="2524"/>
      <c r="E1" s="1285"/>
    </row>
    <row r="2" spans="2:5" s="1103" customFormat="1" ht="12.75" customHeight="1" x14ac:dyDescent="0.2">
      <c r="B2" s="2526">
        <f>'Single Audit Cover'!E7</f>
        <v>56000000040</v>
      </c>
      <c r="C2" s="2526"/>
      <c r="D2" s="2526"/>
      <c r="E2" s="1286"/>
    </row>
    <row r="3" spans="2:5" ht="12.75" customHeight="1" x14ac:dyDescent="0.2">
      <c r="B3" s="2540" t="s">
        <v>1746</v>
      </c>
      <c r="C3" s="2540"/>
      <c r="D3" s="2540"/>
      <c r="E3" s="1095"/>
    </row>
    <row r="4" spans="2:5" s="1103" customFormat="1" ht="12.75" customHeight="1" x14ac:dyDescent="0.2">
      <c r="B4" s="2550" t="str">
        <f>'Single Audit Cover'!A4</f>
        <v>Year Ending June 30, 2020</v>
      </c>
      <c r="C4" s="2550"/>
      <c r="D4" s="2550"/>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3" t="s">
        <v>383</v>
      </c>
      <c r="B1" s="2143"/>
      <c r="C1" s="2143"/>
      <c r="D1" s="2143"/>
      <c r="E1" s="2143"/>
      <c r="F1" s="2143"/>
      <c r="G1" s="2143"/>
      <c r="H1" s="2143"/>
      <c r="I1" s="2143"/>
      <c r="J1" s="2143"/>
      <c r="K1" s="2143"/>
      <c r="L1" s="2143"/>
      <c r="M1" s="214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53" t="str">
        <f>IF(SUM(J10)&lt;=0.0999999,"","Enter the Tax Rates by moving the decimal two places to the left.")</f>
        <v/>
      </c>
      <c r="E11" s="2154"/>
      <c r="F11" s="2154"/>
      <c r="G11" s="2154"/>
      <c r="H11" s="2154"/>
      <c r="I11" s="2154"/>
      <c r="J11" s="215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4175275</v>
      </c>
      <c r="E16" s="1597"/>
      <c r="F16" s="1596">
        <f>SUM('Acct Summary 7-8'!C17,'Acct Summary 7-8'!D17,'Acct Summary 7-8'!F17)</f>
        <v>4079262</v>
      </c>
      <c r="G16" s="1597"/>
      <c r="H16" s="1596">
        <f>SUM(D16-F16)</f>
        <v>96013</v>
      </c>
      <c r="I16" s="1598"/>
      <c r="J16" s="1596">
        <f>SUM('Acct Summary 7-8'!C81,'Acct Summary 7-8'!D81,'Acct Summary 7-8'!F81,'Acct Summary 7-8'!I81)</f>
        <v>1120834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1345000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4"/>
      <c r="C54" s="2145"/>
      <c r="D54" s="2145"/>
      <c r="E54" s="2145"/>
      <c r="F54" s="2145"/>
      <c r="G54" s="2145"/>
      <c r="H54" s="2145"/>
      <c r="I54" s="2145"/>
      <c r="J54" s="2145"/>
      <c r="K54" s="2145"/>
      <c r="L54" s="2146"/>
      <c r="M54" s="357"/>
    </row>
    <row r="55" spans="1:13" ht="12.75" customHeight="1" x14ac:dyDescent="0.2">
      <c r="B55" s="2147"/>
      <c r="C55" s="2148"/>
      <c r="D55" s="2148"/>
      <c r="E55" s="2148"/>
      <c r="F55" s="2148"/>
      <c r="G55" s="2148"/>
      <c r="H55" s="2148"/>
      <c r="I55" s="2148"/>
      <c r="J55" s="2148"/>
      <c r="K55" s="2148"/>
      <c r="L55" s="2149"/>
      <c r="M55" s="357"/>
    </row>
    <row r="56" spans="1:13" ht="12.75" customHeight="1" x14ac:dyDescent="0.2">
      <c r="B56" s="2147"/>
      <c r="C56" s="2148"/>
      <c r="D56" s="2148"/>
      <c r="E56" s="2148"/>
      <c r="F56" s="2148"/>
      <c r="G56" s="2148"/>
      <c r="H56" s="2148"/>
      <c r="I56" s="2148"/>
      <c r="J56" s="2148"/>
      <c r="K56" s="2148"/>
      <c r="L56" s="2149"/>
      <c r="M56" s="217"/>
    </row>
    <row r="57" spans="1:13" ht="12.75" customHeight="1" x14ac:dyDescent="0.2">
      <c r="B57" s="2147"/>
      <c r="C57" s="2148"/>
      <c r="D57" s="2148"/>
      <c r="E57" s="2148"/>
      <c r="F57" s="2148"/>
      <c r="G57" s="2148"/>
      <c r="H57" s="2148"/>
      <c r="I57" s="2148"/>
      <c r="J57" s="2148"/>
      <c r="K57" s="2148"/>
      <c r="L57" s="2149"/>
      <c r="M57" s="217"/>
    </row>
    <row r="58" spans="1:13" x14ac:dyDescent="0.2">
      <c r="B58" s="2150"/>
      <c r="C58" s="2151"/>
      <c r="D58" s="2151"/>
      <c r="E58" s="2151"/>
      <c r="F58" s="2151"/>
      <c r="G58" s="2151"/>
      <c r="H58" s="2151"/>
      <c r="I58" s="2151"/>
      <c r="J58" s="2151"/>
      <c r="K58" s="2151"/>
      <c r="L58" s="215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5"/>
      <c r="D61" s="215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8"/>
      <c r="B1" s="2159"/>
      <c r="C1" s="2159"/>
      <c r="D1" s="361"/>
      <c r="E1" s="361"/>
      <c r="F1" s="361"/>
      <c r="G1" s="361"/>
      <c r="H1" s="361"/>
      <c r="I1" s="361"/>
      <c r="J1" s="361"/>
      <c r="K1" s="361"/>
      <c r="L1" s="361"/>
      <c r="M1" s="361"/>
      <c r="N1" s="361"/>
      <c r="O1" s="2158"/>
      <c r="P1" s="2159"/>
      <c r="Q1" s="2159"/>
    </row>
    <row r="2" spans="1:18" ht="15" x14ac:dyDescent="0.2">
      <c r="A2" s="2162" t="s">
        <v>552</v>
      </c>
      <c r="B2" s="2162"/>
      <c r="C2" s="2162"/>
      <c r="D2" s="2162"/>
      <c r="E2" s="2162"/>
      <c r="F2" s="2162"/>
      <c r="G2" s="2162"/>
      <c r="H2" s="2162"/>
      <c r="I2" s="2162"/>
      <c r="J2" s="2162"/>
      <c r="K2" s="2162"/>
      <c r="L2" s="2162"/>
      <c r="M2" s="2162"/>
      <c r="N2" s="2162"/>
      <c r="O2" s="2162"/>
      <c r="P2" s="2162"/>
      <c r="Q2" s="2162"/>
      <c r="R2" s="2162"/>
    </row>
    <row r="3" spans="1:18" ht="12.75" x14ac:dyDescent="0.2">
      <c r="A3" s="2163" t="s">
        <v>1399</v>
      </c>
      <c r="B3" s="2163"/>
      <c r="C3" s="2163"/>
      <c r="D3" s="2163"/>
      <c r="E3" s="2163"/>
      <c r="F3" s="2163"/>
      <c r="G3" s="2163"/>
      <c r="H3" s="2163"/>
      <c r="I3" s="2163"/>
      <c r="J3" s="2163"/>
      <c r="K3" s="2163"/>
      <c r="L3" s="2163"/>
      <c r="M3" s="2163"/>
      <c r="N3" s="2163"/>
      <c r="O3" s="2163"/>
      <c r="P3" s="2163"/>
      <c r="Q3" s="2163"/>
      <c r="R3" s="2163"/>
    </row>
    <row r="4" spans="1:18" x14ac:dyDescent="0.2">
      <c r="A4" s="2164" t="s">
        <v>1540</v>
      </c>
      <c r="B4" s="2164"/>
      <c r="C4" s="2164"/>
      <c r="D4" s="2164"/>
      <c r="E4" s="2164"/>
      <c r="F4" s="2164"/>
      <c r="G4" s="2164"/>
      <c r="H4" s="2164"/>
      <c r="I4" s="2164"/>
      <c r="J4" s="2164"/>
      <c r="K4" s="2164"/>
      <c r="L4" s="2164"/>
      <c r="M4" s="2164"/>
      <c r="N4" s="2164"/>
      <c r="O4" s="2164"/>
      <c r="P4" s="2164"/>
      <c r="Q4" s="2164"/>
      <c r="R4" s="216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Wilco Area Career Center</v>
      </c>
      <c r="E7" s="368"/>
      <c r="G7" s="247"/>
      <c r="H7" s="364"/>
      <c r="I7" s="364"/>
      <c r="J7" s="364"/>
      <c r="K7" s="364"/>
      <c r="L7" s="307"/>
      <c r="M7" s="307"/>
      <c r="N7" s="307"/>
      <c r="O7" s="307"/>
      <c r="P7" s="307"/>
    </row>
    <row r="8" spans="1:18" ht="12.75" x14ac:dyDescent="0.2">
      <c r="A8" s="307"/>
      <c r="B8" s="307"/>
      <c r="C8" s="366" t="s">
        <v>1117</v>
      </c>
      <c r="D8" s="369">
        <f>COVER!A13</f>
        <v>56000000040</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1120834</v>
      </c>
      <c r="I12" s="380"/>
      <c r="J12" s="380"/>
      <c r="K12" s="1609">
        <f>TRUNC((H12/H13*100000),5)/100000</f>
        <v>0.26844555139999998</v>
      </c>
      <c r="L12" s="381"/>
      <c r="M12" s="337" t="s">
        <v>1136</v>
      </c>
      <c r="N12" s="337"/>
      <c r="O12" s="1612">
        <v>0.35</v>
      </c>
      <c r="P12" s="213"/>
      <c r="Q12" s="213"/>
    </row>
    <row r="13" spans="1:18" s="382" customFormat="1" ht="12.75" x14ac:dyDescent="0.2">
      <c r="A13" s="213"/>
      <c r="B13" s="377"/>
      <c r="C13" s="2160" t="s">
        <v>1315</v>
      </c>
      <c r="D13" s="2161"/>
      <c r="E13" s="213"/>
      <c r="F13" s="383" t="s">
        <v>788</v>
      </c>
      <c r="G13" s="378"/>
      <c r="H13" s="1601">
        <f>SUM('Acct Summary 7-8'!C8+'Acct Summary 7-8'!D8+'Acct Summary 7-8'!F8+'Acct Summary 7-8'!I8)+H14</f>
        <v>4175275</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4079262</v>
      </c>
      <c r="I17" s="380"/>
      <c r="J17" s="389"/>
      <c r="K17" s="1609">
        <f>TRUNC((H17/H18*100000),5)/100000</f>
        <v>0.97700438890000008</v>
      </c>
      <c r="L17" s="381"/>
      <c r="M17" s="390" t="s">
        <v>1163</v>
      </c>
      <c r="O17" s="1615" t="str">
        <f>IF(AND(O16="2", J20 &gt; 2),"1",IF(AND(O16 = "1", J20 &gt; 2),"2",IF(AND(O16="1", J20 &gt;1),"1","0")))</f>
        <v>0</v>
      </c>
      <c r="P17" s="213"/>
    </row>
    <row r="18" spans="1:18" s="382" customFormat="1" ht="11.25" x14ac:dyDescent="0.2">
      <c r="A18" s="213"/>
      <c r="B18" s="377"/>
      <c r="C18" s="2160" t="s">
        <v>1308</v>
      </c>
      <c r="D18" s="2161"/>
      <c r="E18" s="213"/>
      <c r="F18" s="391" t="s">
        <v>789</v>
      </c>
      <c r="G18" s="378"/>
      <c r="H18" s="1601">
        <f>SUM('Acct Summary 7-8'!C8+'Acct Summary 7-8'!D8+'Acct Summary 7-8'!F8+'Acct Summary 7-8'!I8)+H19</f>
        <v>4175275</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3</v>
      </c>
      <c r="P23" s="211"/>
      <c r="R23" s="361"/>
    </row>
    <row r="24" spans="1:18" s="382" customFormat="1" ht="11.25" x14ac:dyDescent="0.2">
      <c r="A24" s="213"/>
      <c r="B24" s="377"/>
      <c r="C24" s="2157" t="s">
        <v>1398</v>
      </c>
      <c r="D24" s="2157"/>
      <c r="E24" s="213"/>
      <c r="F24" s="213" t="s">
        <v>442</v>
      </c>
      <c r="G24" s="378"/>
      <c r="H24" s="1601">
        <f>SUM('Assets-Liab 5-6'!C4+'Assets-Liab 5-6'!D4+'Assets-Liab 5-6'!F4+'Assets-Liab 5-6'!I4+'Assets-Liab 5-6'!C5+'Assets-Liab 5-6'!D5+'Assets-Liab 5-6'!F5+'Assets-Liab 5-6'!I5)</f>
        <v>1120834</v>
      </c>
      <c r="I24" s="394"/>
      <c r="J24" s="394"/>
      <c r="K24" s="1605">
        <f>TRUNC(((H24/H25*100000)/100000),2)</f>
        <v>98.91</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11331.28333</v>
      </c>
      <c r="I25" s="396"/>
      <c r="J25" s="396"/>
      <c r="K25" s="1608"/>
      <c r="L25" s="213"/>
      <c r="M25" s="337" t="s">
        <v>1137</v>
      </c>
      <c r="N25" s="337"/>
      <c r="O25" s="1613">
        <f>O23*O24</f>
        <v>0.30000000000000004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1345000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4"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7" t="s">
        <v>967</v>
      </c>
      <c r="B3" s="2168"/>
      <c r="C3" s="1351"/>
      <c r="D3" s="1352"/>
      <c r="E3" s="1352"/>
      <c r="F3" s="1352"/>
      <c r="G3" s="1352"/>
      <c r="H3" s="1352"/>
      <c r="I3" s="1352"/>
      <c r="J3" s="1352"/>
      <c r="K3" s="1352"/>
      <c r="L3" s="1352"/>
      <c r="M3" s="1353"/>
      <c r="N3" s="1354"/>
    </row>
    <row r="4" spans="1:14" ht="13.5" customHeight="1" x14ac:dyDescent="0.2">
      <c r="A4" s="427" t="s">
        <v>1635</v>
      </c>
      <c r="B4" s="428"/>
      <c r="C4" s="1622">
        <v>1120834</v>
      </c>
      <c r="D4" s="1623"/>
      <c r="E4" s="1623"/>
      <c r="F4" s="1623"/>
      <c r="G4" s="1623"/>
      <c r="H4" s="1623">
        <v>4137</v>
      </c>
      <c r="I4" s="1623"/>
      <c r="J4" s="1624"/>
      <c r="K4" s="1623"/>
      <c r="L4" s="1623">
        <v>41144</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1120834</v>
      </c>
      <c r="D13" s="1637">
        <f t="shared" ref="D13:L13" si="0">SUM(D4:D12)</f>
        <v>0</v>
      </c>
      <c r="E13" s="1637">
        <f t="shared" si="0"/>
        <v>0</v>
      </c>
      <c r="F13" s="1637">
        <f t="shared" si="0"/>
        <v>0</v>
      </c>
      <c r="G13" s="1637">
        <f t="shared" si="0"/>
        <v>0</v>
      </c>
      <c r="H13" s="1637">
        <f t="shared" si="0"/>
        <v>4137</v>
      </c>
      <c r="I13" s="1637">
        <f t="shared" si="0"/>
        <v>0</v>
      </c>
      <c r="J13" s="1637">
        <f t="shared" si="0"/>
        <v>0</v>
      </c>
      <c r="K13" s="1637">
        <f t="shared" si="0"/>
        <v>0</v>
      </c>
      <c r="L13" s="1637">
        <f t="shared" si="0"/>
        <v>41144</v>
      </c>
      <c r="M13" s="1625"/>
      <c r="N13" s="1626"/>
    </row>
    <row r="14" spans="1:14" ht="18" customHeight="1" thickTop="1" x14ac:dyDescent="0.2">
      <c r="A14" s="2169" t="s">
        <v>146</v>
      </c>
      <c r="B14" s="2170"/>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90524</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4384829</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1008+279322</f>
        <v>280330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1345000</v>
      </c>
    </row>
    <row r="23" spans="1:14" ht="13.5" customHeight="1" thickBot="1" x14ac:dyDescent="0.25">
      <c r="A23" s="1475" t="s">
        <v>638</v>
      </c>
      <c r="B23" s="1478"/>
      <c r="C23" s="1625"/>
      <c r="D23" s="1625"/>
      <c r="E23" s="1625"/>
      <c r="F23" s="1625"/>
      <c r="G23" s="1625"/>
      <c r="H23" s="1625"/>
      <c r="I23" s="1625"/>
      <c r="J23" s="1625"/>
      <c r="K23" s="1625"/>
      <c r="L23" s="1625"/>
      <c r="M23" s="1644">
        <f>SUM(M15:M22)</f>
        <v>4755683</v>
      </c>
      <c r="N23" s="1644">
        <f>SUM(N21:N22)</f>
        <v>1345000</v>
      </c>
    </row>
    <row r="24" spans="1:14" ht="18" customHeight="1" thickTop="1" x14ac:dyDescent="0.2">
      <c r="A24" s="2171" t="s">
        <v>594</v>
      </c>
      <c r="B24" s="2172"/>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41144</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41144</v>
      </c>
      <c r="M34" s="1625"/>
      <c r="N34" s="1635"/>
    </row>
    <row r="35" spans="1:14" ht="18" customHeight="1" thickTop="1" x14ac:dyDescent="0.2">
      <c r="A35" s="2173" t="s">
        <v>526</v>
      </c>
      <c r="B35" s="2174"/>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1345000</v>
      </c>
    </row>
    <row r="37" spans="1:14" ht="13.5" thickBot="1" x14ac:dyDescent="0.25">
      <c r="A37" s="1475" t="s">
        <v>648</v>
      </c>
      <c r="B37" s="1478"/>
      <c r="C37" s="1632"/>
      <c r="D37" s="1632"/>
      <c r="E37" s="1632"/>
      <c r="F37" s="1632"/>
      <c r="G37" s="1632"/>
      <c r="H37" s="1632"/>
      <c r="I37" s="1632"/>
      <c r="J37" s="1632"/>
      <c r="K37" s="1632"/>
      <c r="L37" s="1635"/>
      <c r="M37" s="1625"/>
      <c r="N37" s="1644">
        <f>SUM(N36:N36)</f>
        <v>1345000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1120834</v>
      </c>
      <c r="D39" s="1623"/>
      <c r="E39" s="1623"/>
      <c r="F39" s="1623"/>
      <c r="G39" s="1623"/>
      <c r="H39" s="1623">
        <v>4137</v>
      </c>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4755683</v>
      </c>
      <c r="N40" s="1654"/>
    </row>
    <row r="41" spans="1:14" ht="13.5" customHeight="1" thickBot="1" x14ac:dyDescent="0.25">
      <c r="A41" s="1475" t="s">
        <v>650</v>
      </c>
      <c r="B41" s="1454"/>
      <c r="C41" s="1644">
        <f>(SUM(C34,C37,C38,C39))</f>
        <v>1120834</v>
      </c>
      <c r="D41" s="1644">
        <f t="shared" ref="D41:L41" si="2">SUM(D34,D37,D38:D39)</f>
        <v>0</v>
      </c>
      <c r="E41" s="1644">
        <f t="shared" si="2"/>
        <v>0</v>
      </c>
      <c r="F41" s="1644">
        <f t="shared" si="2"/>
        <v>0</v>
      </c>
      <c r="G41" s="1644">
        <f t="shared" si="2"/>
        <v>0</v>
      </c>
      <c r="H41" s="1644">
        <f t="shared" si="2"/>
        <v>4137</v>
      </c>
      <c r="I41" s="1644">
        <f t="shared" si="2"/>
        <v>0</v>
      </c>
      <c r="J41" s="1644">
        <f t="shared" si="2"/>
        <v>0</v>
      </c>
      <c r="K41" s="1644">
        <f t="shared" si="2"/>
        <v>0</v>
      </c>
      <c r="L41" s="1644">
        <f t="shared" si="2"/>
        <v>41144</v>
      </c>
      <c r="M41" s="1644">
        <f>SUM(M40)</f>
        <v>4755683</v>
      </c>
      <c r="N41" s="1644">
        <f>SUM(N37)</f>
        <v>1345000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H80" sqref="H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5" t="s">
        <v>1167</v>
      </c>
      <c r="B3" s="2196"/>
      <c r="C3" s="1356"/>
      <c r="D3" s="1357"/>
      <c r="E3" s="1357"/>
      <c r="F3" s="1357"/>
      <c r="G3" s="1357"/>
      <c r="H3" s="1357"/>
      <c r="I3" s="1357"/>
      <c r="J3" s="1357"/>
      <c r="K3" s="1358"/>
      <c r="L3" s="446"/>
    </row>
    <row r="4" spans="1:13" ht="15.75" customHeight="1" x14ac:dyDescent="0.2">
      <c r="A4" s="1587" t="s">
        <v>1485</v>
      </c>
      <c r="B4" s="1588">
        <v>1000</v>
      </c>
      <c r="C4" s="1656">
        <f>'Revenues 9-14'!C109</f>
        <v>3445673</v>
      </c>
      <c r="D4" s="1656">
        <f>'Revenues 9-14'!D109</f>
        <v>0</v>
      </c>
      <c r="E4" s="1656">
        <f>'Revenues 9-14'!E109</f>
        <v>240088</v>
      </c>
      <c r="F4" s="1656">
        <f>'Revenues 9-14'!F109</f>
        <v>0</v>
      </c>
      <c r="G4" s="1656">
        <f>'Revenues 9-14'!G109</f>
        <v>0</v>
      </c>
      <c r="H4" s="1656">
        <f>'Revenues 9-14'!H109</f>
        <v>17</v>
      </c>
      <c r="I4" s="1656">
        <f>'Revenues 9-14'!I109</f>
        <v>0</v>
      </c>
      <c r="J4" s="1656">
        <f>'Revenues 9-14'!J109</f>
        <v>0</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599629</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129973</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4175275</v>
      </c>
      <c r="D8" s="1644">
        <f t="shared" ref="D8:K8" si="0">SUM(D4:D7)</f>
        <v>0</v>
      </c>
      <c r="E8" s="1644">
        <f t="shared" si="0"/>
        <v>240088</v>
      </c>
      <c r="F8" s="1644">
        <f t="shared" si="0"/>
        <v>0</v>
      </c>
      <c r="G8" s="1644">
        <f t="shared" si="0"/>
        <v>0</v>
      </c>
      <c r="H8" s="1644">
        <f t="shared" si="0"/>
        <v>17</v>
      </c>
      <c r="I8" s="1644">
        <f t="shared" si="0"/>
        <v>0</v>
      </c>
      <c r="J8" s="1644">
        <f t="shared" si="0"/>
        <v>0</v>
      </c>
      <c r="K8" s="1644">
        <f t="shared" si="0"/>
        <v>0</v>
      </c>
      <c r="L8" s="325"/>
    </row>
    <row r="9" spans="1:13" ht="15.75" thickTop="1" x14ac:dyDescent="0.2">
      <c r="A9" s="449" t="s">
        <v>1637</v>
      </c>
      <c r="B9" s="450">
        <v>3998</v>
      </c>
      <c r="C9" s="1636">
        <v>182958</v>
      </c>
      <c r="D9" s="1663"/>
      <c r="E9" s="1636"/>
      <c r="F9" s="1636"/>
      <c r="G9" s="1664"/>
      <c r="H9" s="1636"/>
      <c r="I9" s="1659" t="s">
        <v>1161</v>
      </c>
      <c r="J9" s="1633"/>
      <c r="K9" s="1636"/>
      <c r="L9" s="325"/>
    </row>
    <row r="10" spans="1:13" s="452" customFormat="1" ht="13.5" thickBot="1" x14ac:dyDescent="0.25">
      <c r="A10" s="1475" t="s">
        <v>1165</v>
      </c>
      <c r="B10" s="1456"/>
      <c r="C10" s="1644">
        <f>SUM(C8:C9)</f>
        <v>4358233</v>
      </c>
      <c r="D10" s="1644">
        <f t="shared" ref="D10:K10" si="1">SUM(D8:D9)</f>
        <v>0</v>
      </c>
      <c r="E10" s="1644">
        <f t="shared" si="1"/>
        <v>240088</v>
      </c>
      <c r="F10" s="1644">
        <f t="shared" si="1"/>
        <v>0</v>
      </c>
      <c r="G10" s="1644">
        <f t="shared" si="1"/>
        <v>0</v>
      </c>
      <c r="H10" s="1644">
        <f t="shared" si="1"/>
        <v>17</v>
      </c>
      <c r="I10" s="1644">
        <f t="shared" si="1"/>
        <v>0</v>
      </c>
      <c r="J10" s="1644">
        <f t="shared" si="1"/>
        <v>0</v>
      </c>
      <c r="K10" s="1644">
        <f t="shared" si="1"/>
        <v>0</v>
      </c>
      <c r="L10" s="451"/>
    </row>
    <row r="11" spans="1:13" s="452" customFormat="1" ht="16.7" customHeight="1" thickTop="1" x14ac:dyDescent="0.2">
      <c r="A11" s="2169" t="s">
        <v>1168</v>
      </c>
      <c r="B11" s="2170"/>
      <c r="C11" s="1652"/>
      <c r="D11" s="1653"/>
      <c r="E11" s="1653"/>
      <c r="F11" s="1653"/>
      <c r="G11" s="1653"/>
      <c r="H11" s="1653"/>
      <c r="I11" s="1653"/>
      <c r="J11" s="1653"/>
      <c r="K11" s="1665"/>
      <c r="L11" s="451"/>
    </row>
    <row r="12" spans="1:13" ht="15.75" customHeight="1" x14ac:dyDescent="0.2">
      <c r="A12" s="1359" t="s">
        <v>453</v>
      </c>
      <c r="B12" s="1361">
        <v>1000</v>
      </c>
      <c r="C12" s="1656">
        <f>'Expenditures 15-22'!K33</f>
        <v>2195680</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1883582</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240088</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4079262</v>
      </c>
      <c r="D17" s="1644">
        <f t="shared" si="2"/>
        <v>0</v>
      </c>
      <c r="E17" s="1644">
        <f t="shared" si="2"/>
        <v>240088</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182958</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4262220</v>
      </c>
      <c r="D19" s="1644">
        <f t="shared" si="4"/>
        <v>0</v>
      </c>
      <c r="E19" s="1644">
        <f t="shared" si="4"/>
        <v>240088</v>
      </c>
      <c r="F19" s="1644">
        <f t="shared" si="4"/>
        <v>0</v>
      </c>
      <c r="G19" s="1644">
        <f t="shared" si="4"/>
        <v>0</v>
      </c>
      <c r="H19" s="1644">
        <f t="shared" si="4"/>
        <v>0</v>
      </c>
      <c r="I19" s="1625"/>
      <c r="J19" s="1644">
        <f>SUM(J17:J18)</f>
        <v>0</v>
      </c>
      <c r="K19" s="1644">
        <f>SUM(K17:K18)</f>
        <v>0</v>
      </c>
      <c r="L19" s="325"/>
    </row>
    <row r="20" spans="1:12" ht="16.5" thickTop="1" thickBot="1" x14ac:dyDescent="0.25">
      <c r="A20" s="2185" t="s">
        <v>1639</v>
      </c>
      <c r="B20" s="2186"/>
      <c r="C20" s="1672">
        <f>C8-C17</f>
        <v>96013</v>
      </c>
      <c r="D20" s="1672">
        <f t="shared" ref="D20:K20" si="5">D8-D17</f>
        <v>0</v>
      </c>
      <c r="E20" s="1672">
        <f t="shared" si="5"/>
        <v>0</v>
      </c>
      <c r="F20" s="1672">
        <f t="shared" si="5"/>
        <v>0</v>
      </c>
      <c r="G20" s="1672">
        <f t="shared" si="5"/>
        <v>0</v>
      </c>
      <c r="H20" s="1672">
        <f t="shared" si="5"/>
        <v>17</v>
      </c>
      <c r="I20" s="1672">
        <f t="shared" si="5"/>
        <v>0</v>
      </c>
      <c r="J20" s="1672">
        <f t="shared" si="5"/>
        <v>0</v>
      </c>
      <c r="K20" s="1672">
        <f t="shared" si="5"/>
        <v>0</v>
      </c>
      <c r="L20" s="325"/>
    </row>
    <row r="21" spans="1:12" ht="16.7" customHeight="1" thickTop="1" x14ac:dyDescent="0.2">
      <c r="A21" s="2197" t="s">
        <v>591</v>
      </c>
      <c r="B21" s="2198"/>
      <c r="C21" s="1652"/>
      <c r="D21" s="1653"/>
      <c r="E21" s="1653"/>
      <c r="F21" s="1653"/>
      <c r="G21" s="1653"/>
      <c r="H21" s="1653"/>
      <c r="I21" s="1653"/>
      <c r="J21" s="1653"/>
      <c r="K21" s="1665"/>
      <c r="L21" s="453"/>
    </row>
    <row r="22" spans="1:12" ht="15.75" customHeight="1" collapsed="1" x14ac:dyDescent="0.2">
      <c r="A22" s="2193" t="s">
        <v>592</v>
      </c>
      <c r="B22" s="2194"/>
      <c r="C22" s="1632"/>
      <c r="D22" s="1632"/>
      <c r="E22" s="1632"/>
      <c r="F22" s="1632"/>
      <c r="G22" s="1632"/>
      <c r="H22" s="1632"/>
      <c r="I22" s="1632"/>
      <c r="J22" s="1632"/>
      <c r="K22" s="1632"/>
      <c r="L22" s="325"/>
    </row>
    <row r="23" spans="1:12" s="433" customFormat="1" ht="15.75" customHeight="1" x14ac:dyDescent="0.2">
      <c r="A23" s="2189" t="s">
        <v>290</v>
      </c>
      <c r="B23" s="2190"/>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1" t="s">
        <v>974</v>
      </c>
      <c r="B32" s="2192"/>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9" t="s">
        <v>371</v>
      </c>
      <c r="B44" s="2200"/>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3" t="s">
        <v>108</v>
      </c>
      <c r="B45" s="2194"/>
      <c r="C45" s="1675"/>
      <c r="D45" s="1675"/>
      <c r="E45" s="1675"/>
      <c r="F45" s="1675"/>
      <c r="G45" s="1675"/>
      <c r="H45" s="1675"/>
      <c r="I45" s="1675"/>
      <c r="J45" s="1675"/>
      <c r="K45" s="1675"/>
      <c r="L45" s="325"/>
    </row>
    <row r="46" spans="1:12" s="433" customFormat="1" ht="15.75" customHeight="1" x14ac:dyDescent="0.2">
      <c r="A46" s="2201" t="s">
        <v>109</v>
      </c>
      <c r="B46" s="2202"/>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5" t="s">
        <v>437</v>
      </c>
      <c r="B76" s="2176"/>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7" t="s">
        <v>1169</v>
      </c>
      <c r="B77" s="2178"/>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1" t="s">
        <v>593</v>
      </c>
      <c r="B78" s="2182"/>
      <c r="C78" s="1679">
        <f t="shared" ref="C78:K78" si="9">C20+C77</f>
        <v>96013</v>
      </c>
      <c r="D78" s="1679">
        <f t="shared" si="9"/>
        <v>0</v>
      </c>
      <c r="E78" s="1679">
        <f t="shared" si="9"/>
        <v>0</v>
      </c>
      <c r="F78" s="1679">
        <f t="shared" si="9"/>
        <v>0</v>
      </c>
      <c r="G78" s="1679">
        <f t="shared" si="9"/>
        <v>0</v>
      </c>
      <c r="H78" s="1679">
        <f t="shared" si="9"/>
        <v>17</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1024821</v>
      </c>
      <c r="D79" s="1680"/>
      <c r="E79" s="1680"/>
      <c r="F79" s="1680"/>
      <c r="G79" s="1680"/>
      <c r="H79" s="1680">
        <v>4120</v>
      </c>
      <c r="I79" s="1680"/>
      <c r="J79" s="1680"/>
      <c r="K79" s="1680"/>
      <c r="L79" s="325"/>
    </row>
    <row r="80" spans="1:12" x14ac:dyDescent="0.2">
      <c r="A80" s="2187" t="s">
        <v>1775</v>
      </c>
      <c r="B80" s="2188"/>
      <c r="C80" s="1624"/>
      <c r="D80" s="1624"/>
      <c r="E80" s="1624"/>
      <c r="F80" s="1624"/>
      <c r="G80" s="1624"/>
      <c r="H80" s="1624"/>
      <c r="I80" s="1624"/>
      <c r="J80" s="1624"/>
      <c r="K80" s="1624"/>
      <c r="L80" s="325"/>
    </row>
    <row r="81" spans="1:12" ht="13.5" thickBot="1" x14ac:dyDescent="0.25">
      <c r="A81" s="2179" t="str">
        <f>"Fund Balances - June 30, "&amp;'AFR20'!E2</f>
        <v>Fund Balances - June 30, 2020</v>
      </c>
      <c r="B81" s="2180"/>
      <c r="C81" s="1644">
        <f>(SUM(C78:C80))</f>
        <v>1120834</v>
      </c>
      <c r="D81" s="1644">
        <f>SUM(D78:D80)</f>
        <v>0</v>
      </c>
      <c r="E81" s="1644">
        <f t="shared" ref="E81:K81" si="10">SUM(E78:E80)</f>
        <v>0</v>
      </c>
      <c r="F81" s="1644">
        <f t="shared" si="10"/>
        <v>0</v>
      </c>
      <c r="G81" s="1644">
        <f t="shared" si="10"/>
        <v>0</v>
      </c>
      <c r="H81" s="1644">
        <f t="shared" si="10"/>
        <v>4137</v>
      </c>
      <c r="I81" s="1644">
        <f t="shared" si="10"/>
        <v>0</v>
      </c>
      <c r="J81" s="1644">
        <f t="shared" si="10"/>
        <v>0</v>
      </c>
      <c r="K81" s="1644">
        <f t="shared" si="10"/>
        <v>0</v>
      </c>
      <c r="L81" s="325"/>
    </row>
    <row r="82" spans="1:12" ht="0.75" customHeight="1" thickTop="1" thickBot="1" x14ac:dyDescent="0.25">
      <c r="A82" s="459" t="s">
        <v>340</v>
      </c>
      <c r="B82" s="460"/>
      <c r="C82" s="461">
        <f>(C81-C79)</f>
        <v>96013</v>
      </c>
      <c r="D82" s="461">
        <f t="shared" ref="D82:K82" si="11">(D81-D79)</f>
        <v>0</v>
      </c>
      <c r="E82" s="461">
        <f t="shared" si="11"/>
        <v>0</v>
      </c>
      <c r="F82" s="461">
        <f t="shared" si="11"/>
        <v>0</v>
      </c>
      <c r="G82" s="461">
        <f t="shared" si="11"/>
        <v>0</v>
      </c>
      <c r="H82" s="461">
        <f t="shared" si="11"/>
        <v>17</v>
      </c>
      <c r="I82" s="461">
        <f t="shared" si="11"/>
        <v>0</v>
      </c>
      <c r="J82" s="461">
        <f t="shared" si="11"/>
        <v>0</v>
      </c>
      <c r="K82" s="461">
        <f t="shared" si="11"/>
        <v>0</v>
      </c>
    </row>
    <row r="83" spans="1:12" ht="14.25" hidden="1" thickTop="1" thickBot="1" x14ac:dyDescent="0.25">
      <c r="A83" s="462" t="s">
        <v>341</v>
      </c>
      <c r="B83" s="428"/>
      <c r="C83" s="463">
        <f>C82/C81</f>
        <v>8.5662105182390966E-2</v>
      </c>
      <c r="D83" s="463" t="e">
        <f t="shared" ref="D83:K83" si="12">D82/D81</f>
        <v>#DIV/0!</v>
      </c>
      <c r="E83" s="463" t="e">
        <f t="shared" si="12"/>
        <v>#DIV/0!</v>
      </c>
      <c r="F83" s="463" t="e">
        <f t="shared" si="12"/>
        <v>#DIV/0!</v>
      </c>
      <c r="G83" s="463" t="e">
        <f t="shared" si="12"/>
        <v>#DIV/0!</v>
      </c>
      <c r="H83" s="463">
        <f t="shared" si="12"/>
        <v>4.1092579163645154E-3</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3" t="s">
        <v>1782</v>
      </c>
      <c r="B1" s="416"/>
      <c r="C1" s="417" t="s">
        <v>422</v>
      </c>
      <c r="D1" s="417" t="s">
        <v>423</v>
      </c>
      <c r="E1" s="417" t="s">
        <v>424</v>
      </c>
      <c r="F1" s="417" t="s">
        <v>425</v>
      </c>
      <c r="G1" s="417" t="s">
        <v>426</v>
      </c>
      <c r="H1" s="417" t="s">
        <v>427</v>
      </c>
      <c r="I1" s="417" t="s">
        <v>428</v>
      </c>
      <c r="J1" s="417" t="s">
        <v>429</v>
      </c>
      <c r="K1" s="417" t="s">
        <v>751</v>
      </c>
    </row>
    <row r="2" spans="1:12" ht="36" x14ac:dyDescent="0.2">
      <c r="A2" s="218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v>3363576</v>
      </c>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3363576</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958</v>
      </c>
      <c r="D65" s="1623"/>
      <c r="E65" s="1623"/>
      <c r="F65" s="1624"/>
      <c r="G65" s="1623"/>
      <c r="H65" s="1623">
        <v>17</v>
      </c>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958</v>
      </c>
      <c r="D67" s="1644">
        <f t="shared" ref="D67:K67" si="2">SUM(D65:D66)</f>
        <v>0</v>
      </c>
      <c r="E67" s="1644">
        <f t="shared" si="2"/>
        <v>0</v>
      </c>
      <c r="F67" s="1644">
        <f t="shared" si="2"/>
        <v>0</v>
      </c>
      <c r="G67" s="1644">
        <f t="shared" si="2"/>
        <v>0</v>
      </c>
      <c r="H67" s="1644">
        <f t="shared" si="2"/>
        <v>17</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34981</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34981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7920</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7920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v>240088</v>
      </c>
      <c r="F104" s="1624"/>
      <c r="G104" s="1624"/>
      <c r="H104" s="1623"/>
      <c r="I104" s="1625"/>
      <c r="J104" s="1625"/>
      <c r="K104" s="1625"/>
    </row>
    <row r="105" spans="1:12" ht="12.75" customHeight="1" x14ac:dyDescent="0.2">
      <c r="A105" s="427" t="s">
        <v>817</v>
      </c>
      <c r="B105" s="429">
        <v>1992</v>
      </c>
      <c r="C105" s="1623">
        <v>31949</v>
      </c>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6289</v>
      </c>
      <c r="D107" s="1623"/>
      <c r="E107" s="1623"/>
      <c r="F107" s="1623"/>
      <c r="G107" s="1623"/>
      <c r="H107" s="1623"/>
      <c r="I107" s="1623"/>
      <c r="J107" s="1624"/>
      <c r="K107" s="1623"/>
    </row>
    <row r="108" spans="1:12" ht="12.75" customHeight="1" thickBot="1" x14ac:dyDescent="0.25">
      <c r="A108" s="1455" t="s">
        <v>484</v>
      </c>
      <c r="B108" s="1457"/>
      <c r="C108" s="1683">
        <f>SUM(C95:C107)</f>
        <v>38238</v>
      </c>
      <c r="D108" s="1683">
        <f t="shared" ref="D108:K108" si="3">SUM(D95:D107)</f>
        <v>0</v>
      </c>
      <c r="E108" s="1683">
        <f t="shared" si="3"/>
        <v>240088</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3445673</v>
      </c>
      <c r="D109" s="1691">
        <f t="shared" si="4"/>
        <v>0</v>
      </c>
      <c r="E109" s="1691">
        <f t="shared" si="4"/>
        <v>240088</v>
      </c>
      <c r="F109" s="1691">
        <f t="shared" si="4"/>
        <v>0</v>
      </c>
      <c r="G109" s="1691">
        <f t="shared" si="4"/>
        <v>0</v>
      </c>
      <c r="H109" s="1691">
        <f t="shared" si="4"/>
        <v>17</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f>124207+470342</f>
        <v>594549</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f>2780+2300</f>
        <v>5080</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599629</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0</v>
      </c>
      <c r="D168" s="1705"/>
      <c r="E168" s="1705"/>
      <c r="F168" s="1705"/>
      <c r="G168" s="1706"/>
      <c r="H168" s="1707"/>
      <c r="I168" s="1706"/>
      <c r="J168" s="1706"/>
      <c r="K168" s="1707"/>
    </row>
    <row r="169" spans="1:11" ht="12.75" customHeight="1" thickTop="1" thickBot="1" x14ac:dyDescent="0.25">
      <c r="A169" s="2203" t="s">
        <v>395</v>
      </c>
      <c r="B169" s="2204"/>
      <c r="C169" s="1708">
        <f t="shared" ref="C169:K169" si="6">SUM(C132,C141,C145,C146:C150,C155,C156:C167,C168)</f>
        <v>599629</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599629</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5" t="s">
        <v>1478</v>
      </c>
      <c r="B172" s="2206"/>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9" t="s">
        <v>1649</v>
      </c>
      <c r="B175" s="2210"/>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3" t="s">
        <v>1648</v>
      </c>
      <c r="B176" s="2214"/>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1" t="s">
        <v>780</v>
      </c>
      <c r="B181" s="2212"/>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7" t="s">
        <v>1783</v>
      </c>
      <c r="B182" s="2208"/>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129973</v>
      </c>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129973</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129973</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129973</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4175275</v>
      </c>
      <c r="D268" s="1691">
        <f t="shared" si="12"/>
        <v>0</v>
      </c>
      <c r="E268" s="1691">
        <f t="shared" si="12"/>
        <v>240088</v>
      </c>
      <c r="F268" s="1691">
        <f t="shared" si="12"/>
        <v>0</v>
      </c>
      <c r="G268" s="1691">
        <f t="shared" si="12"/>
        <v>0</v>
      </c>
      <c r="H268" s="1691">
        <f t="shared" si="12"/>
        <v>17</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4" activePane="bottomLeft" state="frozen"/>
      <selection pane="bottomLeft" activeCell="L171" sqref="L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3"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1" t="s">
        <v>294</v>
      </c>
      <c r="B3" s="2222"/>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c r="D8" s="1623"/>
      <c r="E8" s="1623"/>
      <c r="F8" s="1623"/>
      <c r="G8" s="1623"/>
      <c r="H8" s="1623"/>
      <c r="I8" s="1624"/>
      <c r="J8" s="1624"/>
      <c r="K8" s="1722">
        <f t="shared" si="0"/>
        <v>0</v>
      </c>
      <c r="L8" s="1623"/>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v>5000</v>
      </c>
      <c r="D12" s="1623">
        <v>84</v>
      </c>
      <c r="E12" s="1623">
        <v>160</v>
      </c>
      <c r="F12" s="1623">
        <v>66</v>
      </c>
      <c r="G12" s="1623"/>
      <c r="H12" s="1623"/>
      <c r="I12" s="1624"/>
      <c r="J12" s="1624"/>
      <c r="K12" s="1722">
        <f t="shared" si="0"/>
        <v>5310</v>
      </c>
      <c r="L12" s="1623">
        <v>10900</v>
      </c>
    </row>
    <row r="13" spans="1:14" x14ac:dyDescent="0.2">
      <c r="A13" s="1319" t="s">
        <v>718</v>
      </c>
      <c r="B13" s="503">
        <v>1400</v>
      </c>
      <c r="C13" s="1623">
        <v>1442598</v>
      </c>
      <c r="D13" s="1623">
        <v>264407</v>
      </c>
      <c r="E13" s="1623">
        <v>2564</v>
      </c>
      <c r="F13" s="1623">
        <v>183897</v>
      </c>
      <c r="G13" s="1623">
        <v>42495</v>
      </c>
      <c r="H13" s="1623">
        <v>254409</v>
      </c>
      <c r="I13" s="1624"/>
      <c r="J13" s="1624"/>
      <c r="K13" s="1722">
        <f t="shared" si="0"/>
        <v>2190370</v>
      </c>
      <c r="L13" s="1623">
        <v>2275978</v>
      </c>
    </row>
    <row r="14" spans="1:14" x14ac:dyDescent="0.2">
      <c r="A14" s="1319" t="s">
        <v>957</v>
      </c>
      <c r="B14" s="503">
        <v>1500</v>
      </c>
      <c r="C14" s="1623"/>
      <c r="D14" s="1623"/>
      <c r="E14" s="1623"/>
      <c r="F14" s="1623"/>
      <c r="G14" s="1623"/>
      <c r="H14" s="1623"/>
      <c r="I14" s="1624"/>
      <c r="J14" s="1624"/>
      <c r="K14" s="1722">
        <f t="shared" si="0"/>
        <v>0</v>
      </c>
      <c r="L14" s="1623"/>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1447598</v>
      </c>
      <c r="D33" s="1724">
        <f t="shared" ref="D33:L33" si="1">SUM(D5:D32)</f>
        <v>264491</v>
      </c>
      <c r="E33" s="1724">
        <f t="shared" si="1"/>
        <v>2724</v>
      </c>
      <c r="F33" s="1724">
        <f t="shared" si="1"/>
        <v>183963</v>
      </c>
      <c r="G33" s="1724">
        <f t="shared" si="1"/>
        <v>42495</v>
      </c>
      <c r="H33" s="1724">
        <f t="shared" si="1"/>
        <v>254409</v>
      </c>
      <c r="I33" s="1724">
        <f t="shared" si="1"/>
        <v>0</v>
      </c>
      <c r="J33" s="1724">
        <f t="shared" si="1"/>
        <v>0</v>
      </c>
      <c r="K33" s="1724">
        <f t="shared" si="1"/>
        <v>2195680</v>
      </c>
      <c r="L33" s="1724">
        <f t="shared" si="1"/>
        <v>2286878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v>193811</v>
      </c>
      <c r="D37" s="1623">
        <v>35728</v>
      </c>
      <c r="E37" s="1623">
        <v>23151</v>
      </c>
      <c r="F37" s="1623">
        <v>1174</v>
      </c>
      <c r="G37" s="1623"/>
      <c r="H37" s="1623">
        <v>995</v>
      </c>
      <c r="I37" s="1624"/>
      <c r="J37" s="1624"/>
      <c r="K37" s="1722">
        <f t="shared" si="2"/>
        <v>254859</v>
      </c>
      <c r="L37" s="1623">
        <v>256757</v>
      </c>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193811</v>
      </c>
      <c r="D42" s="1724">
        <f t="shared" ref="D42:L42" si="3">SUM(D36:D41)</f>
        <v>35728</v>
      </c>
      <c r="E42" s="1724">
        <f t="shared" si="3"/>
        <v>23151</v>
      </c>
      <c r="F42" s="1724">
        <f t="shared" si="3"/>
        <v>1174</v>
      </c>
      <c r="G42" s="1724">
        <f t="shared" si="3"/>
        <v>0</v>
      </c>
      <c r="H42" s="1724">
        <f t="shared" si="3"/>
        <v>995</v>
      </c>
      <c r="I42" s="1724">
        <f t="shared" si="3"/>
        <v>0</v>
      </c>
      <c r="J42" s="1724">
        <f t="shared" si="3"/>
        <v>0</v>
      </c>
      <c r="K42" s="1724">
        <f t="shared" si="3"/>
        <v>254859</v>
      </c>
      <c r="L42" s="1724">
        <f t="shared" si="3"/>
        <v>256757</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123722</v>
      </c>
      <c r="D44" s="1636">
        <v>42437</v>
      </c>
      <c r="E44" s="1636">
        <v>44945</v>
      </c>
      <c r="F44" s="1636">
        <v>55414</v>
      </c>
      <c r="G44" s="1636">
        <v>166335</v>
      </c>
      <c r="H44" s="1636"/>
      <c r="I44" s="1624"/>
      <c r="J44" s="1624"/>
      <c r="K44" s="1728">
        <f>SUM(C44:J44)</f>
        <v>432853</v>
      </c>
      <c r="L44" s="1636">
        <v>464523</v>
      </c>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c r="D46" s="1623"/>
      <c r="E46" s="1623"/>
      <c r="F46" s="1623"/>
      <c r="G46" s="1623"/>
      <c r="H46" s="1623"/>
      <c r="I46" s="1624"/>
      <c r="J46" s="1624"/>
      <c r="K46" s="1728">
        <f>SUM(C46:J46)</f>
        <v>0</v>
      </c>
      <c r="L46" s="1623">
        <v>4500</v>
      </c>
    </row>
    <row r="47" spans="1:14" ht="12.75" customHeight="1" thickBot="1" x14ac:dyDescent="0.25">
      <c r="A47" s="1429" t="s">
        <v>557</v>
      </c>
      <c r="B47" s="1430" t="s">
        <v>32</v>
      </c>
      <c r="C47" s="1724">
        <f>SUM(C44:C46)</f>
        <v>123722</v>
      </c>
      <c r="D47" s="1724">
        <f t="shared" ref="D47:K47" si="4">SUM(D44:D46)</f>
        <v>42437</v>
      </c>
      <c r="E47" s="1724">
        <f t="shared" si="4"/>
        <v>44945</v>
      </c>
      <c r="F47" s="1724">
        <f t="shared" si="4"/>
        <v>55414</v>
      </c>
      <c r="G47" s="1724">
        <f t="shared" si="4"/>
        <v>166335</v>
      </c>
      <c r="H47" s="1724">
        <f t="shared" si="4"/>
        <v>0</v>
      </c>
      <c r="I47" s="1724">
        <f t="shared" si="4"/>
        <v>0</v>
      </c>
      <c r="J47" s="1724">
        <f t="shared" si="4"/>
        <v>0</v>
      </c>
      <c r="K47" s="1724">
        <f t="shared" si="4"/>
        <v>432853</v>
      </c>
      <c r="L47" s="1724">
        <f>SUM(L44:L46)</f>
        <v>469023</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v>16144</v>
      </c>
      <c r="F49" s="1636">
        <v>175</v>
      </c>
      <c r="G49" s="1636"/>
      <c r="H49" s="1636"/>
      <c r="I49" s="1624"/>
      <c r="J49" s="1624"/>
      <c r="K49" s="1728">
        <f>SUM(C49:J49)</f>
        <v>16319</v>
      </c>
      <c r="L49" s="1636">
        <v>16950</v>
      </c>
    </row>
    <row r="50" spans="1:14" x14ac:dyDescent="0.2">
      <c r="A50" s="1319" t="s">
        <v>813</v>
      </c>
      <c r="B50" s="503">
        <v>2320</v>
      </c>
      <c r="C50" s="1623">
        <v>177952</v>
      </c>
      <c r="D50" s="1623">
        <v>38208</v>
      </c>
      <c r="E50" s="1623">
        <v>16266</v>
      </c>
      <c r="F50" s="1623">
        <v>6328</v>
      </c>
      <c r="G50" s="1623"/>
      <c r="H50" s="1623">
        <v>2792</v>
      </c>
      <c r="I50" s="1624"/>
      <c r="J50" s="1624"/>
      <c r="K50" s="1728">
        <f>SUM(C50:J50)</f>
        <v>241546</v>
      </c>
      <c r="L50" s="1623">
        <v>242910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177952</v>
      </c>
      <c r="D53" s="1724">
        <f t="shared" ref="D53:L53" si="5">SUM(D49:D52)</f>
        <v>38208</v>
      </c>
      <c r="E53" s="1724">
        <f t="shared" si="5"/>
        <v>32410</v>
      </c>
      <c r="F53" s="1724">
        <f t="shared" si="5"/>
        <v>6503</v>
      </c>
      <c r="G53" s="1724">
        <f t="shared" si="5"/>
        <v>0</v>
      </c>
      <c r="H53" s="1724">
        <f t="shared" si="5"/>
        <v>2792</v>
      </c>
      <c r="I53" s="1724">
        <f t="shared" si="5"/>
        <v>0</v>
      </c>
      <c r="J53" s="1724">
        <f t="shared" si="5"/>
        <v>0</v>
      </c>
      <c r="K53" s="1724">
        <f t="shared" si="5"/>
        <v>257865</v>
      </c>
      <c r="L53" s="1724">
        <f t="shared" si="5"/>
        <v>259860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57785</v>
      </c>
      <c r="D60" s="1623">
        <v>24892</v>
      </c>
      <c r="E60" s="1623">
        <v>7984</v>
      </c>
      <c r="F60" s="1623">
        <v>1338</v>
      </c>
      <c r="G60" s="1623"/>
      <c r="H60" s="1623">
        <v>2723</v>
      </c>
      <c r="I60" s="1624"/>
      <c r="J60" s="1624"/>
      <c r="K60" s="1728">
        <f t="shared" si="7"/>
        <v>94722</v>
      </c>
      <c r="L60" s="1623">
        <v>95534</v>
      </c>
      <c r="M60" s="501"/>
      <c r="N60" s="501"/>
    </row>
    <row r="61" spans="1:14" s="321" customFormat="1" x14ac:dyDescent="0.2">
      <c r="A61" s="1319" t="s">
        <v>195</v>
      </c>
      <c r="B61" s="503">
        <v>2540</v>
      </c>
      <c r="C61" s="1623">
        <v>175655</v>
      </c>
      <c r="D61" s="1623">
        <v>36349</v>
      </c>
      <c r="E61" s="1623">
        <v>202344</v>
      </c>
      <c r="F61" s="1623">
        <v>125199</v>
      </c>
      <c r="G61" s="1623">
        <v>303120</v>
      </c>
      <c r="H61" s="1623">
        <v>616</v>
      </c>
      <c r="I61" s="1624"/>
      <c r="J61" s="1624"/>
      <c r="K61" s="1728">
        <f t="shared" si="7"/>
        <v>843283</v>
      </c>
      <c r="L61" s="1623">
        <v>870286</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c r="F63" s="1623"/>
      <c r="G63" s="1623"/>
      <c r="H63" s="1623"/>
      <c r="I63" s="1624"/>
      <c r="J63" s="1624"/>
      <c r="K63" s="1728">
        <f t="shared" si="7"/>
        <v>0</v>
      </c>
      <c r="L63" s="1623"/>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233440</v>
      </c>
      <c r="D65" s="1724">
        <f t="shared" ref="D65:L65" si="8">SUM(D59:D64)</f>
        <v>61241</v>
      </c>
      <c r="E65" s="1724">
        <f t="shared" si="8"/>
        <v>210328</v>
      </c>
      <c r="F65" s="1724">
        <f t="shared" si="8"/>
        <v>126537</v>
      </c>
      <c r="G65" s="1724">
        <f t="shared" si="8"/>
        <v>303120</v>
      </c>
      <c r="H65" s="1724">
        <f t="shared" si="8"/>
        <v>3339</v>
      </c>
      <c r="I65" s="1724">
        <f t="shared" si="8"/>
        <v>0</v>
      </c>
      <c r="J65" s="1724">
        <f t="shared" si="8"/>
        <v>0</v>
      </c>
      <c r="K65" s="1724">
        <f t="shared" si="8"/>
        <v>938005</v>
      </c>
      <c r="L65" s="1724">
        <f t="shared" si="8"/>
        <v>965820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728925</v>
      </c>
      <c r="D74" s="1731">
        <f t="shared" ref="D74:K74" si="10">SUM(D42,D47,D53,D57,D65,D72,D73)</f>
        <v>177614</v>
      </c>
      <c r="E74" s="1731">
        <f t="shared" si="10"/>
        <v>310834</v>
      </c>
      <c r="F74" s="1731">
        <f t="shared" si="10"/>
        <v>189628</v>
      </c>
      <c r="G74" s="1731">
        <f t="shared" si="10"/>
        <v>469455</v>
      </c>
      <c r="H74" s="1731">
        <f t="shared" si="10"/>
        <v>7126</v>
      </c>
      <c r="I74" s="1731">
        <f t="shared" si="10"/>
        <v>0</v>
      </c>
      <c r="J74" s="1731">
        <f t="shared" si="10"/>
        <v>0</v>
      </c>
      <c r="K74" s="1731">
        <f t="shared" si="10"/>
        <v>1883582</v>
      </c>
      <c r="L74" s="1731">
        <f>SUM(L42,L47,L53,L57,L65,L72,L73)</f>
        <v>1951460</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0</v>
      </c>
      <c r="I102" s="1632"/>
      <c r="J102" s="1632"/>
      <c r="K102" s="1731">
        <f>SUM(K84,K92,K100,K101)</f>
        <v>0</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2176523</v>
      </c>
      <c r="D114" s="1724">
        <f t="shared" ref="D114:K114" si="13">SUM(D33,D74,D75,D102,D112,D113)</f>
        <v>442105</v>
      </c>
      <c r="E114" s="1724">
        <f t="shared" si="13"/>
        <v>313558</v>
      </c>
      <c r="F114" s="1724">
        <f t="shared" si="13"/>
        <v>373591</v>
      </c>
      <c r="G114" s="1724">
        <f t="shared" si="13"/>
        <v>511950</v>
      </c>
      <c r="H114" s="1724">
        <f>SUM(H33,H74,H75,H102,H112,H113)</f>
        <v>261535</v>
      </c>
      <c r="I114" s="1724">
        <f t="shared" si="13"/>
        <v>0</v>
      </c>
      <c r="J114" s="1724">
        <f t="shared" si="13"/>
        <v>0</v>
      </c>
      <c r="K114" s="1724">
        <f t="shared" si="13"/>
        <v>4079262</v>
      </c>
      <c r="L114" s="1724">
        <f>SUM(L33,L74,L75,L102,L112,L113)</f>
        <v>4238338</v>
      </c>
    </row>
    <row r="115" spans="1:14" ht="13.5" thickTop="1" x14ac:dyDescent="0.2">
      <c r="A115" s="2240" t="s">
        <v>989</v>
      </c>
      <c r="B115" s="2241"/>
      <c r="C115" s="1725"/>
      <c r="D115" s="1725"/>
      <c r="E115" s="1725"/>
      <c r="F115" s="1725"/>
      <c r="G115" s="1725"/>
      <c r="H115" s="1725"/>
      <c r="I115" s="1725"/>
      <c r="J115" s="1725"/>
      <c r="K115" s="1739">
        <f>'Revenues 9-14'!C268-'Expenditures 15-22'!K114</f>
        <v>96013</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8" t="s">
        <v>293</v>
      </c>
      <c r="B117" s="2219"/>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0" t="s">
        <v>616</v>
      </c>
      <c r="B151" s="2212"/>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233" t="s">
        <v>1170</v>
      </c>
      <c r="B152" s="2234"/>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8" t="s">
        <v>617</v>
      </c>
      <c r="B154" s="2220"/>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40088</v>
      </c>
      <c r="I169" s="1723"/>
      <c r="J169" s="1723"/>
      <c r="K169" s="1722">
        <f>SUM(C169:H169)</f>
        <v>40088</v>
      </c>
      <c r="L169" s="1745">
        <v>40087</v>
      </c>
    </row>
    <row r="170" spans="1:14" ht="33.75" customHeight="1" x14ac:dyDescent="0.2">
      <c r="A170" s="543" t="s">
        <v>1654</v>
      </c>
      <c r="B170" s="545" t="s">
        <v>31</v>
      </c>
      <c r="C170" s="1723"/>
      <c r="D170" s="1723"/>
      <c r="E170" s="1723"/>
      <c r="F170" s="1723"/>
      <c r="G170" s="1723"/>
      <c r="H170" s="1696">
        <v>200000</v>
      </c>
      <c r="I170" s="1723"/>
      <c r="J170" s="1723"/>
      <c r="K170" s="1722">
        <f>SUM(C170:J170)</f>
        <v>200000</v>
      </c>
      <c r="L170" s="1696">
        <v>200000</v>
      </c>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240088</v>
      </c>
      <c r="I172" s="1734"/>
      <c r="J172" s="1723"/>
      <c r="K172" s="1731">
        <f>SUM(K168,K169,K170,K171)</f>
        <v>240088</v>
      </c>
      <c r="L172" s="1731">
        <f>SUM(L168,L169,L170,L171)</f>
        <v>240087</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240088</v>
      </c>
      <c r="I174" s="1734"/>
      <c r="J174" s="1723"/>
      <c r="K174" s="1731">
        <f>SUM(K160,K172,K173)</f>
        <v>240088</v>
      </c>
      <c r="L174" s="1731">
        <f>SUM(L160,L172,L173)</f>
        <v>240087</v>
      </c>
    </row>
    <row r="175" spans="1:14" ht="13.5" thickTop="1" x14ac:dyDescent="0.2">
      <c r="A175" s="2240" t="s">
        <v>989</v>
      </c>
      <c r="B175" s="2241"/>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240" t="s">
        <v>989</v>
      </c>
      <c r="B211" s="2241"/>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5" t="s">
        <v>959</v>
      </c>
      <c r="B213" s="2236"/>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1" t="s">
        <v>502</v>
      </c>
      <c r="B295" s="2232"/>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40" t="s">
        <v>989</v>
      </c>
      <c r="B296" s="2241"/>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3" t="s">
        <v>142</v>
      </c>
      <c r="B298" s="2217"/>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8" t="s">
        <v>275</v>
      </c>
      <c r="B312" s="2229"/>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4" t="s">
        <v>989</v>
      </c>
      <c r="B313" s="2225"/>
      <c r="C313" s="1727"/>
      <c r="D313" s="1727"/>
      <c r="E313" s="1727"/>
      <c r="F313" s="1727"/>
      <c r="G313" s="1727"/>
      <c r="H313" s="1727"/>
      <c r="I313" s="1727"/>
      <c r="J313" s="1727"/>
      <c r="K313" s="1746">
        <f>'Revenues 9-14'!H268-'Expenditures 15-22'!K312</f>
        <v>17</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7" t="s">
        <v>148</v>
      </c>
      <c r="B315" s="2238"/>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39" t="s">
        <v>892</v>
      </c>
      <c r="B317" s="2238"/>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26" t="s">
        <v>989</v>
      </c>
      <c r="B343" s="2227"/>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6" t="s">
        <v>960</v>
      </c>
      <c r="B345" s="2217"/>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40" t="s">
        <v>989</v>
      </c>
      <c r="B368" s="2241"/>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microsoft.com/office/2006/documentManagement/types"/>
    <ds:schemaRef ds:uri="http://schemas.microsoft.com/office/infopath/2007/PartnerControls"/>
    <ds:schemaRef ds:uri="4d435f69-8686-490b-bd6d-b153bf22ab50"/>
    <ds:schemaRef ds:uri="http://purl.org/dc/dcmitype/"/>
    <ds:schemaRef ds:uri="http://purl.org/dc/terms/"/>
    <ds:schemaRef ds:uri="http://schemas.microsoft.com/office/2006/metadata/properties"/>
    <ds:schemaRef ds:uri="http://schemas.microsoft.com/sharepoint/v3"/>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2020-09-09T14:14:33Z</cp:lastPrinted>
  <dcterms:created xsi:type="dcterms:W3CDTF">2003-10-29T19:06:34Z</dcterms:created>
  <dcterms:modified xsi:type="dcterms:W3CDTF">2020-09-17T13:35:42Z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00000005J020200909125753.xlsm</vt:lpwstr>
  </property>
  <property fmtid="{D5CDD505-2E9C-101B-9397-08002B2CF9AE}" pid="5" name="GFRDocument">
    <vt:lpwstr>1</vt:lpwstr>
  </property>
  <property fmtid="{D5CDD505-2E9C-101B-9397-08002B2CF9AE}" pid="6" name="WebDocument">
    <vt:lpwstr>True</vt:lpwstr>
  </property>
</Properties>
</file>