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28C2A7A-C69C-4AF8-808E-E1E96F38902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Sheet1" sheetId="186"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2)" sheetId="185"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4" hidden="1">'AFR20'!$A$1:$F$7884</definedName>
    <definedName name="_xlnm.Print_Area" localSheetId="29">' SEFA'!$B$1:$M$46</definedName>
    <definedName name="_xlnm.Print_Area" localSheetId="28">' 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28">#REF!</definedName>
    <definedName name="SCHADDRS" localSheetId="14">#REF!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28">#REF!</definedName>
    <definedName name="SCHCTY" localSheetId="14">#REF!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28">#REF!</definedName>
    <definedName name="SCHNMBR" localSheetId="14">#REF!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28">#REF!</definedName>
    <definedName name="SCHNME" localSheetId="14">#REF!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28">#REF!</definedName>
    <definedName name="SUPT" localSheetId="14">#REF!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G30" i="108" l="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F41" i="108"/>
  <c r="G43" i="108"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<sst xmlns="http://schemas.openxmlformats.org/spreadsheetml/2006/main" count="5226" uniqueCount="2105">
  <si>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</si>
  <si>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</si>
  <si>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</si>
  <si>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</si>
  <si>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</si>
  <si>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</si>
  <si>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</si>
  <si>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</si>
  <si>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</si>
  <si>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</si>
  <si>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</si>
  <si>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</si>
  <si>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</si>
  <si>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</si>
  <si>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</si>
  <si>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</si>
  <si>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</si>
  <si>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</si>
  <si>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</si>
  <si>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</si>
  <si>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</si>
  <si>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</si>
  <si>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</si>
  <si>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</si>
  <si>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</si>
  <si>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</si>
  <si>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</si>
  <si>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</si>
  <si>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</si>
  <si>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</si>
  <si>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</si>
  <si>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</si>
  <si>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</si>
  <si>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</si>
  <si>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</si>
  <si>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</si>
  <si>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</si>
  <si>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</si>
  <si>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</si>
  <si>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</si>
  <si>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</si>
  <si>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</si>
  <si>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</si>
  <si>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</si>
  <si>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</si>
  <si>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</si>
  <si>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</si>
  <si>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</si>
  <si>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</si>
  <si>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</si>
  <si>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</si>
  <si>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</si>
  <si>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</si>
  <si>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</si>
  <si>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</si>
  <si>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</si>
  <si>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</si>
  <si>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</si>
  <si>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</si>
  <si>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</si>
  <si>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</si>
  <si>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</si>
  <si>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</si>
  <si>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</si>
  <si>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</si>
  <si>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</si>
  <si>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</si>
  <si>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</si>
  <si>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</si>
  <si>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</si>
  <si>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</si>
  <si>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</si>
  <si>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</si>
  <si>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</si>
  <si>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</si>
  <si>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</si>
  <si>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</si>
  <si>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</si>
  <si>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</si>
  <si>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</si>
  <si>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</si>
  <si>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</si>
  <si>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</si>
  <si>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</si>
  <si>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</si>
  <si>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</si>
  <si>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</si>
  <si>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</si>
  <si>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</si>
  <si>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</si>
  <si>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</si>
  <si>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</si>
  <si>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</si>
  <si>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</si>
  <si>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</si>
  <si>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</si>
  <si>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</si>
  <si>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</si>
  <si>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</si>
  <si>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</si>
  <si>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</si>
  <si>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</si>
  <si>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</si>
  <si>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</si>
  <si>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</si>
  <si>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</si>
  <si>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</si>
  <si>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</si>
  <si>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</si>
  <si>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</si>
  <si>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</si>
  <si>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</si>
  <si>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</si>
  <si>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</si>
  <si>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</si>
  <si>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</si>
  <si>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</si>
  <si>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</si>
  <si>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</si>
  <si>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</si>
  <si>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</si>
  <si>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</si>
  <si>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</si>
  <si>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</si>
  <si>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</si>
  <si>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</si>
  <si>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</si>
  <si>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</si>
  <si>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</si>
  <si>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</si>
  <si>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</si>
  <si>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</si>
  <si>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</si>
  <si>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</si>
  <si>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</si>
  <si>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</si>
  <si>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</si>
  <si>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</si>
  <si>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</si>
  <si>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</si>
  <si>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</si>
  <si>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</si>
  <si>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</si>
  <si>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</si>
  <si>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</si>
  <si>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</si>
  <si>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</si>
  <si>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</si>
  <si>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</si>
  <si>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</si>
  <si>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</si>
  <si>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</si>
  <si>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</si>
  <si>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</si>
  <si>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</si>
  <si>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</si>
  <si>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</si>
  <si>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</si>
  <si>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</si>
  <si>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</si>
  <si>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</si>
  <si>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</si>
  <si>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</si>
  <si>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</si>
  <si>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</si>
  <si>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</si>
  <si>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</si>
  <si>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</si>
  <si>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</si>
  <si>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</si>
  <si>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</si>
  <si>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</si>
  <si>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</si>
  <si>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</si>
  <si>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</si>
  <si>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</si>
  <si>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</si>
  <si>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</si>
  <si>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</si>
  <si>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</si>
  <si>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</si>
  <si>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</si>
  <si>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</si>
  <si>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</si>
  <si>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</si>
  <si>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</si>
  <si>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</si>
  <si>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</si>
  <si>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</si>
  <si>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</si>
  <si>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</si>
  <si>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</si>
  <si>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</si>
  <si>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</si>
  <si>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</si>
  <si>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</si>
  <si>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</si>
  <si>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</si>
  <si>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</si>
  <si>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</si>
  <si>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</si>
  <si>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</si>
  <si>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</si>
  <si>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</si>
  <si>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</si>
  <si>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</si>
  <si>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</si>
  <si>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</si>
  <si>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</si>
  <si>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</si>
  <si>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</si>
  <si>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</si>
  <si>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</si>
  <si>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</si>
  <si>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</si>
  <si>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</si>
  <si>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</si>
  <si>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</si>
  <si>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</si>
  <si>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</si>
  <si>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</si>
  <si>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</si>
  <si>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</si>
  <si>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</si>
  <si>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</si>
  <si>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</si>
  <si>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</si>
  <si>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</si>
  <si>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</si>
  <si>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</si>
  <si>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</si>
  <si>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</si>
  <si>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</si>
  <si>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</si>
  <si>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</si>
  <si>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</si>
  <si>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</si>
  <si>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</si>
  <si>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</si>
  <si>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</si>
  <si>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</si>
  <si>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</si>
  <si>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</si>
  <si>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</si>
  <si>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</si>
  <si>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</si>
  <si>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</si>
  <si>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</si>
  <si>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</si>
  <si>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</si>
  <si>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</si>
  <si>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</si>
  <si>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</si>
  <si>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</si>
  <si>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</si>
  <si>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</si>
  <si>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</si>
  <si>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</si>
  <si>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</si>
  <si>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</si>
  <si>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</si>
  <si>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</si>
  <si>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</si>
  <si>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</si>
  <si>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</si>
  <si>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</si>
  <si>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</si>
  <si>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</si>
  <si>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</si>
  <si>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</si>
  <si>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</si>
  <si>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</si>
  <si>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</si>
  <si>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</si>
  <si>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</si>
  <si>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</si>
  <si>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</si>
  <si>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</si>
  <si>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</si>
  <si>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</si>
  <si>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</si>
  <si>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</si>
  <si>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</si>
  <si>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</si>
  <si>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</si>
  <si>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</si>
  <si>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</si>
  <si>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</si>
  <si>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</si>
  <si>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</si>
  <si>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</si>
  <si>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</si>
  <si>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</si>
  <si>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</si>
  <si>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</si>
  <si>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</si>
  <si>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</si>
  <si>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</si>
  <si>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</si>
  <si>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</si>
  <si>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</si>
  <si>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</si>
  <si>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</si>
  <si>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</si>
  <si>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</si>
  <si>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</si>
  <si>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</si>
  <si>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</si>
  <si>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</si>
  <si>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</si>
  <si>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</si>
  <si>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</si>
  <si>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</si>
  <si>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</si>
  <si>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</si>
  <si>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</si>
  <si>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</si>
  <si>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</si>
  <si>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</si>
  <si>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</si>
  <si>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</si>
  <si>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</si>
  <si>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</si>
  <si>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</si>
  <si>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</si>
  <si>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</si>
  <si>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</si>
  <si>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</si>
  <si>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</si>
  <si>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</si>
  <si>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</si>
  <si>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</si>
  <si>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</si>
  <si>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</si>
  <si>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</si>
  <si>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</si>
  <si>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</si>
  <si>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</si>
  <si>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</si>
  <si>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</si>
  <si>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</si>
  <si>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</si>
  <si>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</si>
  <si>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</si>
  <si>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</si>
  <si>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</si>
  <si>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</si>
  <si>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</si>
  <si>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</si>
  <si>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</si>
  <si>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</si>
  <si>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</si>
  <si>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</si>
  <si>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</si>
  <si>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</si>
  <si>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</si>
  <si>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</si>
  <si>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</si>
  <si>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</si>
  <si>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</si>
  <si>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</si>
  <si>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</si>
  <si>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</si>
  <si>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</si>
  <si>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</si>
  <si>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</si>
  <si>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</si>
  <si>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</si>
  <si>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</si>
  <si>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</si>
  <si>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</si>
  <si>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</si>
  <si>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</si>
  <si>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</si>
  <si>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</si>
  <si>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</si>
  <si>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</si>
  <si>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</si>
  <si>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</si>
  <si>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</si>
  <si>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</si>
  <si>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</si>
  <si>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</si>
  <si>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</si>
  <si>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</si>
  <si>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</si>
  <si>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</si>
  <si>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</si>
  <si>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</si>
  <si>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</si>
  <si>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</si>
  <si>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</si>
  <si>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</si>
  <si>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</si>
  <si>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</si>
  <si>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</si>
  <si>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</si>
  <si>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</si>
  <si>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</si>
  <si>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</si>
  <si>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</si>
  <si>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</si>
  <si>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</si>
  <si>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</si>
  <si>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</si>
  <si>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</si>
  <si>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</si>
  <si>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</si>
  <si>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</si>
  <si>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</si>
  <si>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</si>
  <si>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</si>
  <si>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</si>
  <si>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</si>
  <si>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</si>
  <si>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</si>
  <si>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</si>
  <si>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</si>
  <si>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</si>
  <si>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</si>
  <si>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</si>
  <si>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</si>
  <si>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</si>
  <si>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</si>
  <si>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</si>
  <si>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</si>
  <si>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</si>
  <si>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</si>
  <si>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</si>
  <si>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</si>
  <si>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</si>
  <si>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</si>
  <si>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</si>
  <si>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</si>
  <si>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</si>
  <si>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</si>
  <si>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</si>
  <si>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</si>
  <si>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</si>
  <si>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</si>
  <si>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</si>
  <si>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</si>
  <si>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</si>
  <si>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</si>
  <si>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</si>
  <si>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</si>
  <si>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</si>
  <si>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</si>
  <si>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</si>
  <si>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</si>
  <si>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</si>
  <si>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</si>
  <si>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</si>
  <si>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</si>
  <si>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</si>
  <si>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</si>
  <si>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</si>
  <si>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</si>
  <si>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</si>
  <si>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</si>
  <si>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</si>
  <si>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</si>
  <si>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</si>
  <si>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</si>
  <si>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</si>
  <si>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</si>
  <si>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</si>
  <si>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</si>
  <si>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</si>
  <si>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</si>
  <si>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</si>
  <si>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</si>
  <si>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</si>
  <si>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</si>
  <si>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</si>
  <si>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</si>
  <si>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</si>
  <si>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</si>
  <si>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</si>
  <si>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</si>
  <si>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</si>
  <si>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</si>
  <si>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</si>
  <si>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</si>
  <si>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</si>
  <si>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</si>
  <si>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</si>
  <si>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</si>
  <si>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</si>
  <si>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</si>
  <si>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</si>
  <si>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</si>
  <si>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</si>
  <si>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</si>
  <si>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</si>
  <si>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</si>
  <si>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</si>
  <si>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</si>
  <si>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</si>
  <si>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</si>
  <si>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</si>
  <si>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</si>
  <si>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</si>
  <si>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</si>
  <si>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</si>
  <si>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</si>
  <si>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</si>
  <si>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</si>
  <si>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</si>
  <si>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</si>
  <si>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</si>
  <si>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</si>
  <si>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</si>
  <si>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</si>
  <si>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</si>
  <si>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</si>
  <si>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</si>
  <si>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</si>
  <si>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</si>
  <si>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</si>
  <si>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</si>
  <si>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</si>
  <si>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</si>
  <si>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</si>
  <si>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</si>
  <si>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</si>
  <si>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</si>
  <si>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</si>
  <si>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</si>
  <si>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</si>
  <si>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</si>
  <si>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</si>
  <si>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</si>
  <si>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</si>
  <si>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</si>
  <si>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</si>
  <si>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</si>
  <si>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</si>
  <si>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</si>
  <si>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</si>
  <si>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</si>
  <si>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</si>
  <si>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</si>
  <si>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</si>
  <si>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</si>
  <si>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</si>
  <si>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</si>
  <si>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</si>
  <si>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</si>
  <si>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</si>
  <si>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</si>
  <si>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</si>
  <si>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</si>
  <si>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</si>
  <si>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</si>
  <si>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</si>
  <si>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</si>
  <si>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</si>
  <si>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</si>
  <si>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</si>
  <si>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</si>
  <si>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</si>
  <si>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</si>
  <si>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</si>
  <si>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</si>
  <si>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</si>
  <si>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</si>
  <si>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</si>
  <si>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</si>
  <si>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</si>
  <si>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</si>
  <si>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</si>
  <si>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</si>
  <si>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</si>
  <si>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</si>
  <si>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</si>
  <si>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</si>
  <si>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</si>
  <si>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</si>
  <si>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</si>
  <si>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</si>
  <si>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</si>
  <si>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</si>
  <si>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</si>
  <si>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</si>
  <si>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</si>
  <si>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</si>
  <si>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</si>
  <si>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</si>
  <si>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</si>
  <si>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</si>
  <si>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</si>
  <si>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</si>
  <si>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</si>
  <si>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</si>
  <si>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</si>
  <si>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</si>
  <si>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</si>
  <si>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</si>
  <si>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</si>
  <si>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</si>
  <si>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</si>
  <si>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</si>
  <si>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</si>
  <si>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</si>
  <si>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</si>
  <si>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</si>
  <si>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</si>
  <si>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</si>
  <si>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</si>
  <si>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</si>
  <si>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</si>
  <si>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</si>
  <si>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</si>
  <si>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</si>
  <si>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</si>
  <si>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</si>
  <si>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</si>
  <si>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</si>
  <si>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</si>
  <si>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</si>
  <si>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</si>
  <si>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</si>
  <si>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</si>
  <si>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</si>
  <si>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</si>
  <si>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</si>
  <si>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</si>
  <si>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</si>
  <si>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</si>
  <si>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</si>
  <si>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</si>
  <si>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</si>
  <si>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</si>
  <si>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</si>
  <si>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</si>
  <si>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</si>
  <si>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</si>
  <si>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</si>
  <si>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</si>
  <si>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</si>
  <si>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</si>
  <si>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</si>
  <si>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</si>
  <si>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</si>
  <si>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</si>
  <si>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</si>
  <si>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</si>
  <si>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</si>
  <si>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</si>
  <si>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</si>
  <si>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</si>
  <si>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</si>
  <si>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</si>
  <si>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</si>
  <si>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</si>
  <si>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</si>
  <si>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</si>
  <si>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</si>
  <si>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</si>
  <si>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</si>
  <si>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</si>
  <si>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</si>
  <si>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</si>
  <si>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</si>
  <si>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</si>
  <si>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</si>
  <si>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</si>
  <si>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</si>
  <si>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</si>
  <si>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</si>
  <si>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</si>
  <si>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</si>
  <si>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</si>
  <si>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</si>
  <si>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</si>
  <si>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</si>
  <si>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</si>
  <si>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</si>
  <si>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</si>
  <si>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</si>
  <si>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</si>
  <si>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</si>
  <si>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</si>
  <si>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</si>
  <si>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</si>
  <si>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</si>
  <si>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</si>
  <si>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</si>
  <si>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</si>
  <si>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</si>
  <si>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</si>
  <si>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</si>
  <si>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</si>
  <si>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</si>
  <si>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</si>
  <si>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</si>
  <si>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</si>
  <si>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</si>
  <si>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</si>
  <si>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</si>
  <si>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</si>
  <si>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</si>
  <si>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</si>
  <si>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</si>
  <si>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</si>
  <si>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</si>
  <si>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</si>
  <si>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</si>
  <si>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</si>
  <si>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</si>
  <si>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</si>
  <si>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</si>
  <si>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</si>
  <si>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</si>
  <si>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</si>
  <si>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</si>
  <si>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</si>
  <si>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</si>
  <si>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</si>
  <si>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</si>
  <si>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</si>
  <si>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</si>
  <si>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</si>
  <si>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</si>
  <si>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</si>
  <si>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</si>
  <si>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</si>
  <si>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</si>
  <si>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</si>
  <si>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</si>
  <si>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</si>
  <si>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</si>
  <si>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</si>
  <si>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</si>
  <si>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</si>
  <si>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</si>
  <si>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</si>
  <si>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</si>
  <si>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</si>
  <si>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</si>
  <si>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</si>
  <si>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</si>
  <si>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</si>
  <si>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</si>
  <si>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</si>
  <si>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</si>
  <si>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</si>
  <si>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</si>
  <si>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</si>
  <si>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</si>
  <si>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</si>
  <si>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</si>
  <si>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</si>
  <si>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</si>
  <si>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</si>
  <si>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</si>
  <si>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</si>
  <si>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</si>
  <si>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</si>
  <si>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</si>
  <si>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</si>
  <si>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</si>
  <si>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</si>
  <si>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</si>
  <si>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</si>
  <si>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</si>
  <si>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</si>
  <si>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</si>
  <si>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</si>
  <si>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</si>
  <si>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</si>
  <si>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</si>
  <si>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</si>
  <si>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</si>
  <si>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</si>
  <si>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</si>
  <si>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</si>
  <si>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</si>
  <si>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</si>
  <si>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</si>
  <si>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</si>
  <si>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</si>
  <si>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</si>
  <si>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</si>
  <si>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</si>
  <si>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</si>
  <si>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</si>
  <si>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</si>
  <si>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</si>
  <si>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</si>
  <si>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</si>
  <si>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</si>
  <si>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</si>
  <si>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</si>
  <si>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</si>
  <si>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</si>
  <si>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</si>
  <si>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</si>
  <si>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</si>
  <si>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</si>
  <si>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</si>
  <si>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</si>
  <si>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</si>
  <si>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</si>
  <si>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</si>
  <si>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</si>
  <si>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</si>
  <si>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</si>
  <si>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</si>
  <si>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</si>
  <si>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</si>
  <si>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</si>
  <si>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</si>
  <si>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</si>
  <si>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</si>
  <si>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</si>
  <si>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</si>
  <si>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</si>
  <si>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</si>
  <si>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</si>
  <si>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</si>
  <si>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</si>
  <si>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</si>
  <si>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</si>
  <si>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</si>
  <si>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</si>
  <si>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</si>
  <si>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</si>
  <si>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</si>
  <si>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</si>
  <si>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</si>
  <si>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</si>
  <si>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</si>
  <si>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</si>
  <si>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</si>
  <si>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</si>
  <si>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</si>
  <si>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</si>
  <si>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</si>
  <si>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</si>
  <si>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</si>
  <si>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</si>
  <si>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</si>
  <si>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</si>
  <si>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</si>
  <si>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</si>
  <si>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</si>
  <si>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</si>
  <si>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</si>
  <si>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</si>
  <si>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</si>
  <si>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</si>
  <si>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</si>
  <si>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</si>
  <si>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</si>
  <si>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</si>
  <si>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</si>
  <si>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</si>
  <si>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</si>
  <si>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</si>
  <si>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</si>
  <si>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</si>
  <si>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</si>
  <si>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</si>
  <si>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</si>
  <si>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</si>
  <si>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</si>
  <si>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</si>
  <si>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</si>
  <si>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</si>
  <si>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</si>
  <si>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</si>
  <si>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</si>
  <si>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</si>
  <si>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</si>
  <si>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</si>
  <si>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</si>
  <si>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</si>
  <si>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</si>
  <si>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</si>
  <si>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</si>
  <si>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</si>
  <si>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</si>
  <si>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</si>
  <si>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</si>
  <si>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</si>
  <si>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</si>
  <si>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</si>
  <si>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</si>
  <si>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</si>
  <si>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</si>
  <si>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</si>
  <si>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</si>
  <si>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</si>
  <si>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</si>
  <si>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</si>
  <si>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</si>
  <si>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</si>
  <si>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</si>
  <si>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</si>
  <si>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</si>
  <si>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</si>
  <si>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</si>
  <si>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</si>
  <si>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</si>
  <si>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</si>
  <si>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</si>
  <si>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</si>
  <si>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</si>
  <si>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</si>
  <si>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</si>
  <si>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</si>
  <si>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</si>
  <si>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</si>
  <si>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</si>
  <si>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</si>
  <si>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</si>
  <si>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</si>
  <si>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</si>
  <si>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</si>
  <si>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</si>
  <si>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</si>
  <si>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</si>
  <si>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</si>
  <si>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</si>
  <si>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</si>
  <si>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</si>
  <si>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</si>
  <si>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</si>
  <si>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</si>
  <si>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</si>
  <si>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</si>
  <si>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</si>
  <si>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</si>
  <si>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</si>
  <si>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</si>
  <si>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</si>
  <si>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</si>
  <si>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</si>
  <si>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</si>
  <si>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</si>
  <si>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</si>
  <si>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</si>
  <si>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</si>
  <si>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</si>
  <si>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</si>
  <si>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</si>
  <si>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</si>
  <si>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</si>
  <si>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</si>
  <si>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</si>
  <si>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</si>
  <si>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</si>
  <si>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</si>
  <si>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</si>
  <si>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</si>
  <si>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</si>
  <si>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</si>
  <si>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</si>
  <si>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</si>
  <si>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</si>
  <si>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</si>
  <si>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</si>
  <si>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</si>
  <si>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</si>
  <si>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</si>
  <si>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</si>
  <si>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</si>
  <si>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</si>
  <si>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</si>
  <si>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</si>
  <si>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</si>
  <si>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</si>
  <si>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</si>
  <si>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</si>
  <si>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</si>
  <si>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</si>
  <si>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</si>
  <si>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</si>
  <si>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</si>
  <si>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</si>
  <si>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</si>
  <si>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</si>
  <si>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</si>
  <si>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</si>
  <si>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</si>
  <si>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</si>
  <si>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</si>
  <si>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</si>
  <si>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</si>
  <si>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</si>
  <si>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</si>
  <si>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</si>
  <si>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</si>
  <si>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</si>
  <si>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</si>
  <si>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</si>
  <si>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</si>
  <si>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</si>
  <si>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</si>
  <si>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</si>
  <si>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</si>
  <si>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</si>
  <si>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</si>
  <si>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</si>
  <si>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</si>
  <si>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</si>
  <si>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</si>
  <si>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</si>
  <si>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</si>
  <si>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</si>
  <si>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</si>
  <si>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</si>
  <si>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</si>
  <si>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</si>
  <si>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</si>
  <si>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</si>
  <si>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</si>
  <si>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</si>
  <si>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</si>
  <si>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</si>
  <si>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</si>
  <si>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</si>
  <si>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</si>
  <si>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</si>
  <si>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</si>
  <si>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</si>
  <si>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</si>
  <si>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</si>
  <si>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</si>
  <si>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</si>
  <si>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</si>
  <si>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</si>
  <si>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</si>
  <si>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</si>
  <si>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</si>
  <si>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</si>
  <si>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</si>
  <si>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</si>
  <si>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</si>
  <si>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</si>
  <si>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</si>
  <si>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</si>
  <si>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</si>
  <si>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</si>
  <si>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</si>
  <si>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</si>
  <si>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</si>
  <si>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</si>
  <si>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</si>
  <si>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</si>
  <si>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</si>
  <si>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</si>
  <si>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</si>
  <si>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</si>
  <si>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</si>
  <si>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</si>
  <si>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</si>
  <si>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</si>
  <si>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</si>
  <si>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</si>
  <si>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</si>
  <si>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</si>
  <si>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</si>
  <si>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</si>
  <si>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</si>
  <si>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</si>
  <si>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</si>
  <si>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</si>
  <si>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</si>
  <si>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</si>
  <si>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</si>
  <si>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</si>
  <si>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</si>
  <si>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</si>
  <si>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</si>
  <si>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</si>
  <si>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</si>
  <si>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</si>
  <si>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</si>
  <si>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</si>
  <si>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</si>
  <si>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</si>
  <si>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</si>
  <si>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</si>
  <si>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</si>
  <si>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</si>
  <si>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</si>
  <si>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</si>
  <si>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</si>
  <si>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</si>
  <si>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</si>
  <si>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</si>
  <si>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</si>
  <si>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</si>
  <si>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</si>
  <si>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</si>
  <si>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</si>
  <si>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</si>
  <si>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</si>
  <si>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</si>
  <si>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</si>
  <si>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</si>
  <si>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</si>
  <si>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</si>
  <si>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</si>
  <si>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</si>
  <si>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</si>
  <si>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</si>
  <si>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</si>
  <si>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</si>
  <si>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</si>
  <si>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</si>
  <si>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</si>
  <si>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</si>
  <si>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</si>
  <si>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</si>
  <si>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</si>
  <si>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</si>
  <si>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</si>
  <si>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</si>
  <si>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</si>
  <si>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</si>
  <si>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</si>
  <si>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</si>
  <si>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</si>
  <si>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</si>
  <si>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</si>
  <si>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</si>
  <si>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</si>
  <si>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</si>
  <si>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</si>
  <si>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</si>
  <si>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</si>
  <si>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</si>
  <si>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</si>
  <si>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</si>
  <si>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</si>
  <si>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</si>
  <si>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</si>
  <si>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</si>
  <si>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</si>
  <si>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</si>
  <si>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</si>
  <si>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</si>
  <si>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</si>
  <si>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</si>
  <si>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</si>
  <si>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</si>
  <si>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</si>
  <si>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</si>
  <si>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</si>
  <si>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</si>
  <si>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</si>
  <si>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</si>
  <si>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</si>
  <si>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</si>
  <si>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</si>
  <si>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</si>
  <si>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</si>
  <si>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</si>
  <si>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</si>
  <si>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</si>
  <si>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</si>
  <si>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</si>
  <si>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</si>
  <si>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</si>
  <si>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</si>
  <si>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</si>
  <si>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</si>
  <si>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</si>
  <si>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</si>
  <si>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</si>
  <si>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</si>
  <si>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</si>
  <si>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</si>
  <si>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</si>
  <si>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</si>
  <si>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</si>
  <si>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</si>
  <si>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</si>
  <si>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</si>
  <si>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</si>
  <si>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</si>
  <si>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</si>
  <si>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</si>
  <si>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</si>
  <si>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</si>
  <si>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</si>
  <si>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</si>
  <si>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</si>
  <si>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</si>
  <si>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</si>
  <si>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</si>
  <si>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</si>
  <si>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</si>
  <si>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</si>
  <si>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</si>
  <si>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</si>
  <si>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</si>
  <si>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</si>
  <si>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</si>
  <si>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</si>
  <si>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</si>
  <si>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</si>
  <si>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</si>
  <si>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</si>
  <si>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</si>
  <si>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</si>
  <si>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</si>
  <si>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</si>
  <si>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</si>
  <si>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</si>
  <si>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</si>
  <si>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</si>
  <si>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</si>
  <si>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</si>
  <si>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</si>
  <si>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</si>
  <si>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</si>
  <si>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</si>
  <si>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</si>
  <si>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</si>
  <si>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</si>
  <si>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</si>
  <si>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</si>
  <si>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</si>
  <si>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</si>
  <si>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</si>
  <si>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</si>
  <si>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</si>
  <si>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</si>
  <si>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</si>
  <si>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</si>
  <si>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</si>
  <si>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</si>
  <si>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</si>
  <si>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</si>
  <si>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</si>
  <si>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</si>
  <si>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</si>
  <si>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</si>
  <si>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</si>
  <si>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</si>
  <si>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</si>
  <si>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</si>
  <si>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</si>
  <si>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</si>
  <si>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</si>
  <si>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</si>
  <si>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</si>
  <si>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</si>
  <si>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</si>
  <si>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</si>
  <si>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</si>
  <si>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</si>
  <si>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</si>
  <si>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</si>
  <si>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</si>
  <si>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</si>
  <si>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</si>
  <si>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</si>
  <si>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</si>
  <si>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</si>
  <si>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</si>
  <si>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</si>
  <si>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</si>
  <si>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</si>
  <si>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</si>
  <si>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</si>
  <si>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</si>
  <si>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</si>
  <si>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</si>
  <si>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</si>
  <si>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</si>
  <si>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</si>
  <si>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</si>
  <si>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</si>
  <si>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</si>
  <si>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</si>
  <si>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</si>
  <si>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</si>
  <si>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</si>
  <si>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</si>
  <si>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</si>
  <si>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</si>
  <si>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</si>
  <si>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</si>
  <si>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</si>
  <si>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</si>
  <si>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</si>
  <si>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</si>
  <si>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</si>
  <si>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</si>
  <si>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</si>
  <si>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</si>
  <si>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</si>
  <si>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</si>
  <si>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</si>
  <si>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</si>
  <si>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</si>
  <si>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</si>
  <si>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</si>
  <si>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</si>
  <si>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</si>
  <si>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</si>
  <si>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</si>
  <si>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</si>
  <si>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</si>
  <si>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</si>
  <si>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</si>
  <si>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</si>
  <si>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</si>
  <si>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</si>
  <si>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</si>
  <si>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</si>
  <si>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</si>
  <si>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</si>
  <si>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</si>
  <si>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</si>
  <si>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</si>
  <si>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</si>
  <si>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</si>
  <si>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</si>
  <si>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</si>
  <si>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</si>
  <si>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</si>
  <si>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</si>
  <si>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</si>
  <si>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</si>
  <si>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</si>
  <si>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</si>
  <si>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</si>
  <si>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</si>
  <si>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</si>
  <si>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</si>
  <si>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</si>
  <si>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</si>
  <si>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</si>
  <si>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</si>
  <si>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</si>
  <si>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</si>
  <si>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</si>
  <si>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</si>
  <si>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</si>
  <si>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</si>
  <si>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</si>
  <si>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</si>
  <si>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</si>
  <si>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</si>
  <si>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</si>
  <si>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</si>
  <si>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</si>
  <si>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</si>
  <si>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</si>
  <si>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</si>
  <si>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</si>
  <si>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</si>
  <si>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</si>
  <si>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</si>
  <si>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</si>
  <si>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</si>
  <si>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</si>
  <si>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</si>
  <si>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</si>
  <si>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</si>
  <si>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</si>
  <si>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</si>
  <si>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</si>
  <si>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</si>
  <si>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</si>
  <si>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</si>
  <si>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</si>
  <si>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</si>
  <si>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</si>
  <si>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</si>
  <si>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</si>
  <si>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</si>
  <si>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</si>
  <si>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</si>
  <si>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</si>
  <si>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</si>
  <si>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</si>
  <si>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</si>
  <si>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</si>
  <si>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</si>
  <si>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</si>
  <si>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</si>
  <si>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</si>
  <si>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</si>
  <si>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</si>
  <si>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</si>
  <si>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</si>
  <si>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</si>
  <si>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</si>
  <si>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</si>
  <si>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</si>
  <si>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</si>
  <si>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</si>
  <si>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</si>
  <si>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</si>
  <si>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</si>
  <si>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</si>
  <si>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</si>
  <si>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</si>
  <si>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</si>
  <si>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</si>
  <si>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</si>
  <si>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</si>
  <si>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</si>
  <si>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</si>
  <si>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</si>
  <si>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</si>
  <si>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</si>
  <si>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</si>
  <si>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</si>
  <si>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</si>
  <si>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</si>
  <si>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</si>
  <si>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</si>
  <si>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</si>
  <si>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</si>
  <si>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</si>
  <si>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</si>
  <si>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</si>
  <si>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</si>
  <si>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</si>
  <si>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</si>
  <si>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</si>
  <si>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</si>
  <si>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</si>
  <si>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</si>
  <si>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</si>
  <si>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</si>
  <si>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</si>
  <si>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</si>
  <si>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</si>
  <si>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</si>
  <si>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</si>
  <si>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</si>
  <si>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</si>
  <si>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</si>
  <si>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</si>
  <si>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</si>
  <si>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</si>
  <si>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</si>
  <si>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</si>
  <si>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</si>
  <si>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</si>
  <si>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</si>
  <si>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</si>
  <si>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</si>
  <si>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</si>
  <si>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</si>
  <si>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</si>
  <si>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</si>
  <si>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</si>
  <si>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</si>
  <si>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</si>
  <si>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</si>
  <si>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</si>
  <si>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</si>
  <si>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</si>
  <si>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</si>
  <si>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</si>
  <si>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</si>
  <si>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</si>
  <si>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</si>
  <si>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</si>
  <si>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</si>
  <si>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</si>
  <si>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</si>
  <si>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</si>
  <si>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</si>
  <si>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</si>
  <si>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</si>
  <si>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</si>
  <si>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</si>
  <si>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</si>
  <si>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</si>
  <si>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</si>
  <si>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</si>
  <si>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</si>
  <si>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</si>
  <si>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</si>
  <si>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</si>
  <si>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</si>
  <si>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</si>
  <si>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</si>
  <si>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</si>
  <si>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</si>
  <si>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</si>
  <si>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</si>
  <si>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</si>
  <si>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</si>
  <si>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</si>
  <si>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</si>
  <si>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</si>
  <si>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</si>
  <si>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</si>
  <si>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</si>
  <si>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</si>
  <si>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</si>
  <si>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</si>
  <si>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</si>
  <si>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</si>
  <si>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</si>
  <si>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</si>
  <si>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</si>
  <si>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</si>
  <si>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</si>
  <si>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</si>
  <si>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</si>
  <si>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</si>
  <si>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</si>
  <si>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</si>
  <si>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</si>
  <si>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</si>
  <si>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</si>
  <si>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</si>
  <si>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</si>
  <si>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</si>
  <si>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</si>
  <si>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</si>
  <si>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</si>
  <si>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</si>
  <si>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</si>
  <si>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</si>
  <si>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</si>
  <si>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</si>
  <si>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</si>
  <si>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</si>
  <si>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</si>
  <si>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</si>
  <si>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</si>
  <si>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</si>
  <si>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</si>
  <si>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</si>
  <si>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</si>
  <si>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</si>
  <si>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</si>
  <si>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</si>
  <si>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</si>
  <si>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</si>
  <si>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</si>
  <si>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</si>
  <si>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</si>
  <si>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</si>
  <si>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</si>
  <si>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</si>
  <si>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</si>
  <si>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</si>
  <si>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</si>
  <si>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</si>
  <si>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</si>
  <si>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</si>
  <si>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</si>
  <si>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</si>
  <si>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</si>
  <si>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</si>
  <si>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</si>
  <si>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</si>
  <si>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</si>
  <si>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</si>
  <si>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</si>
  <si>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</si>
  <si>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</si>
  <si>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</si>
  <si>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</si>
  <si>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</si>
  <si>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</si>
  <si>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</si>
  <si>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</si>
  <si>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</si>
  <si>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</si>
  <si>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</si>
  <si>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</si>
  <si>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</si>
  <si>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</si>
  <si>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</si>
  <si>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</si>
  <si>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</si>
  <si>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</si>
  <si>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</si>
  <si>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</si>
  <si>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</si>
  <si>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</si>
  <si>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</si>
  <si>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</si>
  <si>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</si>
  <si>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</si>
  <si>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</si>
  <si>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</si>
  <si>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</si>
  <si>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</si>
  <si>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</si>
  <si>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</si>
  <si>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</si>
  <si>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</si>
  <si>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</si>
  <si>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</si>
  <si>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</si>
  <si>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</si>
  <si>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</si>
  <si>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</si>
  <si>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</si>
  <si>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</si>
  <si>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</si>
  <si>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</si>
  <si>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</si>
  <si>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</si>
  <si>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</si>
  <si>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</si>
  <si>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</si>
  <si>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</si>
  <si>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</si>
  <si>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</si>
  <si>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</si>
  <si>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</si>
  <si>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</si>
  <si>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</si>
  <si>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</si>
  <si>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</si>
  <si>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</si>
  <si>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</si>
  <si>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</si>
  <si>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</si>
  <si>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</si>
  <si>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</si>
  <si>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</si>
  <si>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</si>
  <si>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</si>
  <si>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</si>
  <si>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</si>
  <si>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</si>
  <si>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</si>
  <si>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</si>
  <si>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</si>
  <si>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</si>
  <si>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</si>
  <si>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</si>
  <si>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</si>
  <si>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</si>
  <si>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</si>
  <si>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</si>
  <si>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</si>
  <si>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</si>
  <si>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</si>
  <si>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</si>
  <si>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</si>
  <si>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</si>
  <si>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</si>
  <si>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</si>
  <si>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</si>
  <si>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</si>
  <si>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</si>
  <si>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</si>
  <si>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</si>
  <si>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</si>
  <si>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</si>
  <si>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</si>
  <si>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</si>
  <si>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</si>
  <si>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</si>
  <si>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</si>
  <si>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</si>
  <si>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</si>
  <si>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</si>
  <si>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</si>
  <si>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</si>
  <si>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</si>
  <si>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</si>
  <si>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</si>
  <si>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</si>
  <si>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</si>
  <si>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</si>
  <si>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</si>
  <si>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</si>
  <si>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</si>
  <si>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</si>
  <si>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</si>
  <si>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</si>
  <si>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</si>
  <si>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</si>
  <si>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</si>
  <si>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</si>
  <si>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</si>
  <si>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</si>
  <si>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</si>
  <si>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</si>
  <si>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</si>
  <si>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</si>
  <si>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</si>
  <si>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</si>
  <si>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</si>
  <si>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</si>
  <si>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</si>
  <si>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</si>
  <si>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</si>
  <si>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</si>
  <si>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</si>
  <si>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</si>
  <si>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</si>
  <si>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</si>
  <si>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</si>
  <si>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</si>
  <si>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</si>
  <si>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</si>
  <si>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</si>
  <si>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</si>
  <si>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</si>
  <si>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</si>
  <si>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</si>
  <si>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</si>
  <si>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</si>
  <si>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</si>
  <si>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</si>
  <si>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</si>
  <si>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</si>
  <si>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</si>
  <si>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</si>
  <si>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</si>
  <si>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</si>
  <si>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</si>
  <si>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</si>
  <si>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</si>
  <si>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</si>
  <si>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</si>
  <si>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</si>
  <si>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</si>
  <si>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</si>
  <si>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</si>
  <si>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</si>
  <si>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</si>
  <si>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</si>
  <si>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</si>
  <si>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</si>
  <si>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</si>
  <si>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</si>
  <si>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</si>
  <si>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</si>
  <si>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</si>
  <si>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</si>
  <si>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</si>
  <si>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</si>
  <si>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</si>
  <si>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</si>
  <si>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</si>
  <si>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</si>
  <si>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</si>
  <si>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</si>
  <si>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</si>
  <si>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</si>
  <si>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</si>
  <si>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</si>
  <si>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</si>
  <si>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</si>
  <si>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</si>
  <si>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</si>
  <si>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</si>
  <si>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</si>
  <si>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</si>
  <si>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</si>
  <si>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</si>
  <si>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</si>
  <si>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</si>
  <si>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</si>
  <si>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</si>
  <si>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</si>
  <si>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</si>
  <si>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</si>
  <si>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</si>
  <si>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</si>
  <si>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</si>
  <si>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</si>
  <si>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</si>
  <si>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</si>
  <si>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</si>
  <si>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</si>
  <si>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</si>
  <si>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</si>
  <si>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</si>
  <si>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</si>
  <si>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</si>
  <si>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</si>
  <si>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</si>
  <si>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</si>
  <si>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</si>
  <si>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</si>
  <si>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</si>
  <si>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</si>
  <si>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</si>
  <si>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</si>
  <si>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</si>
  <si>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</si>
  <si>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</si>
  <si>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</si>
  <si>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</si>
  <si>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</si>
  <si>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</si>
  <si>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</si>
  <si>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</si>
  <si>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</si>
  <si>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</si>
  <si>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</si>
  <si>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</si>
  <si>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</si>
  <si>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</si>
  <si>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</si>
  <si>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</si>
  <si>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</si>
  <si>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</si>
  <si>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</si>
  <si>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</si>
  <si>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</si>
  <si>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</si>
  <si>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</si>
  <si>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</si>
  <si>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</si>
  <si>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</si>
  <si>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</si>
  <si>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</si>
  <si>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</si>
  <si>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</si>
  <si>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</si>
  <si>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</si>
  <si>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</si>
  <si>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</si>
  <si>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</si>
  <si>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</si>
  <si>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</si>
  <si>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</si>
  <si>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</si>
  <si>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</si>
  <si>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</si>
  <si>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</si>
  <si>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</si>
  <si>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</si>
  <si>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</si>
  <si>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</si>
  <si>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</si>
  <si>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</si>
  <si>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</si>
  <si>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</si>
  <si>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</si>
  <si>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</si>
  <si>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</si>
  <si>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</si>
  <si>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</si>
  <si>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</si>
  <si>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</si>
  <si>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</si>
  <si>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</si>
  <si>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</si>
  <si>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</si>
  <si>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</si>
  <si>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</si>
  <si>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</si>
  <si>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</si>
  <si>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</si>
  <si>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</si>
  <si>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</si>
  <si>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</si>
  <si>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</si>
  <si>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</si>
  <si>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</si>
  <si>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</si>
  <si>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</si>
  <si>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</si>
  <si>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</si>
  <si>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</si>
  <si>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</si>
  <si>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</si>
  <si>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</si>
  <si>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</si>
  <si>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</si>
  <si>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</si>
  <si>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</si>
  <si>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</si>
  <si>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</si>
  <si>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</si>
  <si>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</si>
  <si>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</si>
  <si>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</si>
  <si>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</si>
  <si>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</si>
  <si>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</si>
  <si>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</si>
  <si>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</si>
  <si>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</si>
  <si>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</si>
  <si>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</si>
  <si>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</si>
  <si>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</si>
  <si>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</si>
  <si>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</si>
  <si>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</si>
  <si>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</si>
  <si>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</si>
  <si>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</si>
  <si>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</si>
  <si>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</si>
  <si>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</si>
  <si>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</si>
  <si>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</si>
  <si>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</si>
  <si>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</si>
  <si>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</si>
  <si>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</si>
  <si>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</si>
  <si>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</si>
  <si>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</si>
  <si>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</si>
  <si>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</si>
  <si>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</si>
  <si>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</si>
  <si>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</si>
  <si>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</si>
  <si>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</si>
  <si>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</si>
  <si>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</si>
  <si>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</si>
  <si>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</si>
  <si>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</si>
  <si>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</si>
  <si>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</si>
  <si>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</si>
  <si>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</si>
  <si>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</si>
  <si>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</si>
  <si>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</si>
  <si>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</si>
  <si>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</si>
  <si>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</si>
  <si>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</si>
  <si>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</si>
  <si>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</si>
  <si>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</si>
  <si>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</si>
  <si>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</si>
  <si>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</si>
  <si>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</si>
  <si>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</si>
  <si>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</si>
  <si>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</si>
  <si>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</si>
  <si>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</si>
  <si>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</si>
  <si>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</si>
  <si>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</si>
  <si>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</si>
  <si>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</si>
  <si>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</si>
  <si>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</si>
  <si>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</si>
  <si>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</si>
  <si>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</si>
  <si>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</si>
  <si>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</si>
  <si>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</si>
  <si>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</si>
  <si>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</si>
  <si>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</si>
  <si>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</si>
  <si>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</si>
  <si>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</si>
  <si>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</si>
  <si>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</si>
  <si>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</si>
  <si>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</si>
  <si>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</si>
  <si>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</si>
  <si>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</si>
  <si>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</si>
  <si>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</si>
  <si>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</si>
  <si>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</si>
  <si>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</si>
  <si>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</si>
  <si>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</si>
  <si>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</si>
  <si>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</si>
  <si>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</si>
  <si>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</si>
  <si>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</si>
  <si>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</si>
  <si>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</si>
  <si>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</si>
  <si>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</si>
  <si>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</si>
  <si>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</si>
  <si>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</si>
  <si>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</si>
  <si>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</si>
  <si>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</si>
  <si>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</si>
  <si>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</si>
  <si>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</si>
  <si>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</si>
  <si>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</si>
  <si>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</si>
  <si>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</si>
  <si>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</si>
  <si>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</si>
  <si>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</si>
  <si>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</si>
  <si>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</si>
  <si>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</si>
  <si>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</si>
  <si>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</si>
  <si>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</si>
  <si>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</si>
  <si>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</si>
  <si>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</si>
  <si>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</si>
  <si>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</si>
  <si>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</si>
  <si>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</si>
  <si>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</si>
  <si>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</si>
  <si>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</si>
  <si>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</si>
  <si>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</si>
  <si>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</si>
  <si>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</si>
  <si>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</si>
  <si>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</si>
  <si>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</si>
  <si>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</si>
  <si>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</si>
  <si>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</si>
  <si>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</si>
  <si>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</si>
  <si>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</si>
  <si>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</si>
  <si>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</si>
  <si>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</si>
  <si>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</si>
  <si>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</si>
  <si>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</si>
  <si>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</si>
  <si>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</si>
  <si>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</si>
  <si>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</si>
  <si>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</si>
  <si>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</si>
  <si>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</si>
  <si>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</si>
  <si>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</si>
  <si>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15009 CATLIN-TILTON ROAD</t>
  </si>
  <si>
    <t>DANVILLE</t>
  </si>
  <si>
    <t>Kristin Dunker</t>
  </si>
  <si>
    <t>dunkerk@vase.k12.il.us</t>
  </si>
  <si>
    <t>217-443-8273</t>
  </si>
  <si>
    <t>217-443-0217</t>
  </si>
  <si>
    <t>RUSSELL LEIGH &amp; ASSOCIATES LLC</t>
  </si>
  <si>
    <t>RUSS LEIGH</t>
  </si>
  <si>
    <t>228 E MAIN ST</t>
  </si>
  <si>
    <t>HOOPESTON</t>
  </si>
  <si>
    <t>IL</t>
  </si>
  <si>
    <t>217-283-9336</t>
  </si>
  <si>
    <t>217-283-9736</t>
  </si>
  <si>
    <t>065.018319</t>
  </si>
  <si>
    <t>admin@russleigh.com</t>
  </si>
  <si>
    <t>Russell Leigh &amp; Associates LLC</t>
  </si>
  <si>
    <t>No appicable contracts paid in current year.</t>
  </si>
  <si>
    <t>Page 11 - Acct 1999 - Other Local Revenue</t>
  </si>
  <si>
    <t>Col 10 - Educational</t>
  </si>
  <si>
    <t>Refunds &amp; Reimbursements - $85,848</t>
  </si>
  <si>
    <t>Page 12 - Acct 3999 - Other Restricted Revenue from State Soures</t>
  </si>
  <si>
    <t>RSSP Career Ed Grant - $22,461</t>
  </si>
  <si>
    <t>School Maintenance Grant - $50,000</t>
  </si>
  <si>
    <t>Page 14 - Acct 4999 - Other Restricted Revenue from Federal Sources</t>
  </si>
  <si>
    <t>Department of Human Services,  Rehabilitation Services - $142,851</t>
  </si>
  <si>
    <t>AUDITCHECK Tab - #15 Contracts Paid Error</t>
  </si>
  <si>
    <t>No applicable contracts were paid in the current year.</t>
  </si>
  <si>
    <t>U.S. Department of Agriculture</t>
  </si>
  <si>
    <t xml:space="preserve">     Passed Through the Illinois State Board of Education</t>
  </si>
  <si>
    <t xml:space="preserve">       School Lunch  </t>
  </si>
  <si>
    <t xml:space="preserve">       School Breakfast</t>
  </si>
  <si>
    <t xml:space="preserve">          Total U.S. Department of Agriculture</t>
  </si>
  <si>
    <t>U.S Department of Education</t>
  </si>
  <si>
    <t xml:space="preserve">     Passed through the Illinois State Board of Education</t>
  </si>
  <si>
    <t xml:space="preserve">       Special Ed-Pre School</t>
  </si>
  <si>
    <t>84.173a</t>
  </si>
  <si>
    <t xml:space="preserve">          Total U.S. Department of Education</t>
  </si>
  <si>
    <t>U.S. Department of Family &amp; Healthcare Service</t>
  </si>
  <si>
    <t xml:space="preserve">       Passed through Illinois Healthcare &amp; Family Service</t>
  </si>
  <si>
    <t xml:space="preserve">       Medicaid-Admin Outreach</t>
  </si>
  <si>
    <t xml:space="preserve">       Rehab Services</t>
  </si>
  <si>
    <t xml:space="preserve">          Total U.S Department of Family Services &amp; Healthcare Service</t>
  </si>
  <si>
    <t xml:space="preserve">           Total Federal Financial Service</t>
  </si>
  <si>
    <t>The accompanying Schedule of Expenditures of Federal Awards includes the federal grant activity of Vermilion Association of Special Education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</si>
  <si>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</si>
  <si>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Vermilion Association of Special Education provided federal awards to subrecipients as follows:</t>
  </si>
  <si>
    <t>none</t>
  </si>
  <si>
    <r>
      <t xml:space="preserve">The following amounts were expended in the form of non-cash assistance by Vermilion Association of Special Education and </t>
    </r>
    <r>
      <rPr>
        <b/>
        <sz val="9"/>
        <rFont val="Calibri"/>
        <family val="2"/>
        <scheme val="minor"/>
      </rPr>
      <t>should be</t>
    </r>
    <r>
      <rPr>
        <sz val="9"/>
        <rFont val="Calibri"/>
        <family val="2"/>
        <scheme val="minor"/>
      </rPr>
      <t xml:space="preserve"> included in the Schedule of Expenditures of Federal Awards:</t>
    </r>
  </si>
  <si>
    <t>no</t>
  </si>
  <si>
    <t>Qualified-Regulatory/Adverse-Gaap</t>
  </si>
  <si>
    <t>Unmodified</t>
  </si>
  <si>
    <t>84.027a</t>
  </si>
  <si>
    <t>IDEA-Flow Through</t>
  </si>
  <si>
    <t>(M)  IDEA-Flow Thru</t>
  </si>
  <si>
    <t xml:space="preserve">  Vermilion Assoc for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</si>
</sst>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2000</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2048</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2048</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54092801060</v>
      </c>
      <c r="B13" s="2103"/>
      <c r="C13" s="2103"/>
      <c r="D13" s="2103"/>
      <c r="E13" s="2103"/>
      <c r="F13" s="2103"/>
      <c r="G13" s="2103"/>
      <c r="H13" s="2104"/>
      <c r="I13" s="31"/>
      <c r="J13" s="30"/>
      <c r="K13" s="28"/>
      <c r="L13" s="30"/>
      <c r="M13" s="30"/>
      <c r="N13" s="30"/>
      <c r="O13" s="30"/>
      <c r="P13" s="30"/>
      <c r="Q13" s="30"/>
      <c r="R13" s="30"/>
      <c r="S13" s="30"/>
      <c r="T13" s="2108" t="s">
        <v>2056</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2049</v>
      </c>
      <c r="B15" s="2106"/>
      <c r="C15" s="2106"/>
      <c r="D15" s="2106"/>
      <c r="E15" s="2106"/>
      <c r="F15" s="2106"/>
      <c r="G15" s="2106"/>
      <c r="H15" s="2107"/>
      <c r="T15" s="2112" t="s">
        <v>2057</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2104</v>
      </c>
      <c r="B17" s="2076"/>
      <c r="C17" s="2076"/>
      <c r="D17" s="2076"/>
      <c r="E17" s="2076"/>
      <c r="F17" s="2076"/>
      <c r="G17" s="2076"/>
      <c r="H17" s="2101"/>
      <c r="T17" s="2119" t="s">
        <v>2058</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2050</v>
      </c>
      <c r="B19" s="2061"/>
      <c r="C19" s="2061"/>
      <c r="D19" s="2061"/>
      <c r="E19" s="2061"/>
      <c r="F19" s="2061"/>
      <c r="G19" s="2061"/>
      <c r="H19" s="2041"/>
      <c r="I19" s="30"/>
      <c r="J19" s="96"/>
      <c r="K19" s="40"/>
      <c r="L19" s="38"/>
      <c r="M19" s="109" t="s">
        <v>312</v>
      </c>
      <c r="P19" s="27"/>
      <c r="Q19" s="27"/>
      <c r="R19" s="27"/>
      <c r="S19" s="31"/>
      <c r="T19" s="2105" t="s">
        <v>2059</v>
      </c>
      <c r="U19" s="2040"/>
      <c r="V19" s="2040"/>
      <c r="W19" s="2041"/>
      <c r="X19" s="2117" t="s">
        <v>2060</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2051</v>
      </c>
      <c r="B21" s="2040"/>
      <c r="C21" s="2040"/>
      <c r="D21" s="2040"/>
      <c r="E21" s="2040"/>
      <c r="F21" s="2040"/>
      <c r="G21" s="2040"/>
      <c r="H21" s="2041"/>
      <c r="I21" s="2095" t="s">
        <v>673</v>
      </c>
      <c r="J21" s="2090"/>
      <c r="K21" s="2090"/>
      <c r="L21" s="2090"/>
      <c r="M21" s="2090"/>
      <c r="N21" s="2090"/>
      <c r="O21" s="2090"/>
      <c r="P21" s="2090"/>
      <c r="Q21" s="2090"/>
      <c r="R21" s="2090"/>
      <c r="S21" s="2096"/>
      <c r="T21" s="2131" t="s">
        <v>2061</v>
      </c>
      <c r="U21" s="2132"/>
      <c r="V21" s="2132"/>
      <c r="W21" s="2132"/>
      <c r="X21" s="2137" t="s">
        <v>2062</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2063</v>
      </c>
      <c r="U23" s="2130"/>
      <c r="V23" s="2130"/>
      <c r="W23" s="2130"/>
      <c r="X23" s="2134">
        <v>44469</v>
      </c>
      <c r="Y23" s="2135"/>
      <c r="Z23" s="2135"/>
      <c r="AA23" s="2136"/>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61834</v>
      </c>
      <c r="B25" s="2040"/>
      <c r="C25" s="2040"/>
      <c r="D25" s="2040"/>
      <c r="E25" s="2040"/>
      <c r="F25" s="2040"/>
      <c r="G25" s="2040"/>
      <c r="H25" s="2041"/>
      <c r="I25" s="110"/>
      <c r="J25" s="2064"/>
      <c r="K25" s="2064"/>
      <c r="L25" s="2064"/>
      <c r="M25" s="2064"/>
      <c r="N25" s="2064"/>
      <c r="O25" s="2064"/>
      <c r="P25" s="2064"/>
      <c r="Q25" s="2064"/>
      <c r="R25" s="2064"/>
      <c r="S25" s="2065"/>
      <c r="T25" s="2126" t="s">
        <v>2064</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2052</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2053</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2054</v>
      </c>
      <c r="B42" s="2059"/>
      <c r="C42" s="2060"/>
      <c r="D42" s="2058" t="s">
        <v>2055</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1776</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2003</v>
      </c>
      <c r="B24" s="2307"/>
      <c r="C24" s="2301"/>
      <c r="D24" s="2302"/>
      <c r="E24" s="2302"/>
      <c r="F24" s="2303"/>
    </row>
    <row r="25" spans="1:11" ht="13.5" thickBot="1" x14ac:dyDescent="0.25">
      <c r="A25" s="2308" t="s">
        <v>2004</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1786</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5" t="s">
        <v>1787</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0</v>
      </c>
      <c r="I12" s="1755">
        <f>SUM(I5:I11)</f>
        <v>0</v>
      </c>
      <c r="J12" s="1755">
        <f>SUM(J5:J11)</f>
        <v>0</v>
      </c>
      <c r="K12" s="1755">
        <f>SUM(K5:K11)</f>
        <v>0</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c r="I14" s="1749"/>
      <c r="J14" s="1751"/>
      <c r="K14" s="1745"/>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1783</v>
      </c>
      <c r="B19" s="2334"/>
      <c r="C19" s="2334"/>
      <c r="D19" s="2334"/>
      <c r="E19" s="2335"/>
      <c r="F19" s="635" t="s">
        <v>927</v>
      </c>
      <c r="G19" s="1753"/>
      <c r="H19" s="1753"/>
      <c r="I19" s="1753"/>
      <c r="J19" s="1745"/>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1789</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 sqref="A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214123</v>
      </c>
      <c r="D10" s="1772"/>
      <c r="E10" s="1772"/>
      <c r="F10" s="1773">
        <f>(C10+D10)-E10</f>
        <v>214123</v>
      </c>
      <c r="G10" s="681">
        <v>20</v>
      </c>
      <c r="H10" s="683">
        <v>127947</v>
      </c>
      <c r="I10" s="683">
        <v>10706</v>
      </c>
      <c r="J10" s="683"/>
      <c r="K10" s="1442">
        <f>(H10+I10)-J10</f>
        <v>138653</v>
      </c>
      <c r="L10" s="1442">
        <f>F10-K10</f>
        <v>75470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113609</v>
      </c>
      <c r="D12" s="1771"/>
      <c r="E12" s="1771"/>
      <c r="F12" s="1765">
        <f>(C12+D12)-E12</f>
        <v>113609</v>
      </c>
      <c r="G12" s="681">
        <v>10</v>
      </c>
      <c r="H12" s="619">
        <v>94075</v>
      </c>
      <c r="I12" s="619">
        <v>7086</v>
      </c>
      <c r="J12" s="619"/>
      <c r="K12" s="1442">
        <f>(H12+I12)-J12</f>
        <v>101161</v>
      </c>
      <c r="L12" s="1442">
        <f>F12-K12</f>
        <v>12448</v>
      </c>
    </row>
    <row r="13" spans="1:14" ht="14.25" thickTop="1" thickBot="1" x14ac:dyDescent="0.25">
      <c r="A13" s="684" t="s">
        <v>1112</v>
      </c>
      <c r="B13" s="679">
        <v>252</v>
      </c>
      <c r="C13" s="1771">
        <v>229213</v>
      </c>
      <c r="D13" s="1771"/>
      <c r="E13" s="1771"/>
      <c r="F13" s="1765">
        <f>(C13+D13)-E13</f>
        <v>229213</v>
      </c>
      <c r="G13" s="681">
        <v>5</v>
      </c>
      <c r="H13" s="619">
        <v>229213</v>
      </c>
      <c r="I13" s="619"/>
      <c r="J13" s="619"/>
      <c r="K13" s="1442">
        <f>(H13+I13)-J13</f>
        <v>229213</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556945</v>
      </c>
      <c r="D16" s="1765">
        <f>SUM(D3,D5:D6,D8:D10,D12:D15)</f>
        <v>0</v>
      </c>
      <c r="E16" s="1765">
        <f>SUM(E3,E5:E6,E8:E10,E12:E15)</f>
        <v>0</v>
      </c>
      <c r="F16" s="1765">
        <f>SUM(F3,F5:F6,F8:F10,F12:F15)</f>
        <v>556945</v>
      </c>
      <c r="G16" s="681"/>
      <c r="H16" s="1435">
        <f>SUM(H3,H6,H8:H10,H12:H14,)</f>
        <v>451235</v>
      </c>
      <c r="I16" s="1435">
        <f>SUM(I3,I6,I8:I10,I12:I14,)</f>
        <v>17792</v>
      </c>
      <c r="J16" s="1435">
        <f>SUM(J3,J6,J8:J10,J12:J14,)</f>
        <v>0</v>
      </c>
      <c r="K16" s="1435">
        <f>(H16+I16)-J16</f>
        <v>469027</v>
      </c>
      <c r="L16" s="1435">
        <f>F16-K16</f>
        <v>87918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10226</v>
      </c>
      <c r="G17" s="676">
        <v>10</v>
      </c>
      <c r="H17" s="621"/>
      <c r="I17" s="1442">
        <f>F17/G17</f>
        <v>1022.6</v>
      </c>
      <c r="J17" s="621"/>
      <c r="K17" s="638"/>
      <c r="L17" s="638"/>
    </row>
    <row r="18" spans="1:12" ht="14.25" thickTop="1" thickBot="1" x14ac:dyDescent="0.25">
      <c r="A18" s="1440" t="s">
        <v>680</v>
      </c>
      <c r="B18" s="1441"/>
      <c r="C18" s="623"/>
      <c r="D18" s="623"/>
      <c r="E18" s="623"/>
      <c r="F18" s="686"/>
      <c r="G18" s="687"/>
      <c r="H18" s="624"/>
      <c r="I18" s="1435">
        <f>SUM(I16,I17)</f>
        <v>18814.599999999999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5527284</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5527284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4982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10226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15208</v>
      </c>
      <c r="G77" s="701"/>
    </row>
    <row r="78" spans="1:9" s="728" customFormat="1" ht="12" customHeight="1" thickTop="1" thickBot="1" x14ac:dyDescent="0.25">
      <c r="A78" s="1450"/>
      <c r="B78" s="1448"/>
      <c r="C78" s="1445"/>
      <c r="D78" s="1449" t="s">
        <v>2009</v>
      </c>
      <c r="E78" s="1447"/>
      <c r="F78" s="1788">
        <f>(F14-F77)</f>
        <v>5512076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233</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4550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249968</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489</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72461</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31093</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563553</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38029</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144357</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142851</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1247584</v>
      </c>
    </row>
    <row r="176" spans="1:7" ht="12" customHeight="1" x14ac:dyDescent="0.2">
      <c r="A176" s="1443"/>
      <c r="B176" s="1453"/>
      <c r="C176" s="1454"/>
      <c r="D176" s="1455" t="s">
        <v>2011</v>
      </c>
      <c r="E176" s="1456"/>
      <c r="F176" s="1793">
        <f>'PCTC-OEPP 27-28'!F78-F175</f>
        <v>4264492</v>
      </c>
    </row>
    <row r="177" spans="1:9" ht="12" customHeight="1" x14ac:dyDescent="0.2">
      <c r="A177" s="1443"/>
      <c r="B177" s="1453"/>
      <c r="C177" s="1454"/>
      <c r="D177" s="1455" t="s">
        <v>1791</v>
      </c>
      <c r="E177" s="1456"/>
      <c r="F177" s="1793">
        <f>'Cap Outlay Deprec 26'!I18</f>
        <v>18814.599999999999</v>
      </c>
    </row>
    <row r="178" spans="1:9" ht="12" customHeight="1" x14ac:dyDescent="0.2">
      <c r="A178" s="1443"/>
      <c r="B178" s="1453"/>
      <c r="C178" s="1454"/>
      <c r="D178" s="1455" t="s">
        <v>2012</v>
      </c>
      <c r="E178" s="1456"/>
      <c r="F178" s="1793">
        <f>F176+F177</f>
        <v>4283306.5999999996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1647340</v>
      </c>
      <c r="F19" s="1802"/>
      <c r="G19" s="1804">
        <f>'Expenditures 15-22'!K33-SUM('Expenditures 15-22'!G33,'Expenditures 15-22'!I33)+'Expenditures 15-22'!D229</f>
        <v>1647340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2276180</v>
      </c>
      <c r="F21" s="1805"/>
      <c r="G21" s="1808">
        <f>'Expenditures 15-22'!K42-SUM('Expenditures 15-22'!G42,'Expenditures 15-22'!I42)+'Expenditures 15-22'!K120-SUM('Expenditures 15-22'!G120,'Expenditures 15-22'!I120)+'Expenditures 15-22'!K180-SUM('Expenditures 15-22'!G180,'Expenditures 15-22'!I180)+'Expenditures 15-22'!D238</f>
        <v>2276180</v>
      </c>
      <c r="H21" s="817"/>
      <c r="I21" s="157"/>
    </row>
    <row r="22" spans="1:9" s="542" customFormat="1" ht="12" customHeight="1" x14ac:dyDescent="0.2">
      <c r="A22" s="824" t="s">
        <v>560</v>
      </c>
      <c r="B22" s="825"/>
      <c r="C22" s="823">
        <v>2200</v>
      </c>
      <c r="D22" s="1805"/>
      <c r="E22" s="1807">
        <f>'Expenditures 15-22'!K47-SUM('Expenditures 15-22'!G47,'Expenditures 15-22'!I47)+'Expenditures 15-22'!D243</f>
        <v>80217</v>
      </c>
      <c r="F22" s="1805"/>
      <c r="G22" s="1808">
        <f>'Expenditures 15-22'!K47-SUM('Expenditures 15-22'!G47,'Expenditures 15-22'!I47)+'Expenditures 15-22'!D243</f>
        <v>80217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1014325</v>
      </c>
      <c r="F23" s="1805"/>
      <c r="G23" s="1807">
        <f>'Expenditures 15-22'!K53-SUM('Expenditures 15-22'!G53,'Expenditures 15-22'!I53)+'Expenditures 15-22'!D257+'Expenditures 15-22'!K330-SUM('Expenditures 15-22'!G330,'Expenditures 15-22'!I330)</f>
        <v>1014325</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64461</v>
      </c>
      <c r="E27" s="1807">
        <f>E8</f>
        <v>0</v>
      </c>
      <c r="F27" s="1807">
        <f>'Expenditures 15-22'!K60-SUM('Expenditures 15-22'!G60,'Expenditures 15-22'!I60)+'Expenditures 15-22'!D264-E8</f>
        <v>64461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403697</v>
      </c>
      <c r="F28" s="1809">
        <f>'Expenditures 15-22'!K61-SUM('Expenditures 15-22'!G61,'Expenditures 15-22'!I61)+'Expenditures 15-22'!K124-SUM('Expenditures 15-22'!G124,'Expenditures 15-22'!I124)+'Expenditures 15-22'!D266-E9</f>
        <v>403697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1491</v>
      </c>
      <c r="F29" s="1805"/>
      <c r="G29" s="1808">
        <f>'Expenditures 15-22'!K62-SUM('Expenditures 15-22'!G62,'Expenditures 15-22'!I62)+'Expenditures 15-22'!K125-SUM('Expenditures 15-22'!G125,'Expenditures 15-22'!I125)+'Expenditures 15-22'!K182-SUM('Expenditures 15-22'!G182,'Expenditures 15-22'!I182)+'Expenditures 15-22'!D267</f>
        <v>1491</v>
      </c>
      <c r="H29" s="815"/>
    </row>
    <row r="30" spans="1:9" ht="12" customHeight="1" x14ac:dyDescent="0.2">
      <c r="A30" s="824" t="s">
        <v>100</v>
      </c>
      <c r="B30" s="827"/>
      <c r="C30" s="823">
        <v>2560</v>
      </c>
      <c r="D30" s="1805"/>
      <c r="E30" s="1807">
        <f>'Expenditures 15-22'!K63-SUM('Expenditures 15-22'!G63,'Expenditures 15-22'!I63)+'Expenditures 15-22'!D268-E10</f>
        <v>27635</v>
      </c>
      <c r="F30" s="1805"/>
      <c r="G30" s="1807">
        <f>'Expenditures 15-22'!K63-SUM('Expenditures 15-22'!G63,'Expenditures 15-22'!I63)+'Expenditures 15-22'!D268-E10</f>
        <v>27635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761</v>
      </c>
      <c r="F35" s="1805"/>
      <c r="G35" s="1807">
        <f>'Expenditures 15-22'!K69-SUM('Expenditures 15-22'!G69,'Expenditures 15-22'!I69)+'Expenditures 15-22'!D274</f>
        <v>761</v>
      </c>
    </row>
    <row r="36" spans="1:7" ht="12" customHeight="1" x14ac:dyDescent="0.2">
      <c r="A36" s="824" t="s">
        <v>400</v>
      </c>
      <c r="B36" s="827"/>
      <c r="C36" s="823">
        <v>2640</v>
      </c>
      <c r="D36" s="1807">
        <f>'Expenditures 15-22'!K70-SUM('Expenditures 15-22'!G70,'Expenditures 15-22'!I70)+'Expenditures 15-22'!D275-E13</f>
        <v>951</v>
      </c>
      <c r="E36" s="1807">
        <f>E13</f>
        <v>0</v>
      </c>
      <c r="F36" s="1807">
        <f>'Expenditures 15-22'!K70-SUM('Expenditures 15-22'!G70,'Expenditures 15-22'!I70)+'Expenditures 15-22'!D275-E13</f>
        <v>951</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65412</v>
      </c>
      <c r="E41" s="1809">
        <f>SUM(E19:E40)</f>
        <v>5451646</v>
      </c>
      <c r="F41" s="1809">
        <f>SUM(F19:F39)</f>
        <v>469109</v>
      </c>
      <c r="G41" s="1809">
        <f>SUM(G19:G40)</f>
        <v>5047949</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65412</v>
      </c>
      <c r="F43" s="1458" t="s">
        <v>470</v>
      </c>
      <c r="G43" s="1810">
        <f>F41</f>
        <v>469109</v>
      </c>
    </row>
    <row r="44" spans="1:7" ht="12" customHeight="1" x14ac:dyDescent="0.2">
      <c r="A44" s="817"/>
      <c r="B44" s="157"/>
      <c r="C44" s="831"/>
      <c r="D44" s="1458" t="s">
        <v>471</v>
      </c>
      <c r="E44" s="1810">
        <f>E41</f>
        <v>5451646</v>
      </c>
      <c r="F44" s="1458" t="s">
        <v>471</v>
      </c>
      <c r="G44" s="1810">
        <f>G41</f>
        <v>5047949</v>
      </c>
    </row>
    <row r="45" spans="1:7" ht="12" customHeight="1" x14ac:dyDescent="0.2">
      <c r="A45" s="817"/>
      <c r="B45" s="157"/>
      <c r="C45" s="157"/>
      <c r="D45" s="1459" t="s">
        <v>999</v>
      </c>
      <c r="E45" s="1811">
        <f>(E43/E44)</f>
        <v>1.1998578044135661E-2</v>
      </c>
      <c r="F45" s="1459" t="s">
        <v>999</v>
      </c>
      <c r="G45" s="1811">
        <f>(G43/G44)</f>
        <v>9.2930613997883105E-2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Vermilion Assoc for Special Education</v>
      </c>
      <c r="D6" s="2418"/>
      <c r="E6" s="2418"/>
      <c r="F6" s="1482"/>
      <c r="G6" s="1507"/>
      <c r="L6" s="1507"/>
      <c r="M6" s="1855"/>
      <c r="N6" s="1855"/>
      <c r="O6" s="1855"/>
    </row>
    <row r="7" spans="1:15" ht="11.25" customHeight="1" thickBot="1" x14ac:dyDescent="0.3">
      <c r="A7" s="1480"/>
      <c r="B7" s="1481"/>
      <c r="C7" s="2419">
        <f>COVER!A13</f>
        <v>54092801060</v>
      </c>
      <c r="D7" s="2419"/>
      <c r="E7" s="2419"/>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Vermilion Assoc for Special Education</v>
      </c>
      <c r="K6" s="2440"/>
      <c r="L6" s="2454"/>
      <c r="M6" s="838"/>
      <c r="N6" s="1999"/>
    </row>
    <row r="7" spans="1:14" x14ac:dyDescent="0.2">
      <c r="A7" s="2455" t="s">
        <v>864</v>
      </c>
      <c r="B7" s="2456"/>
      <c r="C7" s="2456"/>
      <c r="D7" s="2456"/>
      <c r="E7" s="2457"/>
      <c r="F7" s="839"/>
      <c r="G7" s="838"/>
      <c r="H7" s="838"/>
      <c r="I7" s="1925" t="s">
        <v>369</v>
      </c>
      <c r="J7" s="2442">
        <f>COVER!A13</f>
        <v>54092801060</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1014325</v>
      </c>
      <c r="F12" s="1943"/>
      <c r="G12" s="1969">
        <f>G68</f>
        <v>0</v>
      </c>
      <c r="H12" s="1945">
        <f t="shared" ref="H12:H18" si="0">SUM(E12:G12)</f>
        <v>1014325</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1014325</v>
      </c>
      <c r="F19" s="1951">
        <f t="shared" si="2"/>
        <v>0</v>
      </c>
      <c r="G19" s="1951">
        <f t="shared" ref="G19" si="3">SUM(G12:G17)-G18</f>
        <v>0</v>
      </c>
      <c r="H19" s="1951">
        <f t="shared" si="2"/>
        <v>1014325</v>
      </c>
      <c r="I19" s="1951">
        <f t="shared" si="2"/>
        <v>0</v>
      </c>
      <c r="J19" s="1951">
        <f t="shared" si="2"/>
        <v>0</v>
      </c>
      <c r="K19" s="1951">
        <f t="shared" si="2"/>
        <v>0</v>
      </c>
      <c r="L19" s="1951">
        <f t="shared" si="2"/>
        <v>0</v>
      </c>
      <c r="M19" s="838"/>
      <c r="N19" s="1999"/>
    </row>
    <row r="20" spans="1:14" ht="13.5" thickTop="1" x14ac:dyDescent="0.2">
      <c r="A20" s="2004">
        <v>9</v>
      </c>
      <c r="B20" s="2464" t="s">
        <v>2018</v>
      </c>
      <c r="C20" s="2464"/>
      <c r="D20" s="246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2021</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2022</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2023</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2024</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7" t="s">
        <v>2026</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Vermilion Assoc for Special Education</v>
      </c>
      <c r="M52" s="2440"/>
      <c r="N52" s="2441"/>
    </row>
    <row r="53" spans="1:14" x14ac:dyDescent="0.2">
      <c r="A53" s="1983"/>
      <c r="B53" s="1984"/>
      <c r="C53" s="1984"/>
      <c r="D53" s="1984"/>
      <c r="E53" s="1984"/>
      <c r="F53" s="1984"/>
      <c r="G53" s="1984"/>
      <c r="H53" s="1984"/>
      <c r="I53" s="1984"/>
      <c r="J53" s="1984"/>
      <c r="K53" s="1925" t="s">
        <v>369</v>
      </c>
      <c r="L53" s="2442">
        <f>J7</f>
        <v>54092801060</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2027</v>
      </c>
      <c r="H55" s="2446"/>
      <c r="I55" s="2446"/>
      <c r="J55" s="2446"/>
      <c r="K55" s="2446"/>
      <c r="L55" s="2446"/>
      <c r="M55" s="2446"/>
      <c r="N55" s="2447"/>
    </row>
    <row r="56" spans="1:14" ht="63.75" x14ac:dyDescent="0.2">
      <c r="A56" s="2448" t="s">
        <v>2028</v>
      </c>
      <c r="B56" s="2449"/>
      <c r="C56" s="2450"/>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2038</v>
      </c>
      <c r="B58" s="2429"/>
      <c r="C58" s="242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2" t="s">
        <v>297</v>
      </c>
      <c r="B59" s="2423"/>
      <c r="C59" s="242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0</v>
      </c>
      <c r="F63" s="1973"/>
      <c r="G63" s="2032"/>
      <c r="H63" s="2033"/>
      <c r="I63" s="2033"/>
      <c r="J63" s="2033"/>
      <c r="K63" s="2033"/>
      <c r="L63" s="2033"/>
      <c r="M63" s="2033"/>
      <c r="N63" s="1976">
        <f t="shared" si="4"/>
        <v>0</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0</v>
      </c>
      <c r="F65" s="1973"/>
      <c r="G65" s="2032"/>
      <c r="H65" s="2033"/>
      <c r="I65" s="2033"/>
      <c r="J65" s="2033"/>
      <c r="K65" s="2033"/>
      <c r="L65" s="2033"/>
      <c r="M65" s="2033"/>
      <c r="N65" s="1976">
        <f t="shared" si="4"/>
        <v>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2039</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2067</v>
      </c>
    </row>
    <row r="6" spans="1:2" x14ac:dyDescent="0.2">
      <c r="A6" s="847"/>
      <c r="B6" s="2038" t="s">
        <v>2068</v>
      </c>
    </row>
    <row r="7" spans="1:2" x14ac:dyDescent="0.2">
      <c r="A7" s="847"/>
      <c r="B7" s="307" t="s">
        <v>2069</v>
      </c>
    </row>
    <row r="8" spans="1:2" x14ac:dyDescent="0.2">
      <c r="A8" s="847"/>
    </row>
    <row r="9" spans="1:2" x14ac:dyDescent="0.2">
      <c r="A9" s="848">
        <v>2</v>
      </c>
      <c r="B9" s="2037" t="s">
        <v>2070</v>
      </c>
    </row>
    <row r="10" spans="1:2" x14ac:dyDescent="0.2">
      <c r="A10" s="848"/>
      <c r="B10" s="2038" t="s">
        <v>2068</v>
      </c>
    </row>
    <row r="11" spans="1:2" x14ac:dyDescent="0.2">
      <c r="A11" s="848"/>
      <c r="B11" s="307" t="s">
        <v>2071</v>
      </c>
    </row>
    <row r="12" spans="1:2" x14ac:dyDescent="0.2">
      <c r="A12" s="848"/>
      <c r="B12" s="307" t="s">
        <v>2072</v>
      </c>
    </row>
    <row r="13" spans="1:2" x14ac:dyDescent="0.2">
      <c r="A13" s="848"/>
    </row>
    <row r="14" spans="1:2" x14ac:dyDescent="0.2">
      <c r="A14" s="848">
        <v>3</v>
      </c>
      <c r="B14" s="2037" t="s">
        <v>2073</v>
      </c>
    </row>
    <row r="15" spans="1:2" x14ac:dyDescent="0.2">
      <c r="A15" s="848"/>
      <c r="B15" s="2038" t="s">
        <v>2068</v>
      </c>
    </row>
    <row r="16" spans="1:2" x14ac:dyDescent="0.2">
      <c r="A16" s="848"/>
      <c r="B16" s="307" t="s">
        <v>2074</v>
      </c>
    </row>
    <row r="17" spans="1:2" x14ac:dyDescent="0.2">
      <c r="A17" s="848"/>
    </row>
    <row r="18" spans="1:2" x14ac:dyDescent="0.2">
      <c r="A18" s="848">
        <v>4</v>
      </c>
      <c r="B18" s="2037" t="s">
        <v>2075</v>
      </c>
    </row>
    <row r="19" spans="1:2" x14ac:dyDescent="0.2">
      <c r="A19" s="848"/>
      <c r="B19" s="307" t="s">
        <v>2076</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Vermilion Assoc for Special Education</v>
      </c>
    </row>
    <row r="65" spans="2:2" x14ac:dyDescent="0.2">
      <c r="B65" s="849">
        <f>COVER!A13</f>
        <v>54092801060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89E53-E0DA-460E-9C48-5D07F906516E}">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6007371</v>
      </c>
      <c r="C8" s="1813">
        <f>'Acct Summary 7-8'!D8</f>
        <v>0</v>
      </c>
      <c r="D8" s="1813">
        <f>'Acct Summary 7-8'!F8</f>
        <v>0</v>
      </c>
      <c r="E8" s="1813">
        <f>'Acct Summary 7-8'!I8</f>
        <v>0</v>
      </c>
      <c r="F8" s="1813">
        <f>SUM(B8:E8)</f>
        <v>6007371</v>
      </c>
    </row>
    <row r="9" spans="1:8" s="858" customFormat="1" ht="14.25" customHeight="1" thickBot="1" x14ac:dyDescent="0.25">
      <c r="A9" s="857" t="s">
        <v>1353</v>
      </c>
      <c r="B9" s="1814">
        <f>'Acct Summary 7-8'!C17</f>
        <v>5527284</v>
      </c>
      <c r="C9" s="1814">
        <f>'Acct Summary 7-8'!D17</f>
        <v>0</v>
      </c>
      <c r="D9" s="1814">
        <f>'Acct Summary 7-8'!F17</f>
        <v>0</v>
      </c>
      <c r="E9" s="1813"/>
      <c r="F9" s="1813">
        <f>SUM(B9:E9)</f>
        <v>5527284</v>
      </c>
    </row>
    <row r="10" spans="1:8" s="858" customFormat="1" ht="14.25" thickTop="1" thickBot="1" x14ac:dyDescent="0.25">
      <c r="A10" s="859" t="s">
        <v>1354</v>
      </c>
      <c r="B10" s="1815">
        <f>(B8-B9)</f>
        <v>480087</v>
      </c>
      <c r="C10" s="1815">
        <f>(C8-C9)</f>
        <v>0</v>
      </c>
      <c r="D10" s="1815">
        <f>(D8-D9)</f>
        <v>0</v>
      </c>
      <c r="E10" s="1814">
        <f>(E8-E9)</f>
        <v>0</v>
      </c>
      <c r="F10" s="1816">
        <f>SUM(F8-F9)</f>
        <v>480087</v>
      </c>
    </row>
    <row r="11" spans="1:8" s="858" customFormat="1" ht="14.25" thickTop="1" thickBot="1" x14ac:dyDescent="0.25">
      <c r="A11" s="860" t="s">
        <v>1900</v>
      </c>
      <c r="B11" s="1817">
        <f>'Acct Summary 7-8'!C81</f>
        <v>4203360</v>
      </c>
      <c r="C11" s="1817">
        <f>'Acct Summary 7-8'!D81</f>
        <v>0</v>
      </c>
      <c r="D11" s="1817">
        <f>'Acct Summary 7-8'!F81</f>
        <v>0</v>
      </c>
      <c r="E11" s="1817">
        <f>'Acct Summary 7-8'!I81</f>
        <v>0</v>
      </c>
      <c r="F11" s="1818">
        <f>SUM(B11:E11)</f>
        <v>4203360</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54092801060</v>
      </c>
      <c r="E2" s="1542">
        <v>2020</v>
      </c>
      <c r="F2" s="1542">
        <v>1</v>
      </c>
      <c r="G2" s="1899">
        <v>101000300</v>
      </c>
    </row>
    <row r="3" spans="1:7" ht="15" x14ac:dyDescent="0.25">
      <c r="A3" t="s">
        <v>950</v>
      </c>
      <c r="B3" s="135" t="str">
        <f>COVER!A15</f>
        <v>VERMILION</v>
      </c>
      <c r="E3" s="1830" t="s">
        <v>1968</v>
      </c>
      <c r="F3" s="1830" t="s">
        <v>1967</v>
      </c>
      <c r="G3" s="1899">
        <v>101000400</v>
      </c>
    </row>
    <row r="4" spans="1:7" ht="15" x14ac:dyDescent="0.25">
      <c r="A4" t="s">
        <v>1000</v>
      </c>
      <c r="B4" s="135" t="str">
        <f>COVER!A17</f>
        <v xml:space="preserve">  Vermilion Assoc for Special Education</v>
      </c>
      <c r="E4" s="1828">
        <v>44119</v>
      </c>
      <c r="F4" s="1829">
        <v>44151</v>
      </c>
      <c r="G4" s="1899">
        <v>101000600</v>
      </c>
    </row>
    <row r="5" spans="1:7" ht="15" x14ac:dyDescent="0.25">
      <c r="A5" t="s">
        <v>699</v>
      </c>
      <c r="B5" s="135" t="str">
        <f>COVER!A38</f>
        <v>Kristin Dunker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4221218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17858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17858</v>
      </c>
      <c r="C91" s="2" t="s">
        <v>569</v>
      </c>
      <c r="D91" s="2" t="str">
        <f t="shared" si="0"/>
        <v>Error?</v>
      </c>
      <c r="G91" s="1899">
        <v>102640400</v>
      </c>
    </row>
    <row r="92" spans="1:7" ht="15" x14ac:dyDescent="0.25">
      <c r="A92" s="5">
        <v>31</v>
      </c>
      <c r="B92" s="1832">
        <f>'Assets-Liab 5-6'!C39</f>
        <v>4203360</v>
      </c>
      <c r="D92" s="2" t="str">
        <f t="shared" si="0"/>
        <v>Error?</v>
      </c>
      <c r="G92" s="1899">
        <v>102640600</v>
      </c>
    </row>
    <row r="93" spans="1:7" ht="15" x14ac:dyDescent="0.25">
      <c r="A93" s="5">
        <v>32</v>
      </c>
      <c r="B93" s="1832">
        <f>'Assets-Liab 5-6'!C41</f>
        <v>4221218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214123</v>
      </c>
      <c r="D274" s="2" t="str">
        <f t="shared" si="3"/>
        <v>Error?</v>
      </c>
    </row>
    <row r="275" spans="1:4" x14ac:dyDescent="0.2">
      <c r="A275" s="5">
        <v>214</v>
      </c>
      <c r="B275" s="1832">
        <f>'Assets-Liab 5-6'!M18</f>
        <v>0</v>
      </c>
      <c r="D275" s="2" t="str">
        <f t="shared" si="3"/>
        <v>Error?</v>
      </c>
    </row>
    <row r="276" spans="1:4" x14ac:dyDescent="0.2">
      <c r="A276" s="5">
        <v>215</v>
      </c>
      <c r="B276" s="1832">
        <f>'Assets-Liab 5-6'!M19</f>
        <v>342822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556945</v>
      </c>
      <c r="C279" s="2" t="s">
        <v>569</v>
      </c>
      <c r="D279" s="2" t="str">
        <f t="shared" si="3"/>
        <v>Error?</v>
      </c>
    </row>
    <row r="280" spans="1:4" x14ac:dyDescent="0.2">
      <c r="A280" s="5">
        <v>219</v>
      </c>
      <c r="B280" s="1832">
        <f>'Assets-Liab 5-6'!M40</f>
        <v>556945</v>
      </c>
      <c r="D280" s="2" t="str">
        <f t="shared" si="3"/>
        <v>Error?</v>
      </c>
    </row>
    <row r="281" spans="1:4" x14ac:dyDescent="0.2">
      <c r="A281" s="5">
        <v>220</v>
      </c>
      <c r="B281" s="1832">
        <f>'Assets-Liab 5-6'!M41</f>
        <v>556945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106580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1158208</v>
      </c>
      <c r="C720" s="2" t="s">
        <v>569</v>
      </c>
      <c r="D720" s="2" t="str">
        <f t="shared" si="10"/>
        <v>Error?</v>
      </c>
    </row>
    <row r="721" spans="1:4" x14ac:dyDescent="0.2">
      <c r="A721" s="5">
        <v>660</v>
      </c>
      <c r="B721" s="1832">
        <f>'Expenditures 15-22'!C36</f>
        <v>665463</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268726</v>
      </c>
      <c r="D723" s="2" t="str">
        <f t="shared" si="10"/>
        <v>Error?</v>
      </c>
    </row>
    <row r="724" spans="1:4" x14ac:dyDescent="0.2">
      <c r="A724" s="5">
        <v>663</v>
      </c>
      <c r="B724" s="1832">
        <f>'Expenditures 15-22'!C39</f>
        <v>329492</v>
      </c>
      <c r="D724" s="2" t="str">
        <f t="shared" si="10"/>
        <v>Error?</v>
      </c>
    </row>
    <row r="725" spans="1:4" x14ac:dyDescent="0.2">
      <c r="A725" s="5">
        <v>664</v>
      </c>
      <c r="B725" s="1832">
        <f>'Expenditures 15-22'!C40</f>
        <v>360732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1624413</v>
      </c>
      <c r="C727" s="2" t="s">
        <v>569</v>
      </c>
      <c r="D727" s="2" t="str">
        <f t="shared" si="10"/>
        <v>Error?</v>
      </c>
    </row>
    <row r="728" spans="1:4" x14ac:dyDescent="0.2">
      <c r="A728" s="5">
        <v>667</v>
      </c>
      <c r="B728" s="1832">
        <f>'Expenditures 15-22'!C44</f>
        <v>1745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1745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392100</v>
      </c>
      <c r="D733" s="2" t="str">
        <f t="shared" si="10"/>
        <v>Error?</v>
      </c>
    </row>
    <row r="734" spans="1:4" x14ac:dyDescent="0.2">
      <c r="A734" s="5">
        <v>673</v>
      </c>
      <c r="B734" s="1832">
        <f>'Expenditures 15-22'!C53</f>
        <v>392100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50381</v>
      </c>
      <c r="D739" s="2" t="str">
        <f t="shared" si="10"/>
        <v>Error?</v>
      </c>
    </row>
    <row r="740" spans="1:4" x14ac:dyDescent="0.2">
      <c r="A740" s="5">
        <v>679</v>
      </c>
      <c r="B740" s="1832">
        <f>'Expenditures 15-22'!C61</f>
        <v>94198</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144579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2162837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3321045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32379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371637</v>
      </c>
      <c r="C778" s="2" t="s">
        <v>569</v>
      </c>
      <c r="D778" s="2" t="str">
        <f t="shared" si="11"/>
        <v>Error?</v>
      </c>
    </row>
    <row r="779" spans="1:4" x14ac:dyDescent="0.2">
      <c r="A779" s="5">
        <v>718</v>
      </c>
      <c r="B779" s="1832">
        <f>'Expenditures 15-22'!D36</f>
        <v>162495</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78937</v>
      </c>
      <c r="D781" s="2" t="str">
        <f t="shared" si="11"/>
        <v>Error?</v>
      </c>
    </row>
    <row r="782" spans="1:4" x14ac:dyDescent="0.2">
      <c r="A782" s="5">
        <v>721</v>
      </c>
      <c r="B782" s="1832">
        <f>'Expenditures 15-22'!D39</f>
        <v>51669</v>
      </c>
      <c r="D782" s="2" t="str">
        <f t="shared" si="11"/>
        <v>Error?</v>
      </c>
    </row>
    <row r="783" spans="1:4" x14ac:dyDescent="0.2">
      <c r="A783" s="5">
        <v>722</v>
      </c>
      <c r="B783" s="1832">
        <f>'Expenditures 15-22'!D40</f>
        <v>93074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386175</v>
      </c>
      <c r="C785" s="2" t="s">
        <v>569</v>
      </c>
      <c r="D785" s="2" t="str">
        <f t="shared" si="11"/>
        <v>Error?</v>
      </c>
    </row>
    <row r="786" spans="1:4" x14ac:dyDescent="0.2">
      <c r="A786" s="5">
        <v>725</v>
      </c>
      <c r="B786" s="1832">
        <f>'Expenditures 15-22'!D44</f>
        <v>349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349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115773</v>
      </c>
      <c r="D791" s="2" t="str">
        <f t="shared" si="11"/>
        <v>Error?</v>
      </c>
    </row>
    <row r="792" spans="1:4" x14ac:dyDescent="0.2">
      <c r="A792" s="5">
        <v>731</v>
      </c>
      <c r="B792" s="1832">
        <f>'Expenditures 15-22'!D53</f>
        <v>115773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11420</v>
      </c>
      <c r="D797" s="2" t="str">
        <f t="shared" si="11"/>
        <v>Error?</v>
      </c>
    </row>
    <row r="798" spans="1:4" x14ac:dyDescent="0.2">
      <c r="A798" s="5">
        <v>737</v>
      </c>
      <c r="B798" s="1832">
        <f>'Expenditures 15-22'!D61</f>
        <v>24189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35609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537906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909543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6281</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35287</v>
      </c>
      <c r="C836" s="2" t="s">
        <v>569</v>
      </c>
      <c r="D836" s="2" t="str">
        <f t="shared" si="12"/>
        <v>Error?</v>
      </c>
    </row>
    <row r="837" spans="1:4" x14ac:dyDescent="0.2">
      <c r="A837" s="5">
        <v>776</v>
      </c>
      <c r="B837" s="1832">
        <f>'Expenditures 15-22'!E36</f>
        <v>52517</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10679</v>
      </c>
      <c r="D839" s="2" t="str">
        <f t="shared" si="12"/>
        <v>Error?</v>
      </c>
    </row>
    <row r="840" spans="1:4" x14ac:dyDescent="0.2">
      <c r="A840" s="5">
        <v>779</v>
      </c>
      <c r="B840" s="1832">
        <f>'Expenditures 15-22'!E39</f>
        <v>46253</v>
      </c>
      <c r="D840" s="2" t="str">
        <f t="shared" si="12"/>
        <v>Error?</v>
      </c>
    </row>
    <row r="841" spans="1:4" x14ac:dyDescent="0.2">
      <c r="A841" s="5">
        <v>780</v>
      </c>
      <c r="B841" s="1832">
        <f>'Expenditures 15-22'!E40</f>
        <v>132794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242243</v>
      </c>
      <c r="C843" s="2" t="s">
        <v>569</v>
      </c>
      <c r="D843" s="2" t="str">
        <f t="shared" si="12"/>
        <v>Error?</v>
      </c>
    </row>
    <row r="844" spans="1:4" x14ac:dyDescent="0.2">
      <c r="A844" s="5">
        <v>783</v>
      </c>
      <c r="B844" s="1832">
        <f>'Expenditures 15-22'!E44</f>
        <v>67041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67041</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128846</v>
      </c>
      <c r="D849" s="2" t="str">
        <f t="shared" si="12"/>
        <v>Error?</v>
      </c>
    </row>
    <row r="850" spans="1:4" x14ac:dyDescent="0.2">
      <c r="A850" s="5">
        <v>789</v>
      </c>
      <c r="B850" s="1832">
        <f>'Expenditures 15-22'!E53</f>
        <v>128846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2025</v>
      </c>
      <c r="D855" s="2" t="str">
        <f t="shared" si="12"/>
        <v>Error?</v>
      </c>
    </row>
    <row r="856" spans="1:4" x14ac:dyDescent="0.2">
      <c r="A856" s="5">
        <v>795</v>
      </c>
      <c r="B856" s="1832">
        <f>'Expenditures 15-22'!E61</f>
        <v>209561</v>
      </c>
      <c r="D856" s="2" t="str">
        <f t="shared" si="12"/>
        <v>Error?</v>
      </c>
    </row>
    <row r="857" spans="1:4" x14ac:dyDescent="0.2">
      <c r="A857" s="5">
        <v>796</v>
      </c>
      <c r="B857" s="1832">
        <f>'Expenditures 15-22'!E62</f>
        <v>1491</v>
      </c>
      <c r="D857" s="2" t="str">
        <f t="shared" si="12"/>
        <v>Error?</v>
      </c>
    </row>
    <row r="858" spans="1:4" x14ac:dyDescent="0.2">
      <c r="A858" s="5">
        <v>797</v>
      </c>
      <c r="B858" s="1832">
        <f>'Expenditures 15-22'!E63</f>
        <v>26248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239325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761</v>
      </c>
      <c r="D864" s="2" t="str">
        <f t="shared" si="12"/>
        <v>Error?</v>
      </c>
    </row>
    <row r="865" spans="1:4" x14ac:dyDescent="0.2">
      <c r="A865" s="5">
        <v>804</v>
      </c>
      <c r="B865" s="1832">
        <f>'Expenditures 15-22'!E70</f>
        <v>951</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1712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679167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714454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12888</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82208</v>
      </c>
      <c r="C894" s="2" t="s">
        <v>569</v>
      </c>
      <c r="D894" s="2" t="str">
        <f t="shared" si="12"/>
        <v>Error?</v>
      </c>
    </row>
    <row r="895" spans="1:4" x14ac:dyDescent="0.2">
      <c r="A895" s="5">
        <v>834</v>
      </c>
      <c r="B895" s="1832">
        <f>'Expenditures 15-22'!F36</f>
        <v>9207</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2655</v>
      </c>
      <c r="D897" s="2" t="str">
        <f t="shared" si="13"/>
        <v>Error?</v>
      </c>
    </row>
    <row r="898" spans="1:4" x14ac:dyDescent="0.2">
      <c r="A898" s="5">
        <v>837</v>
      </c>
      <c r="B898" s="1832">
        <f>'Expenditures 15-22'!F39</f>
        <v>7830</v>
      </c>
      <c r="D898" s="2" t="str">
        <f t="shared" si="13"/>
        <v>Error?</v>
      </c>
    </row>
    <row r="899" spans="1:4" x14ac:dyDescent="0.2">
      <c r="A899" s="5">
        <v>838</v>
      </c>
      <c r="B899" s="1832">
        <f>'Expenditures 15-22'!F40</f>
        <v>3657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23349</v>
      </c>
      <c r="C901" s="2" t="s">
        <v>569</v>
      </c>
      <c r="D901" s="2" t="str">
        <f t="shared" si="13"/>
        <v>Error?</v>
      </c>
    </row>
    <row r="902" spans="1:4" x14ac:dyDescent="0.2">
      <c r="A902" s="5">
        <v>841</v>
      </c>
      <c r="B902" s="1832">
        <f>'Expenditures 15-22'!F44</f>
        <v>11082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11082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7334</v>
      </c>
      <c r="D907" s="2" t="str">
        <f t="shared" si="13"/>
        <v>Error?</v>
      </c>
    </row>
    <row r="908" spans="1:4" x14ac:dyDescent="0.2">
      <c r="A908" s="5">
        <v>847</v>
      </c>
      <c r="B908" s="1832">
        <f>'Expenditures 15-22'!F53</f>
        <v>7334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635</v>
      </c>
      <c r="D913" s="2" t="str">
        <f t="shared" si="13"/>
        <v>Error?</v>
      </c>
    </row>
    <row r="914" spans="1:4" x14ac:dyDescent="0.2">
      <c r="A914" s="5">
        <v>853</v>
      </c>
      <c r="B914" s="1832">
        <f>'Expenditures 15-22'!F61</f>
        <v>74367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76389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118154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200362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370272</v>
      </c>
      <c r="D1023" s="2" t="str">
        <f t="shared" ref="D1023:D1086" si="15">IF(ISBLANK(B1023),"OK",IF(A1023-B1023=0,"OK","Error?"))</f>
        <v>Error?</v>
      </c>
    </row>
    <row r="1024" spans="1:4" x14ac:dyDescent="0.2">
      <c r="A1024" s="5">
        <v>963</v>
      </c>
      <c r="B1024" s="1832">
        <f>'Expenditures 15-22'!H53</f>
        <v>370272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1382</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1382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371654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371654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158128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1647340</v>
      </c>
      <c r="C1108" s="2" t="s">
        <v>569</v>
      </c>
      <c r="D1108" s="2" t="str">
        <f t="shared" si="16"/>
        <v>Error?</v>
      </c>
    </row>
    <row r="1109" spans="1:4" x14ac:dyDescent="0.2">
      <c r="A1109" s="5">
        <v>1048</v>
      </c>
      <c r="B1109" s="1832">
        <f>'Expenditures 15-22'!K36</f>
        <v>889682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360997</v>
      </c>
      <c r="C1111" s="2" t="s">
        <v>569</v>
      </c>
      <c r="D1111" s="2" t="str">
        <f t="shared" si="16"/>
        <v>Error?</v>
      </c>
    </row>
    <row r="1112" spans="1:4" x14ac:dyDescent="0.2">
      <c r="A1112" s="5">
        <v>1051</v>
      </c>
      <c r="B1112" s="1832">
        <f>'Expenditures 15-22'!K39</f>
        <v>435244</v>
      </c>
      <c r="C1112" s="2" t="s">
        <v>569</v>
      </c>
      <c r="D1112" s="2" t="str">
        <f t="shared" si="16"/>
        <v>Error?</v>
      </c>
    </row>
    <row r="1113" spans="1:4" x14ac:dyDescent="0.2">
      <c r="A1113" s="5">
        <v>1052</v>
      </c>
      <c r="B1113" s="1832">
        <f>'Expenditures 15-22'!K40</f>
        <v>597461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2283384</v>
      </c>
      <c r="C1115" s="2" t="s">
        <v>569</v>
      </c>
      <c r="D1115" s="2" t="str">
        <f t="shared" si="16"/>
        <v>Error?</v>
      </c>
    </row>
    <row r="1116" spans="1:4" x14ac:dyDescent="0.2">
      <c r="A1116" s="5">
        <v>1055</v>
      </c>
      <c r="B1116" s="1832">
        <f>'Expenditures 15-22'!K44</f>
        <v>83239</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83239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1014325</v>
      </c>
      <c r="C1121" s="2" t="s">
        <v>569</v>
      </c>
      <c r="D1121" s="2" t="str">
        <f t="shared" si="16"/>
        <v>Error?</v>
      </c>
    </row>
    <row r="1122" spans="1:4" x14ac:dyDescent="0.2">
      <c r="A1122" s="5">
        <v>1061</v>
      </c>
      <c r="B1122" s="1832">
        <f>'Expenditures 15-22'!K53</f>
        <v>1014325</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64461</v>
      </c>
      <c r="C1127" s="2" t="s">
        <v>569</v>
      </c>
      <c r="D1127" s="2" t="str">
        <f t="shared" si="16"/>
        <v>Error?</v>
      </c>
    </row>
    <row r="1128" spans="1:4" x14ac:dyDescent="0.2">
      <c r="A1128" s="5">
        <v>1067</v>
      </c>
      <c r="B1128" s="1832">
        <f>'Expenditures 15-22'!K61</f>
        <v>403697</v>
      </c>
      <c r="C1128" s="2" t="s">
        <v>569</v>
      </c>
      <c r="D1128" s="2" t="str">
        <f t="shared" si="16"/>
        <v>Error?</v>
      </c>
    </row>
    <row r="1129" spans="1:4" x14ac:dyDescent="0.2">
      <c r="A1129" s="5">
        <v>1068</v>
      </c>
      <c r="B1129" s="1832">
        <f>'Expenditures 15-22'!K62</f>
        <v>1491</v>
      </c>
      <c r="C1129" s="2" t="s">
        <v>569</v>
      </c>
      <c r="D1129" s="2" t="str">
        <f t="shared" si="16"/>
        <v>Error?</v>
      </c>
    </row>
    <row r="1130" spans="1:4" x14ac:dyDescent="0.2">
      <c r="A1130" s="5">
        <v>1069</v>
      </c>
      <c r="B1130" s="1832">
        <f>'Expenditures 15-22'!K63</f>
        <v>27635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497284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761</v>
      </c>
      <c r="C1136" s="2" t="s">
        <v>569</v>
      </c>
      <c r="D1136" s="2" t="str">
        <f t="shared" si="16"/>
        <v>Error?</v>
      </c>
    </row>
    <row r="1137" spans="1:4" x14ac:dyDescent="0.2">
      <c r="A1137" s="5">
        <v>1076</v>
      </c>
      <c r="B1137" s="1832">
        <f>'Expenditures 15-22'!K70</f>
        <v>951</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1712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3879944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5527284</v>
      </c>
      <c r="C1152" s="2" t="s">
        <v>569</v>
      </c>
      <c r="D1152" s="2" t="str">
        <f t="shared" si="17"/>
        <v>Error?</v>
      </c>
    </row>
    <row r="1153" spans="1:4" x14ac:dyDescent="0.2">
      <c r="A1153" s="5">
        <v>1092</v>
      </c>
      <c r="B1153" s="1832">
        <f>'Expenditures 15-22'!K115</f>
        <v>480087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3723273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4203360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214123</v>
      </c>
      <c r="D2010" s="2" t="str">
        <f t="shared" si="30"/>
        <v>Error?</v>
      </c>
    </row>
    <row r="2011" spans="1:4" x14ac:dyDescent="0.2">
      <c r="A2011" s="5">
        <v>1950</v>
      </c>
      <c r="B2011" s="1832">
        <f>'Cap Outlay Deprec 26'!C12</f>
        <v>113609</v>
      </c>
      <c r="D2011" s="2" t="str">
        <f t="shared" si="30"/>
        <v>Error?</v>
      </c>
    </row>
    <row r="2012" spans="1:4" x14ac:dyDescent="0.2">
      <c r="A2012" s="5">
        <v>1951</v>
      </c>
      <c r="B2012" s="1832">
        <f>'Cap Outlay Deprec 26'!C13</f>
        <v>229213</v>
      </c>
      <c r="D2012" s="2" t="str">
        <f t="shared" si="30"/>
        <v>Error?</v>
      </c>
    </row>
    <row r="2013" spans="1:4" x14ac:dyDescent="0.2">
      <c r="A2013" s="5">
        <v>1952</v>
      </c>
      <c r="B2013" s="1832">
        <f>'Cap Outlay Deprec 26'!C16</f>
        <v>556945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214123</v>
      </c>
      <c r="C2028" s="2" t="s">
        <v>569</v>
      </c>
      <c r="D2028" s="2" t="str">
        <f t="shared" si="30"/>
        <v>Error?</v>
      </c>
    </row>
    <row r="2029" spans="1:4" x14ac:dyDescent="0.2">
      <c r="A2029" s="5">
        <v>1968</v>
      </c>
      <c r="B2029" s="1832">
        <f>'Cap Outlay Deprec 26'!F12</f>
        <v>113609</v>
      </c>
      <c r="C2029" s="2" t="s">
        <v>569</v>
      </c>
      <c r="D2029" s="2" t="str">
        <f t="shared" si="30"/>
        <v>Error?</v>
      </c>
    </row>
    <row r="2030" spans="1:4" x14ac:dyDescent="0.2">
      <c r="A2030" s="5">
        <v>1969</v>
      </c>
      <c r="B2030" s="1832">
        <f>'Cap Outlay Deprec 26'!F13</f>
        <v>229213</v>
      </c>
      <c r="C2030" s="2" t="s">
        <v>569</v>
      </c>
      <c r="D2030" s="2" t="str">
        <f t="shared" si="30"/>
        <v>Error?</v>
      </c>
    </row>
    <row r="2031" spans="1:4" x14ac:dyDescent="0.2">
      <c r="A2031" s="5">
        <v>1970</v>
      </c>
      <c r="B2031" s="1832">
        <f>'Cap Outlay Deprec 26'!F16</f>
        <v>556945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127947</v>
      </c>
      <c r="D2034" s="2" t="str">
        <f t="shared" si="30"/>
        <v>Error?</v>
      </c>
    </row>
    <row r="2035" spans="1:4" x14ac:dyDescent="0.2">
      <c r="A2035" s="5">
        <v>1974</v>
      </c>
      <c r="B2035" s="1832">
        <f>'Cap Outlay Deprec 26'!H12</f>
        <v>94075</v>
      </c>
      <c r="D2035" s="2" t="str">
        <f t="shared" si="30"/>
        <v>Error?</v>
      </c>
    </row>
    <row r="2036" spans="1:4" x14ac:dyDescent="0.2">
      <c r="A2036" s="5">
        <v>1975</v>
      </c>
      <c r="B2036" s="1832">
        <f>'Cap Outlay Deprec 26'!H13</f>
        <v>229213</v>
      </c>
      <c r="D2036" s="2" t="str">
        <f t="shared" si="30"/>
        <v>Error?</v>
      </c>
    </row>
    <row r="2037" spans="1:4" x14ac:dyDescent="0.2">
      <c r="A2037" s="5">
        <v>1976</v>
      </c>
      <c r="B2037" s="1832">
        <f>'Cap Outlay Deprec 26'!H16</f>
        <v>451235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10706</v>
      </c>
      <c r="D2040" s="2" t="str">
        <f t="shared" si="30"/>
        <v>Error?</v>
      </c>
    </row>
    <row r="2041" spans="1:4" x14ac:dyDescent="0.2">
      <c r="A2041" s="5">
        <v>1980</v>
      </c>
      <c r="B2041" s="1832">
        <f>'Cap Outlay Deprec 26'!I12</f>
        <v>7086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17792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138653</v>
      </c>
      <c r="C2052" s="2" t="s">
        <v>569</v>
      </c>
      <c r="D2052" s="2" t="str">
        <f t="shared" si="31"/>
        <v>Error?</v>
      </c>
    </row>
    <row r="2053" spans="1:4" x14ac:dyDescent="0.2">
      <c r="A2053" s="5">
        <v>1992</v>
      </c>
      <c r="B2053" s="1832">
        <f>'Cap Outlay Deprec 26'!K12</f>
        <v>101161</v>
      </c>
      <c r="C2053" s="2" t="s">
        <v>569</v>
      </c>
      <c r="D2053" s="2" t="str">
        <f t="shared" si="31"/>
        <v>Error?</v>
      </c>
    </row>
    <row r="2054" spans="1:4" x14ac:dyDescent="0.2">
      <c r="A2054" s="5">
        <v>1993</v>
      </c>
      <c r="B2054" s="1832">
        <f>'Cap Outlay Deprec 26'!K13</f>
        <v>229213</v>
      </c>
      <c r="C2054" s="2" t="s">
        <v>569</v>
      </c>
      <c r="D2054" s="2" t="str">
        <f t="shared" si="31"/>
        <v>Error?</v>
      </c>
    </row>
    <row r="2055" spans="1:4" x14ac:dyDescent="0.2">
      <c r="A2055" s="5">
        <v>1994</v>
      </c>
      <c r="B2055" s="1832">
        <f>'Cap Outlay Deprec 26'!K16</f>
        <v>469027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75470</v>
      </c>
      <c r="C2058" s="2" t="s">
        <v>569</v>
      </c>
      <c r="D2058" s="2" t="str">
        <f t="shared" si="31"/>
        <v>Error?</v>
      </c>
    </row>
    <row r="2059" spans="1:4" x14ac:dyDescent="0.2">
      <c r="A2059" s="5">
        <v>1998</v>
      </c>
      <c r="B2059" s="1832">
        <f>'Cap Outlay Deprec 26'!L12</f>
        <v>12448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87918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4633255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425164</v>
      </c>
      <c r="C2553" s="2" t="s">
        <v>569</v>
      </c>
      <c r="D2553" s="2" t="str">
        <f t="shared" si="38"/>
        <v>Error?</v>
      </c>
    </row>
    <row r="2554" spans="1:4" x14ac:dyDescent="0.2">
      <c r="A2554" s="5">
        <v>2493</v>
      </c>
      <c r="B2554" s="1832">
        <f>'Acct Summary 7-8'!C7</f>
        <v>948952</v>
      </c>
      <c r="C2554" s="2" t="s">
        <v>569</v>
      </c>
      <c r="D2554" s="2" t="str">
        <f t="shared" si="38"/>
        <v>Error?</v>
      </c>
    </row>
    <row r="2555" spans="1:4" x14ac:dyDescent="0.2">
      <c r="A2555" s="5">
        <v>2494</v>
      </c>
      <c r="B2555" s="1832">
        <f>'Acct Summary 7-8'!C8</f>
        <v>6007371</v>
      </c>
      <c r="C2555" s="2" t="s">
        <v>569</v>
      </c>
      <c r="D2555" s="2" t="str">
        <f t="shared" si="38"/>
        <v>Error?</v>
      </c>
    </row>
    <row r="2556" spans="1:4" x14ac:dyDescent="0.2">
      <c r="A2556" s="5">
        <v>2495</v>
      </c>
      <c r="B2556" s="1832">
        <f>'Acct Summary 7-8'!C12</f>
        <v>1647340</v>
      </c>
      <c r="C2556" s="2" t="s">
        <v>569</v>
      </c>
      <c r="D2556" s="2" t="str">
        <f t="shared" si="38"/>
        <v>Error?</v>
      </c>
    </row>
    <row r="2557" spans="1:4" x14ac:dyDescent="0.2">
      <c r="A2557" s="5">
        <v>2496</v>
      </c>
      <c r="B2557" s="1832">
        <f>'Acct Summary 7-8'!C13</f>
        <v>3879944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5527284</v>
      </c>
      <c r="C2561" s="2" t="s">
        <v>569</v>
      </c>
      <c r="D2561" s="2" t="str">
        <f t="shared" si="39"/>
        <v>Error?</v>
      </c>
    </row>
    <row r="2562" spans="1:4" x14ac:dyDescent="0.2">
      <c r="A2562" s="5">
        <v>2501</v>
      </c>
      <c r="B2562" s="1832">
        <f>'Acct Summary 7-8'!C20</f>
        <v>480087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480087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846804</v>
      </c>
      <c r="D3366" s="2" t="str">
        <f t="shared" si="51"/>
        <v>Error?</v>
      </c>
    </row>
    <row r="3367" spans="1:4" x14ac:dyDescent="0.2">
      <c r="A3367" s="5">
        <v>3306</v>
      </c>
      <c r="B3367" s="1832">
        <f>'Expenditures 15-22'!C19</f>
        <v>204824</v>
      </c>
      <c r="D3367" s="2" t="str">
        <f t="shared" si="51"/>
        <v>Error?</v>
      </c>
    </row>
    <row r="3368" spans="1:4" x14ac:dyDescent="0.2">
      <c r="A3368" s="5">
        <v>3307</v>
      </c>
      <c r="B3368" s="1832">
        <f>'Expenditures 15-22'!D8</f>
        <v>284181</v>
      </c>
      <c r="D3368" s="2" t="str">
        <f t="shared" si="51"/>
        <v>Error?</v>
      </c>
    </row>
    <row r="3369" spans="1:4" x14ac:dyDescent="0.2">
      <c r="A3369" s="5">
        <v>3308</v>
      </c>
      <c r="B3369" s="1832">
        <f>'Expenditures 15-22'!D19</f>
        <v>55077</v>
      </c>
      <c r="D3369" s="2" t="str">
        <f t="shared" si="51"/>
        <v>Error?</v>
      </c>
    </row>
    <row r="3370" spans="1:4" x14ac:dyDescent="0.2">
      <c r="A3370" s="5">
        <v>3309</v>
      </c>
      <c r="B3370" s="1832">
        <f>'Expenditures 15-22'!E8</f>
        <v>26663</v>
      </c>
      <c r="D3370" s="2" t="str">
        <f t="shared" si="51"/>
        <v>Error?</v>
      </c>
    </row>
    <row r="3371" spans="1:4" x14ac:dyDescent="0.2">
      <c r="A3371" s="5">
        <v>3310</v>
      </c>
      <c r="B3371" s="1832">
        <f>'Expenditures 15-22'!E19</f>
        <v>2343</v>
      </c>
      <c r="D3371" s="2" t="str">
        <f t="shared" si="51"/>
        <v>Error?</v>
      </c>
    </row>
    <row r="3372" spans="1:4" x14ac:dyDescent="0.2">
      <c r="A3372" s="5">
        <v>3311</v>
      </c>
      <c r="B3372" s="1832">
        <f>'Expenditures 15-22'!F8</f>
        <v>62778</v>
      </c>
      <c r="D3372" s="2" t="str">
        <f t="shared" si="51"/>
        <v>Error?</v>
      </c>
    </row>
    <row r="3373" spans="1:4" x14ac:dyDescent="0.2">
      <c r="A3373" s="5">
        <v>3312</v>
      </c>
      <c r="B3373" s="1832">
        <f>'Expenditures 15-22'!F19</f>
        <v>1560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1220426</v>
      </c>
      <c r="C3380" s="2" t="s">
        <v>569</v>
      </c>
      <c r="D3380" s="2" t="str">
        <f t="shared" si="51"/>
        <v>Error?</v>
      </c>
    </row>
    <row r="3381" spans="1:4" x14ac:dyDescent="0.2">
      <c r="A3381" s="5">
        <v>3320</v>
      </c>
      <c r="B3381" s="1832">
        <f>'Expenditures 15-22'!K19</f>
        <v>263804</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4221218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1816099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7823470</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1816099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7343383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4203360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38029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144357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72461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142851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4130380</v>
      </c>
      <c r="D5082" s="2" t="str">
        <f t="shared" si="78"/>
        <v>Error?</v>
      </c>
    </row>
    <row r="5083" spans="1:4" x14ac:dyDescent="0.2">
      <c r="A5083" s="5">
        <v>5022</v>
      </c>
      <c r="B5083" s="1832">
        <f>'Revenues 9-14'!C34</f>
        <v>100228</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4230608</v>
      </c>
      <c r="C5087" s="2" t="s">
        <v>569</v>
      </c>
      <c r="D5087" s="2" t="str">
        <f t="shared" si="78"/>
        <v>Error?</v>
      </c>
    </row>
    <row r="5088" spans="1:4" x14ac:dyDescent="0.2">
      <c r="A5088" s="5">
        <v>5027</v>
      </c>
      <c r="B5088" s="1832">
        <f>'Revenues 9-14'!C65</f>
        <v>62048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62048</v>
      </c>
      <c r="C5090" s="2" t="s">
        <v>569</v>
      </c>
      <c r="D5090" s="2" t="str">
        <f t="shared" si="78"/>
        <v>Error?</v>
      </c>
    </row>
    <row r="5091" spans="1:4" x14ac:dyDescent="0.2">
      <c r="A5091" s="5">
        <v>5030</v>
      </c>
      <c r="B5091" s="1832">
        <f>'Revenues 9-14'!C70</f>
        <v>79</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233</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4550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249968</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85848</v>
      </c>
      <c r="D5119" s="2" t="str">
        <f t="shared" ref="D5119:D5182" si="79">IF(ISBLANK(B5119),"OK",IF(A5119-B5119=0,"OK","Error?"))</f>
        <v>Error?</v>
      </c>
    </row>
    <row r="5120" spans="1:4" x14ac:dyDescent="0.2">
      <c r="A5120" s="5">
        <v>5059</v>
      </c>
      <c r="B5120" s="1832">
        <f>'Revenues 9-14'!C108</f>
        <v>340366</v>
      </c>
      <c r="C5120" s="2" t="s">
        <v>569</v>
      </c>
      <c r="D5120" s="2" t="str">
        <f t="shared" si="79"/>
        <v>Error?</v>
      </c>
    </row>
    <row r="5121" spans="1:4" x14ac:dyDescent="0.2">
      <c r="A5121" s="5">
        <v>5060</v>
      </c>
      <c r="B5121" s="1832">
        <f>'Revenues 9-14'!C109</f>
        <v>4633255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352214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352214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489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72950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425164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22572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8521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31093</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29069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563553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592622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948952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948952</v>
      </c>
      <c r="C5326" s="2" t="s">
        <v>569</v>
      </c>
      <c r="D5326" s="2" t="str">
        <f t="shared" si="82"/>
        <v>Error?</v>
      </c>
    </row>
    <row r="5327" spans="1:5" x14ac:dyDescent="0.2">
      <c r="A5327" s="5">
        <v>5266</v>
      </c>
      <c r="B5327" s="1832">
        <f>'Revenues 9-14'!C268</f>
        <v>6007371</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480087</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0.1142150565262076</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4982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7204</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7204</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3022</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3022</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10226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10226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4982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10226</v>
      </c>
      <c r="D7624" s="2" t="str">
        <f t="shared" si="124"/>
        <v>Error?</v>
      </c>
      <c r="E7624" s="2" t="s">
        <v>19</v>
      </c>
    </row>
    <row r="7625" spans="1:5" x14ac:dyDescent="0.2">
      <c r="A7625">
        <f t="shared" si="123"/>
        <v>7564</v>
      </c>
      <c r="B7625" s="1832">
        <f>'Cap Outlay Deprec 26'!I17</f>
        <v>1022.6</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18814.599999999999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5527284</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4982</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15208</v>
      </c>
      <c r="D7834" s="2" t="str">
        <f t="shared" si="129"/>
        <v>Error?</v>
      </c>
      <c r="E7834" s="4" t="s">
        <v>1995</v>
      </c>
    </row>
    <row r="7835" spans="1:5" x14ac:dyDescent="0.2">
      <c r="A7835">
        <v>7774</v>
      </c>
      <c r="B7835" s="1832">
        <f>'PCTC-OEPP 27-28'!F78</f>
        <v>5512076</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4550</v>
      </c>
      <c r="D7839" s="2" t="str">
        <f t="shared" si="129"/>
        <v>Error?</v>
      </c>
      <c r="E7839" s="4" t="s">
        <v>1995</v>
      </c>
    </row>
    <row r="7840" spans="1:5" x14ac:dyDescent="0.2">
      <c r="A7840">
        <v>7779</v>
      </c>
      <c r="B7840" s="1832">
        <f>'PCTC-OEPP 27-28'!F103</f>
        <v>249968</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0</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72461</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31093</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563553</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38029</v>
      </c>
      <c r="D7874" s="2" t="str">
        <f t="shared" si="129"/>
        <v>Error?</v>
      </c>
      <c r="E7874" s="4" t="s">
        <v>1995</v>
      </c>
    </row>
    <row r="7875" spans="1:5" x14ac:dyDescent="0.2">
      <c r="A7875">
        <v>7814</v>
      </c>
      <c r="B7875" s="1832">
        <f>'PCTC-OEPP 27-28'!F170</f>
        <v>144357</v>
      </c>
      <c r="D7875" s="2" t="str">
        <f t="shared" si="129"/>
        <v>Error?</v>
      </c>
      <c r="E7875" s="4" t="s">
        <v>1995</v>
      </c>
    </row>
    <row r="7876" spans="1:5" x14ac:dyDescent="0.2">
      <c r="A7876">
        <v>7815</v>
      </c>
      <c r="B7876" s="1832">
        <f>'PCTC-OEPP 27-28'!F171</f>
        <v>142851</v>
      </c>
      <c r="D7876" s="2" t="str">
        <f t="shared" si="129"/>
        <v>Error?</v>
      </c>
      <c r="E7876" s="4" t="s">
        <v>1995</v>
      </c>
    </row>
    <row r="7877" spans="1:5" x14ac:dyDescent="0.2">
      <c r="A7877">
        <v>7816</v>
      </c>
      <c r="B7877" s="1832">
        <f>'PCTC-OEPP 27-28'!F175</f>
        <v>1247584</v>
      </c>
      <c r="D7877" s="2" t="str">
        <f t="shared" si="129"/>
        <v>Error?</v>
      </c>
      <c r="E7877" s="4" t="s">
        <v>1995</v>
      </c>
    </row>
    <row r="7878" spans="1:5" x14ac:dyDescent="0.2">
      <c r="A7878">
        <v>7817</v>
      </c>
      <c r="B7878" s="1832">
        <f>'PCTC-OEPP 27-28'!F176</f>
        <v>4264492</v>
      </c>
      <c r="D7878" s="2" t="str">
        <f t="shared" si="129"/>
        <v>Error?</v>
      </c>
      <c r="E7878" s="4" t="s">
        <v>1995</v>
      </c>
    </row>
    <row r="7879" spans="1:5" x14ac:dyDescent="0.2">
      <c r="A7879">
        <v>7818</v>
      </c>
      <c r="B7879" s="1832">
        <f>'PCTC-OEPP 27-28'!F178</f>
        <v>4283306.5999999996</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Vermilion Assoc for Special Education</v>
      </c>
      <c r="B7" s="2519"/>
      <c r="C7" s="2519"/>
      <c r="D7" s="2557"/>
      <c r="E7" s="2558">
        <f>COVER!A13</f>
        <v>54092801060</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Kristin Dunker</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15009 CATLIN-TILTON ROAD</v>
      </c>
      <c r="B14" s="2544"/>
      <c r="C14" s="2544"/>
      <c r="D14" s="2544"/>
      <c r="E14" s="2544"/>
      <c r="F14" s="2545"/>
      <c r="G14" s="974" t="s">
        <v>1175</v>
      </c>
      <c r="H14" s="972"/>
      <c r="I14" s="972"/>
      <c r="J14" s="972"/>
      <c r="K14" s="972"/>
      <c r="L14" s="973"/>
    </row>
    <row r="15" spans="1:29" ht="13.5" customHeight="1" x14ac:dyDescent="0.2">
      <c r="A15" s="2531" t="str">
        <f>COVER!A21</f>
        <v>DANVILLE</v>
      </c>
      <c r="B15" s="2544"/>
      <c r="C15" s="2544"/>
      <c r="D15" s="2544"/>
      <c r="E15" s="2544"/>
      <c r="F15" s="2545"/>
      <c r="G15" s="2541" t="str">
        <f>COVER!T15</f>
        <v>RUSS LEIGH</v>
      </c>
      <c r="H15" s="2542"/>
      <c r="I15" s="2542"/>
      <c r="J15" s="2542"/>
      <c r="K15" s="2542"/>
      <c r="L15" s="2543"/>
    </row>
    <row r="16" spans="1:29" ht="12.2" customHeight="1" x14ac:dyDescent="0.2">
      <c r="A16" s="2521">
        <f>COVER!A25</f>
        <v>61834</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Vermilion Assoc for Special Education</v>
      </c>
      <c r="B1" s="2561"/>
      <c r="C1" s="2561"/>
      <c r="D1" s="2561"/>
    </row>
    <row r="2" spans="1:11" s="991" customFormat="1" ht="12.75" x14ac:dyDescent="0.2">
      <c r="A2" s="2562">
        <f>'Single Audit Cover'!E7</f>
        <v>54092801060</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Vermilion Assoc for Special Education</v>
      </c>
      <c r="B1" s="2565"/>
      <c r="C1" s="2565"/>
      <c r="D1" s="2565"/>
      <c r="E1" s="2565"/>
    </row>
    <row r="2" spans="1:5" x14ac:dyDescent="0.2">
      <c r="A2" s="2566">
        <f>'Single Audit Cover'!E7</f>
        <v>54092801060</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948952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-144357</v>
      </c>
    </row>
    <row r="19" spans="1:4" ht="13.5" thickBot="1" x14ac:dyDescent="0.25">
      <c r="A19" s="1041" t="s">
        <v>1224</v>
      </c>
      <c r="D19" s="1042">
        <f>SUM(D10:D17)</f>
        <v>804595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804595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804595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1CCD0-11E9-476B-9910-ADB5823780C9}">
  <dimension ref="B1:N152"/>
  <sheetViews>
    <sheetView showGridLines="0" topLeftCell="A10" zoomScaleNormal="10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Vermilion Assoc for Special Education</v>
      </c>
      <c r="C1" s="2569"/>
      <c r="D1" s="2569"/>
      <c r="E1" s="2569"/>
      <c r="F1" s="2569"/>
      <c r="G1" s="2569"/>
      <c r="H1" s="2569"/>
      <c r="I1" s="2569"/>
      <c r="J1" s="2569"/>
      <c r="K1" s="2569"/>
      <c r="L1" s="2569"/>
      <c r="M1" s="2569"/>
    </row>
    <row r="2" spans="2:14" ht="15" x14ac:dyDescent="0.2">
      <c r="B2" s="2570">
        <f>'Single Audit Cover'!E7</f>
        <v>54092801060</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2077</v>
      </c>
      <c r="C11" s="1821"/>
      <c r="D11" s="1822"/>
      <c r="E11" s="1823"/>
      <c r="F11" s="1823"/>
      <c r="G11" s="1823"/>
      <c r="H11" s="1823"/>
      <c r="I11" s="1823"/>
      <c r="J11" s="1823"/>
      <c r="K11" s="1823"/>
      <c r="L11" s="1823">
        <f>+G11+I11+K11</f>
        <v>0</v>
      </c>
      <c r="M11" s="1823"/>
    </row>
    <row r="12" spans="2:14" ht="20.100000000000001" customHeight="1" x14ac:dyDescent="0.2">
      <c r="B12" s="1113" t="s">
        <v>2078</v>
      </c>
      <c r="C12" s="1824"/>
      <c r="D12" s="1825"/>
      <c r="E12" s="1826"/>
      <c r="F12" s="1826"/>
      <c r="G12" s="1826"/>
      <c r="H12" s="1826"/>
      <c r="I12" s="1826"/>
      <c r="J12" s="1826"/>
      <c r="K12" s="1826"/>
      <c r="L12" s="1823">
        <f t="shared" ref="L12:L27" si="0">+G12+I12+K12</f>
        <v>0</v>
      </c>
      <c r="M12" s="1826"/>
    </row>
    <row r="13" spans="2:14" ht="20.100000000000001" customHeight="1" x14ac:dyDescent="0.2">
      <c r="B13" s="1113" t="s">
        <v>2079</v>
      </c>
      <c r="C13" s="1824">
        <v>10.555</v>
      </c>
      <c r="D13" s="1825">
        <v>4210</v>
      </c>
      <c r="E13" s="1826"/>
      <c r="F13" s="1826">
        <v>22572</v>
      </c>
      <c r="G13" s="1826"/>
      <c r="H13" s="1826"/>
      <c r="I13" s="1826">
        <v>22572</v>
      </c>
      <c r="J13" s="1826"/>
      <c r="K13" s="1826"/>
      <c r="L13" s="1823">
        <f t="shared" si="0"/>
        <v>22572</v>
      </c>
      <c r="M13" s="1826">
        <v>35200</v>
      </c>
    </row>
    <row r="14" spans="2:14" ht="20.100000000000001" customHeight="1" x14ac:dyDescent="0.2">
      <c r="B14" s="1113" t="s">
        <v>2080</v>
      </c>
      <c r="C14" s="1824">
        <v>10.553000000000001</v>
      </c>
      <c r="D14" s="1825">
        <v>42220</v>
      </c>
      <c r="E14" s="1826"/>
      <c r="F14" s="1826">
        <v>8521</v>
      </c>
      <c r="G14" s="1826"/>
      <c r="H14" s="1826"/>
      <c r="I14" s="1826">
        <v>8521</v>
      </c>
      <c r="J14" s="1826"/>
      <c r="K14" s="1826"/>
      <c r="L14" s="1823">
        <f t="shared" si="0"/>
        <v>8521</v>
      </c>
      <c r="M14" s="1826">
        <v>10000</v>
      </c>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2081</v>
      </c>
      <c r="C16" s="1824"/>
      <c r="D16" s="1825"/>
      <c r="E16" s="1826"/>
      <c r="F16" s="1826">
        <v>31093</v>
      </c>
      <c r="G16" s="1826"/>
      <c r="H16" s="1826"/>
      <c r="I16" s="1826">
        <v>31093</v>
      </c>
      <c r="J16" s="1826"/>
      <c r="K16" s="1826"/>
      <c r="L16" s="1823">
        <f t="shared" si="0"/>
        <v>31093</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2082</v>
      </c>
      <c r="C19" s="1824"/>
      <c r="D19" s="1825"/>
      <c r="E19" s="1826"/>
      <c r="F19" s="1826"/>
      <c r="G19" s="1826"/>
      <c r="H19" s="1826"/>
      <c r="I19" s="1826"/>
      <c r="J19" s="1826"/>
      <c r="K19" s="1826"/>
      <c r="L19" s="1823">
        <f t="shared" si="0"/>
        <v>0</v>
      </c>
      <c r="M19" s="1826"/>
    </row>
    <row r="20" spans="2:14" ht="20.100000000000001" customHeight="1" x14ac:dyDescent="0.2">
      <c r="B20" s="1113" t="s">
        <v>2083</v>
      </c>
      <c r="C20" s="1824"/>
      <c r="D20" s="1825"/>
      <c r="E20" s="1826"/>
      <c r="F20" s="1826"/>
      <c r="G20" s="1826"/>
      <c r="H20" s="1826"/>
      <c r="I20" s="1826"/>
      <c r="J20" s="1826"/>
      <c r="K20" s="1826"/>
      <c r="L20" s="1823">
        <f t="shared" si="0"/>
        <v>0</v>
      </c>
      <c r="M20" s="1826"/>
    </row>
    <row r="21" spans="2:14" ht="20.100000000000001" customHeight="1" x14ac:dyDescent="0.2">
      <c r="B21" s="1113" t="s">
        <v>2084</v>
      </c>
      <c r="C21" s="1824" t="s">
        <v>2085</v>
      </c>
      <c r="D21" s="1825">
        <v>4600</v>
      </c>
      <c r="E21" s="1826"/>
      <c r="F21" s="1826">
        <v>29069</v>
      </c>
      <c r="G21" s="1826"/>
      <c r="H21" s="1826"/>
      <c r="I21" s="1826">
        <v>29069</v>
      </c>
      <c r="J21" s="1826"/>
      <c r="K21" s="1826"/>
      <c r="L21" s="1823">
        <f t="shared" si="0"/>
        <v>29069</v>
      </c>
      <c r="M21" s="1826">
        <v>25000</v>
      </c>
    </row>
    <row r="22" spans="2:14" ht="20.100000000000001" customHeight="1" x14ac:dyDescent="0.2">
      <c r="B22" s="1113" t="s">
        <v>2103</v>
      </c>
      <c r="C22" s="1824">
        <v>84.027000000000001</v>
      </c>
      <c r="D22" s="1825">
        <v>4620</v>
      </c>
      <c r="E22" s="1826">
        <v>1728048</v>
      </c>
      <c r="F22" s="1826">
        <v>563553</v>
      </c>
      <c r="G22" s="1826">
        <v>1728048</v>
      </c>
      <c r="H22" s="1826"/>
      <c r="I22" s="1826">
        <v>563553</v>
      </c>
      <c r="J22" s="1826"/>
      <c r="K22" s="1826"/>
      <c r="L22" s="1823">
        <f t="shared" si="0"/>
        <v>2291601</v>
      </c>
      <c r="M22" s="1826">
        <v>600000</v>
      </c>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2086</v>
      </c>
      <c r="C24" s="1824"/>
      <c r="D24" s="1825"/>
      <c r="E24" s="1826">
        <v>1728048</v>
      </c>
      <c r="F24" s="1826">
        <v>592622</v>
      </c>
      <c r="G24" s="1826">
        <v>1728048</v>
      </c>
      <c r="H24" s="1826"/>
      <c r="I24" s="1826">
        <v>592662</v>
      </c>
      <c r="J24" s="1826"/>
      <c r="K24" s="1826"/>
      <c r="L24" s="1823">
        <f t="shared" si="0"/>
        <v>2320710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J22" sqref="J22:L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Vermilion Assoc for Special Education</v>
      </c>
      <c r="C1" s="2569"/>
      <c r="D1" s="2569"/>
      <c r="E1" s="2569"/>
      <c r="F1" s="2569"/>
      <c r="G1" s="2569"/>
      <c r="H1" s="2569"/>
      <c r="I1" s="2569"/>
      <c r="J1" s="2569"/>
      <c r="K1" s="2569"/>
      <c r="L1" s="2569"/>
      <c r="M1" s="2569"/>
    </row>
    <row r="2" spans="2:14" ht="15" x14ac:dyDescent="0.2">
      <c r="B2" s="2570">
        <f>'Single Audit Cover'!E7</f>
        <v>54092801060</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2087</v>
      </c>
      <c r="C11" s="1821"/>
      <c r="D11" s="1822"/>
      <c r="E11" s="1823"/>
      <c r="F11" s="1823"/>
      <c r="G11" s="1823"/>
      <c r="H11" s="1823"/>
      <c r="I11" s="1823"/>
      <c r="J11" s="1823"/>
      <c r="K11" s="1823"/>
      <c r="L11" s="1823">
        <f>+G11+I11+K11</f>
        <v>0</v>
      </c>
      <c r="M11" s="1823"/>
    </row>
    <row r="12" spans="2:14" ht="20.100000000000001" customHeight="1" x14ac:dyDescent="0.2">
      <c r="B12" s="1113" t="s">
        <v>2088</v>
      </c>
      <c r="C12" s="1824"/>
      <c r="D12" s="1825"/>
      <c r="E12" s="1826"/>
      <c r="F12" s="1826"/>
      <c r="G12" s="1826"/>
      <c r="H12" s="1826"/>
      <c r="I12" s="1826"/>
      <c r="J12" s="1826"/>
      <c r="K12" s="1826"/>
      <c r="L12" s="1823">
        <f t="shared" ref="L12:L27" si="0">+G12+I12+K12</f>
        <v>0</v>
      </c>
      <c r="M12" s="1826"/>
    </row>
    <row r="13" spans="2:14" ht="20.100000000000001" customHeight="1" x14ac:dyDescent="0.2">
      <c r="B13" s="1113" t="s">
        <v>2089</v>
      </c>
      <c r="C13" s="1824">
        <v>93.775999999999996</v>
      </c>
      <c r="D13" s="1825">
        <v>4991</v>
      </c>
      <c r="E13" s="1826"/>
      <c r="F13" s="1826">
        <v>38029</v>
      </c>
      <c r="G13" s="1826"/>
      <c r="H13" s="1826"/>
      <c r="I13" s="1826">
        <v>38029</v>
      </c>
      <c r="J13" s="1826"/>
      <c r="K13" s="1826"/>
      <c r="L13" s="1823">
        <f t="shared" si="0"/>
        <v>38029</v>
      </c>
      <c r="M13" s="1826">
        <v>40000</v>
      </c>
    </row>
    <row r="14" spans="2:14" ht="20.100000000000001" customHeight="1" x14ac:dyDescent="0.2">
      <c r="B14" s="1113" t="s">
        <v>2090</v>
      </c>
      <c r="C14" s="1824">
        <v>84.126000000000005</v>
      </c>
      <c r="D14" s="1825">
        <v>4998</v>
      </c>
      <c r="E14" s="1826"/>
      <c r="F14" s="1826">
        <v>142851</v>
      </c>
      <c r="G14" s="1826"/>
      <c r="H14" s="1826"/>
      <c r="I14" s="1826">
        <v>142851</v>
      </c>
      <c r="J14" s="1826"/>
      <c r="K14" s="1826"/>
      <c r="L14" s="1823">
        <f t="shared" si="0"/>
        <v>142851</v>
      </c>
      <c r="M14" s="1826">
        <v>150000</v>
      </c>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2091</v>
      </c>
      <c r="C16" s="1824"/>
      <c r="D16" s="1825"/>
      <c r="E16" s="1826"/>
      <c r="F16" s="1826">
        <v>180880</v>
      </c>
      <c r="G16" s="1826"/>
      <c r="H16" s="1826"/>
      <c r="I16" s="1826">
        <v>180880</v>
      </c>
      <c r="J16" s="1826"/>
      <c r="K16" s="1826"/>
      <c r="L16" s="1823">
        <f t="shared" si="0"/>
        <v>180880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2092</v>
      </c>
      <c r="C19" s="1824"/>
      <c r="D19" s="1825"/>
      <c r="E19" s="1826"/>
      <c r="F19" s="1826">
        <v>804595</v>
      </c>
      <c r="G19" s="1826"/>
      <c r="H19" s="1826"/>
      <c r="I19" s="1826">
        <v>804595</v>
      </c>
      <c r="J19" s="1826"/>
      <c r="K19" s="1826"/>
      <c r="L19" s="1823">
        <f t="shared" si="0"/>
        <v>804595</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Vermilion Assoc for Special Education</v>
      </c>
      <c r="B1" s="2574"/>
      <c r="C1" s="2574"/>
      <c r="D1" s="2574"/>
      <c r="E1" s="2574"/>
      <c r="F1" s="2574"/>
    </row>
    <row r="2" spans="1:7" ht="13.5" customHeight="1" x14ac:dyDescent="0.2">
      <c r="A2" s="2570">
        <f>'Single Audit Cover'!E7</f>
        <v>54092801060</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2093</v>
      </c>
      <c r="B7" s="2573"/>
      <c r="C7" s="2573"/>
      <c r="D7" s="2573"/>
      <c r="E7" s="2573"/>
      <c r="F7" s="257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2094</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2095</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2096</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2097</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2098</v>
      </c>
      <c r="D38" s="1526"/>
      <c r="E38" s="1062"/>
    </row>
    <row r="39" spans="1:6" ht="14.25" customHeight="1" x14ac:dyDescent="0.2">
      <c r="A39" s="306"/>
      <c r="B39" s="306" t="s">
        <v>1419</v>
      </c>
      <c r="C39" s="1068" t="s">
        <v>2098</v>
      </c>
      <c r="D39" s="1526"/>
      <c r="E39" s="1062"/>
    </row>
    <row r="40" spans="1:6" ht="14.25" customHeight="1" x14ac:dyDescent="0.2">
      <c r="A40" s="306"/>
      <c r="B40" s="306" t="s">
        <v>1420</v>
      </c>
      <c r="C40" s="1068" t="s">
        <v>2098</v>
      </c>
      <c r="D40" s="1526"/>
      <c r="E40" s="1062"/>
    </row>
    <row r="41" spans="1:6" ht="14.25" customHeight="1" x14ac:dyDescent="0.2">
      <c r="A41" s="306"/>
      <c r="B41" s="306" t="s">
        <v>1421</v>
      </c>
      <c r="C41" s="1068" t="s">
        <v>2098</v>
      </c>
      <c r="D41" s="1526"/>
      <c r="E41" s="1062"/>
    </row>
    <row r="42" spans="1:6" ht="14.25" customHeight="1" x14ac:dyDescent="0.2">
      <c r="A42" s="306" t="s">
        <v>1422</v>
      </c>
      <c r="B42" s="306"/>
      <c r="C42" s="1524" t="s">
        <v>2098</v>
      </c>
      <c r="D42" s="1526"/>
      <c r="E42" s="1062"/>
    </row>
    <row r="43" spans="1:6" ht="14.25" customHeight="1" x14ac:dyDescent="0.2">
      <c r="A43" s="306" t="s">
        <v>1423</v>
      </c>
      <c r="B43" s="306"/>
      <c r="C43" s="1069" t="s">
        <v>2098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Vermilion Assoc for Special Education</v>
      </c>
      <c r="C1" s="2590"/>
      <c r="D1" s="2590"/>
      <c r="E1" s="2590"/>
      <c r="F1" s="2590"/>
      <c r="G1" s="2590"/>
      <c r="H1" s="2590"/>
      <c r="I1" s="2590"/>
      <c r="J1" s="1178"/>
    </row>
    <row r="2" spans="2:10" s="295" customFormat="1" ht="12.75" customHeight="1" x14ac:dyDescent="0.2">
      <c r="B2" s="2591">
        <f>'Single Audit Cover'!E7</f>
        <v>54092801060</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2099</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2094</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2094</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2094</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2094</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2094</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2100</v>
      </c>
      <c r="E29" s="2596"/>
      <c r="F29" s="2596"/>
      <c r="G29" s="2596"/>
      <c r="H29" s="2596"/>
      <c r="I29" s="259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2094</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7" t="s">
        <v>1725</v>
      </c>
      <c r="D37" s="2598"/>
      <c r="E37" s="2598"/>
      <c r="F37" s="2599"/>
      <c r="G37" s="2597" t="s">
        <v>1575</v>
      </c>
      <c r="H37" s="2598"/>
      <c r="I37" s="2599"/>
    </row>
    <row r="38" spans="2:9" ht="16.5" customHeight="1" x14ac:dyDescent="0.2">
      <c r="B38" s="1200" t="s">
        <v>2101</v>
      </c>
      <c r="C38" s="2585" t="s">
        <v>2102</v>
      </c>
      <c r="D38" s="2586"/>
      <c r="E38" s="2586"/>
      <c r="F38" s="2587"/>
      <c r="G38" s="2600">
        <v>563553</v>
      </c>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563553</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804595</v>
      </c>
      <c r="E45" s="2608"/>
    </row>
    <row r="46" spans="2:9" ht="5.25" customHeight="1" x14ac:dyDescent="0.2">
      <c r="B46" s="1201"/>
      <c r="D46" s="1202"/>
      <c r="E46" s="1203"/>
    </row>
    <row r="47" spans="2:9" ht="12.75" customHeight="1" x14ac:dyDescent="0.2">
      <c r="B47" s="1076" t="s">
        <v>1577</v>
      </c>
      <c r="C47" s="1076"/>
      <c r="D47" s="1204">
        <f>+G43/D45</f>
        <v>0.70041822283260524</v>
      </c>
      <c r="E47" s="1205"/>
      <c r="F47" s="1206"/>
      <c r="I47" s="1207"/>
    </row>
    <row r="48" spans="2:9" ht="9.9499999999999993" customHeight="1" x14ac:dyDescent="0.2"/>
    <row r="49" spans="1:9" x14ac:dyDescent="0.2">
      <c r="B49" s="1138" t="s">
        <v>1262</v>
      </c>
      <c r="C49" s="1058"/>
      <c r="D49" s="1058"/>
      <c r="E49" s="2609">
        <v>750000</v>
      </c>
      <c r="F49" s="2609"/>
      <c r="G49" s="2609"/>
      <c r="H49" s="300"/>
    </row>
    <row r="51" spans="1:9" ht="13.5" customHeight="1" x14ac:dyDescent="0.2">
      <c r="B51" s="1138" t="s">
        <v>1261</v>
      </c>
      <c r="C51" s="1058"/>
      <c r="E51" s="1194"/>
      <c r="F51" s="1076" t="s">
        <v>879</v>
      </c>
      <c r="G51" s="1194" t="s">
        <v>2094</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Vermilion Assoc for Special Education</v>
      </c>
      <c r="C1" s="2589"/>
      <c r="D1" s="2589"/>
      <c r="E1" s="2589"/>
      <c r="F1" s="2589"/>
      <c r="G1" s="2589"/>
      <c r="H1" s="2589"/>
      <c r="I1" s="2589"/>
      <c r="J1" s="2589"/>
      <c r="K1" s="2589"/>
      <c r="L1" s="1144"/>
      <c r="M1" s="1144"/>
    </row>
    <row r="2" spans="1:13" ht="12" customHeight="1" x14ac:dyDescent="0.2">
      <c r="B2" s="2591">
        <f>'Single Audit Cover'!E7</f>
        <v>54092801060</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2096</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Vermilion Assoc for Special Education</v>
      </c>
      <c r="C1" s="2616"/>
      <c r="D1" s="2616"/>
      <c r="E1" s="2616"/>
      <c r="F1" s="2616"/>
      <c r="G1" s="2616"/>
      <c r="H1" s="2616"/>
      <c r="I1" s="2616"/>
      <c r="J1" s="2616"/>
      <c r="K1" s="2616"/>
      <c r="L1" s="1221"/>
    </row>
    <row r="2" spans="1:12" ht="12.75" customHeight="1" x14ac:dyDescent="0.2">
      <c r="B2" s="2617">
        <f>'Single Audit Cover'!E7</f>
        <v>54092801060</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2096</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Vermilion Assoc for Special Education</v>
      </c>
      <c r="C1" s="2589"/>
      <c r="D1" s="2589"/>
      <c r="E1" s="1240"/>
    </row>
    <row r="2" spans="2:5" s="1058" customFormat="1" ht="12.75" customHeight="1" x14ac:dyDescent="0.2">
      <c r="B2" s="2591">
        <f>'Single Audit Cover'!E7</f>
        <v>54092801060</v>
      </c>
      <c r="C2" s="2591"/>
      <c r="D2" s="2591"/>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2096</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6007371</v>
      </c>
      <c r="E16" s="1547"/>
      <c r="F16" s="1546">
        <f>SUM('Acct Summary 7-8'!C17,'Acct Summary 7-8'!D17,'Acct Summary 7-8'!F17)</f>
        <v>5527284</v>
      </c>
      <c r="G16" s="1547"/>
      <c r="H16" s="1546">
        <f>SUM(D16-F16)</f>
        <v>480087</v>
      </c>
      <c r="I16" s="1548"/>
      <c r="J16" s="1546">
        <f>SUM('Acct Summary 7-8'!C81,'Acct Summary 7-8'!D81,'Acct Summary 7-8'!F81,'Acct Summary 7-8'!I81)</f>
        <v>4203360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Vermilion Assoc for Special Education</v>
      </c>
      <c r="E7" s="368"/>
      <c r="G7" s="247"/>
      <c r="H7" s="364"/>
      <c r="I7" s="364"/>
      <c r="J7" s="364"/>
      <c r="K7" s="364"/>
      <c r="L7" s="307"/>
      <c r="M7" s="307"/>
      <c r="N7" s="307"/>
      <c r="O7" s="307"/>
      <c r="P7" s="307"/>
    </row>
    <row r="8" spans="1:18" ht="12.75" x14ac:dyDescent="0.2">
      <c r="A8" s="307"/>
      <c r="B8" s="307"/>
      <c r="C8" s="366" t="s">
        <v>1115</v>
      </c>
      <c r="D8" s="369">
        <f>COVER!A13</f>
        <v>54092801060</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4203360</v>
      </c>
      <c r="I12" s="380"/>
      <c r="J12" s="380"/>
      <c r="K12" s="1559">
        <f>TRUNC((H12/H13*100000),5)/100000</f>
        <v>0.69970041800000005</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6007371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5527284</v>
      </c>
      <c r="I17" s="380"/>
      <c r="J17" s="389"/>
      <c r="K17" s="1559">
        <f>TRUNC((H17/H18*100000),5)/100000</f>
        <v>0.92008367719999995</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6007371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4221218</v>
      </c>
      <c r="I24" s="394"/>
      <c r="J24" s="394"/>
      <c r="K24" s="1555">
        <f>TRUNC(((H24/H25*100000)/100000),2)</f>
        <v>274.93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15353.56667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4221218</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4221218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214123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342822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556945</v>
      </c>
      <c r="N23" s="1594">
        <f>SUM(N21:N22)</f>
        <v>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17858</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17858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4203360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556945</v>
      </c>
      <c r="N40" s="1604"/>
    </row>
    <row r="41" spans="1:14" ht="13.5" customHeight="1" thickBot="1" x14ac:dyDescent="0.25">
      <c r="A41" s="1426" t="s">
        <v>650</v>
      </c>
      <c r="B41" s="1405"/>
      <c r="C41" s="1594">
        <f>(SUM(C34,C37,C38,C39))</f>
        <v>4221218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556945</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4633255</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425164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948952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6007371</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1816099</v>
      </c>
      <c r="D9" s="1613"/>
      <c r="E9" s="1586"/>
      <c r="F9" s="1586"/>
      <c r="G9" s="1614"/>
      <c r="H9" s="1586"/>
      <c r="I9" s="1609" t="s">
        <v>1159</v>
      </c>
      <c r="J9" s="1583"/>
      <c r="K9" s="1586"/>
      <c r="L9" s="325"/>
    </row>
    <row r="10" spans="1:13" s="452" customFormat="1" ht="13.5" thickBot="1" x14ac:dyDescent="0.25">
      <c r="A10" s="1426" t="s">
        <v>1163</v>
      </c>
      <c r="B10" s="1407"/>
      <c r="C10" s="1594">
        <f>SUM(C8:C9)</f>
        <v>7823470</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1647340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3879944</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5527284</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1816099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7343383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4" t="s">
        <v>1636</v>
      </c>
      <c r="B20" s="2235"/>
      <c r="C20" s="1622">
        <f>C8-C17</f>
        <v>480087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480087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3723273</v>
      </c>
      <c r="D79" s="1630"/>
      <c r="E79" s="1630"/>
      <c r="F79" s="1630"/>
      <c r="G79" s="1630"/>
      <c r="H79" s="1630"/>
      <c r="I79" s="1630"/>
      <c r="J79" s="1630"/>
      <c r="K79" s="1630"/>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4203360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480087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0.1142150565262076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4130380</v>
      </c>
      <c r="D33" s="1575"/>
      <c r="E33" s="1575"/>
      <c r="F33" s="1575"/>
      <c r="G33" s="1575"/>
      <c r="H33" s="1575"/>
      <c r="I33" s="1575"/>
      <c r="J33" s="1575"/>
      <c r="K33" s="1575"/>
    </row>
    <row r="34" spans="1:11" ht="12.75" customHeight="1" x14ac:dyDescent="0.2">
      <c r="A34" s="427" t="s">
        <v>492</v>
      </c>
      <c r="B34" s="429">
        <v>1343</v>
      </c>
      <c r="C34" s="1632">
        <v>100228</v>
      </c>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4230608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62048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62048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v>79</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154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233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4550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249968</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85848</v>
      </c>
      <c r="D107" s="1573"/>
      <c r="E107" s="1573"/>
      <c r="F107" s="1573"/>
      <c r="G107" s="1573"/>
      <c r="H107" s="1573"/>
      <c r="I107" s="1573"/>
      <c r="J107" s="1574"/>
      <c r="K107" s="1573"/>
    </row>
    <row r="108" spans="1:12" ht="12.75" customHeight="1" thickBot="1" x14ac:dyDescent="0.25">
      <c r="A108" s="1406" t="s">
        <v>484</v>
      </c>
      <c r="B108" s="1408"/>
      <c r="C108" s="1633">
        <f>SUM(C95:C107)</f>
        <v>340366</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4633255</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352214</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352214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489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72461</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72950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425164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22572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8521</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31093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29069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563553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592622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38029</v>
      </c>
      <c r="D263" s="1651"/>
      <c r="E263" s="1575"/>
      <c r="F263" s="1651"/>
      <c r="G263" s="1651"/>
      <c r="H263" s="1575"/>
      <c r="I263" s="1575"/>
      <c r="J263" s="1575"/>
      <c r="K263" s="1575"/>
    </row>
    <row r="264" spans="1:11" ht="12.75" customHeight="1" thickTop="1" thickBot="1" x14ac:dyDescent="0.25">
      <c r="A264" s="427" t="s">
        <v>374</v>
      </c>
      <c r="B264" s="429">
        <v>4992</v>
      </c>
      <c r="C264" s="1650">
        <v>144357</v>
      </c>
      <c r="D264" s="1651"/>
      <c r="E264" s="1575"/>
      <c r="F264" s="1651"/>
      <c r="G264" s="1651"/>
      <c r="H264" s="1575"/>
      <c r="I264" s="1575"/>
      <c r="J264" s="1575"/>
      <c r="K264" s="1575"/>
    </row>
    <row r="265" spans="1:11" s="489" customFormat="1" ht="12.75" customHeight="1" thickTop="1" thickBot="1" x14ac:dyDescent="0.25">
      <c r="A265" s="479" t="s">
        <v>75</v>
      </c>
      <c r="B265" s="475">
        <v>4998</v>
      </c>
      <c r="C265" s="1650">
        <v>142851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948952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948952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6007371</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8" activePane="bottomLeft" state="frozen"/>
      <selection pane="bottomLeft" activeCell="H50" sqref="H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846804</v>
      </c>
      <c r="D8" s="1573">
        <v>284181</v>
      </c>
      <c r="E8" s="1573">
        <v>26663</v>
      </c>
      <c r="F8" s="1573">
        <v>62778</v>
      </c>
      <c r="G8" s="1573"/>
      <c r="H8" s="1573"/>
      <c r="I8" s="1574"/>
      <c r="J8" s="1574"/>
      <c r="K8" s="1672">
        <f t="shared" si="0"/>
        <v>1220426</v>
      </c>
      <c r="L8" s="1573">
        <v>1276916</v>
      </c>
    </row>
    <row r="9" spans="1:14" x14ac:dyDescent="0.2">
      <c r="A9" s="1274" t="s">
        <v>716</v>
      </c>
      <c r="B9" s="503" t="s">
        <v>962</v>
      </c>
      <c r="C9" s="1574"/>
      <c r="D9" s="1574"/>
      <c r="E9" s="1574"/>
      <c r="F9" s="1574">
        <v>4982</v>
      </c>
      <c r="G9" s="1574"/>
      <c r="H9" s="1574"/>
      <c r="I9" s="1574"/>
      <c r="J9" s="1574"/>
      <c r="K9" s="1672">
        <f t="shared" si="0"/>
        <v>4982</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106580</v>
      </c>
      <c r="D13" s="1573">
        <v>32379</v>
      </c>
      <c r="E13" s="1573">
        <v>6281</v>
      </c>
      <c r="F13" s="1573">
        <v>12888</v>
      </c>
      <c r="G13" s="1573"/>
      <c r="H13" s="1573"/>
      <c r="I13" s="1574"/>
      <c r="J13" s="1574"/>
      <c r="K13" s="1672">
        <f t="shared" si="0"/>
        <v>158128</v>
      </c>
      <c r="L13" s="1573">
        <v>160631</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204824</v>
      </c>
      <c r="D19" s="1573">
        <v>55077</v>
      </c>
      <c r="E19" s="1573">
        <v>2343</v>
      </c>
      <c r="F19" s="1573">
        <v>1560</v>
      </c>
      <c r="G19" s="1573"/>
      <c r="H19" s="1573"/>
      <c r="I19" s="1574"/>
      <c r="J19" s="1574"/>
      <c r="K19" s="1672">
        <f t="shared" si="0"/>
        <v>263804</v>
      </c>
      <c r="L19" s="1573">
        <v>230645</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1158208</v>
      </c>
      <c r="D33" s="1674">
        <f t="shared" ref="D33:L33" si="1">SUM(D5:D32)</f>
        <v>371637</v>
      </c>
      <c r="E33" s="1674">
        <f t="shared" si="1"/>
        <v>35287</v>
      </c>
      <c r="F33" s="1674">
        <f t="shared" si="1"/>
        <v>82208</v>
      </c>
      <c r="G33" s="1674">
        <f t="shared" si="1"/>
        <v>0</v>
      </c>
      <c r="H33" s="1674">
        <f t="shared" si="1"/>
        <v>0</v>
      </c>
      <c r="I33" s="1674">
        <f t="shared" si="1"/>
        <v>0</v>
      </c>
      <c r="J33" s="1674">
        <f t="shared" si="1"/>
        <v>0</v>
      </c>
      <c r="K33" s="1674">
        <f t="shared" si="1"/>
        <v>1647340</v>
      </c>
      <c r="L33" s="1674">
        <f t="shared" si="1"/>
        <v>1668192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665463</v>
      </c>
      <c r="D36" s="1586">
        <v>162495</v>
      </c>
      <c r="E36" s="1586">
        <v>52517</v>
      </c>
      <c r="F36" s="1586">
        <v>9207</v>
      </c>
      <c r="G36" s="1586"/>
      <c r="H36" s="1586"/>
      <c r="I36" s="1574"/>
      <c r="J36" s="1574"/>
      <c r="K36" s="1672">
        <f t="shared" ref="K36:K41" si="2">SUM(C36:J36)</f>
        <v>889682</v>
      </c>
      <c r="L36" s="1573">
        <v>914865</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268726</v>
      </c>
      <c r="D38" s="1573">
        <v>78937</v>
      </c>
      <c r="E38" s="1573">
        <v>10679</v>
      </c>
      <c r="F38" s="1573">
        <v>2655</v>
      </c>
      <c r="G38" s="1573"/>
      <c r="H38" s="1573"/>
      <c r="I38" s="1574"/>
      <c r="J38" s="1574"/>
      <c r="K38" s="1672">
        <f t="shared" si="2"/>
        <v>360997</v>
      </c>
      <c r="L38" s="1573">
        <v>393687</v>
      </c>
    </row>
    <row r="39" spans="1:14" x14ac:dyDescent="0.2">
      <c r="A39" s="1274" t="s">
        <v>197</v>
      </c>
      <c r="B39" s="503">
        <v>2140</v>
      </c>
      <c r="C39" s="1573">
        <v>329492</v>
      </c>
      <c r="D39" s="1573">
        <v>51669</v>
      </c>
      <c r="E39" s="1573">
        <v>46253</v>
      </c>
      <c r="F39" s="1573">
        <v>7830</v>
      </c>
      <c r="G39" s="1573"/>
      <c r="H39" s="1573"/>
      <c r="I39" s="1574"/>
      <c r="J39" s="1574"/>
      <c r="K39" s="1672">
        <f t="shared" si="2"/>
        <v>435244</v>
      </c>
      <c r="L39" s="1573">
        <v>484764</v>
      </c>
    </row>
    <row r="40" spans="1:14" x14ac:dyDescent="0.2">
      <c r="A40" s="1274" t="s">
        <v>198</v>
      </c>
      <c r="B40" s="503">
        <v>2150</v>
      </c>
      <c r="C40" s="1573">
        <v>360732</v>
      </c>
      <c r="D40" s="1573">
        <v>93074</v>
      </c>
      <c r="E40" s="1573">
        <v>132794</v>
      </c>
      <c r="F40" s="1573">
        <v>3657</v>
      </c>
      <c r="G40" s="1573"/>
      <c r="H40" s="1573"/>
      <c r="I40" s="1574">
        <v>7204</v>
      </c>
      <c r="J40" s="1574"/>
      <c r="K40" s="1672">
        <f t="shared" si="2"/>
        <v>597461</v>
      </c>
      <c r="L40" s="1573">
        <v>598908</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1624413</v>
      </c>
      <c r="D42" s="1674">
        <f t="shared" ref="D42:L42" si="3">SUM(D36:D41)</f>
        <v>386175</v>
      </c>
      <c r="E42" s="1674">
        <f t="shared" si="3"/>
        <v>242243</v>
      </c>
      <c r="F42" s="1674">
        <f t="shared" si="3"/>
        <v>23349</v>
      </c>
      <c r="G42" s="1674">
        <f t="shared" si="3"/>
        <v>0</v>
      </c>
      <c r="H42" s="1674">
        <f t="shared" si="3"/>
        <v>0</v>
      </c>
      <c r="I42" s="1674">
        <f t="shared" si="3"/>
        <v>7204</v>
      </c>
      <c r="J42" s="1674">
        <f t="shared" si="3"/>
        <v>0</v>
      </c>
      <c r="K42" s="1674">
        <f t="shared" si="3"/>
        <v>2283384</v>
      </c>
      <c r="L42" s="1674">
        <f t="shared" si="3"/>
        <v>2392224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1745</v>
      </c>
      <c r="D44" s="1586">
        <v>349</v>
      </c>
      <c r="E44" s="1586">
        <v>67041</v>
      </c>
      <c r="F44" s="1586">
        <v>11082</v>
      </c>
      <c r="G44" s="1586"/>
      <c r="H44" s="1586"/>
      <c r="I44" s="1574">
        <v>3022</v>
      </c>
      <c r="J44" s="1574"/>
      <c r="K44" s="1678">
        <f>SUM(C44:J44)</f>
        <v>83239</v>
      </c>
      <c r="L44" s="1586">
        <v>125396</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1745</v>
      </c>
      <c r="D47" s="1674">
        <f t="shared" ref="D47:K47" si="4">SUM(D44:D46)</f>
        <v>349</v>
      </c>
      <c r="E47" s="1674">
        <f t="shared" si="4"/>
        <v>67041</v>
      </c>
      <c r="F47" s="1674">
        <f t="shared" si="4"/>
        <v>11082</v>
      </c>
      <c r="G47" s="1674">
        <f t="shared" si="4"/>
        <v>0</v>
      </c>
      <c r="H47" s="1674">
        <f t="shared" si="4"/>
        <v>0</v>
      </c>
      <c r="I47" s="1674">
        <f t="shared" si="4"/>
        <v>3022</v>
      </c>
      <c r="J47" s="1674">
        <f t="shared" si="4"/>
        <v>0</v>
      </c>
      <c r="K47" s="1674">
        <f t="shared" si="4"/>
        <v>83239</v>
      </c>
      <c r="L47" s="1674">
        <f>SUM(L44:L46)</f>
        <v>125396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392100</v>
      </c>
      <c r="D50" s="1573">
        <v>115773</v>
      </c>
      <c r="E50" s="1573">
        <v>128846</v>
      </c>
      <c r="F50" s="1573">
        <v>7334</v>
      </c>
      <c r="G50" s="1573"/>
      <c r="H50" s="1573">
        <v>370272</v>
      </c>
      <c r="I50" s="1574"/>
      <c r="J50" s="1574"/>
      <c r="K50" s="1678">
        <f>SUM(C50:J50)</f>
        <v>1014325</v>
      </c>
      <c r="L50" s="1573">
        <v>675268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392100</v>
      </c>
      <c r="D53" s="1674">
        <f t="shared" ref="D53:L53" si="5">SUM(D49:D52)</f>
        <v>115773</v>
      </c>
      <c r="E53" s="1674">
        <f t="shared" si="5"/>
        <v>128846</v>
      </c>
      <c r="F53" s="1674">
        <f t="shared" si="5"/>
        <v>7334</v>
      </c>
      <c r="G53" s="1674">
        <f t="shared" si="5"/>
        <v>0</v>
      </c>
      <c r="H53" s="1674">
        <f t="shared" si="5"/>
        <v>370272</v>
      </c>
      <c r="I53" s="1674">
        <f t="shared" si="5"/>
        <v>0</v>
      </c>
      <c r="J53" s="1674">
        <f t="shared" si="5"/>
        <v>0</v>
      </c>
      <c r="K53" s="1674">
        <f t="shared" si="5"/>
        <v>1014325</v>
      </c>
      <c r="L53" s="1674">
        <f t="shared" si="5"/>
        <v>675268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50381</v>
      </c>
      <c r="D60" s="1573">
        <v>11420</v>
      </c>
      <c r="E60" s="1573">
        <v>2025</v>
      </c>
      <c r="F60" s="1573">
        <v>635</v>
      </c>
      <c r="G60" s="1573"/>
      <c r="H60" s="1573"/>
      <c r="I60" s="1574"/>
      <c r="J60" s="1574"/>
      <c r="K60" s="1678">
        <f t="shared" si="7"/>
        <v>64461</v>
      </c>
      <c r="L60" s="1573">
        <v>52669</v>
      </c>
      <c r="M60" s="501"/>
      <c r="N60" s="501"/>
    </row>
    <row r="61" spans="1:14" s="321" customFormat="1" x14ac:dyDescent="0.2">
      <c r="A61" s="1274" t="s">
        <v>195</v>
      </c>
      <c r="B61" s="503">
        <v>2540</v>
      </c>
      <c r="C61" s="1573">
        <v>94198</v>
      </c>
      <c r="D61" s="1573">
        <v>24189</v>
      </c>
      <c r="E61" s="1573">
        <v>209561</v>
      </c>
      <c r="F61" s="1573">
        <v>74367</v>
      </c>
      <c r="G61" s="1573"/>
      <c r="H61" s="1573">
        <v>1382</v>
      </c>
      <c r="I61" s="1574"/>
      <c r="J61" s="1574"/>
      <c r="K61" s="1678">
        <f t="shared" si="7"/>
        <v>403697</v>
      </c>
      <c r="L61" s="1573">
        <v>304429</v>
      </c>
      <c r="M61" s="501"/>
      <c r="N61" s="501"/>
    </row>
    <row r="62" spans="1:14" s="321" customFormat="1" x14ac:dyDescent="0.2">
      <c r="A62" s="1274" t="s">
        <v>947</v>
      </c>
      <c r="B62" s="503">
        <v>2550</v>
      </c>
      <c r="C62" s="1573"/>
      <c r="D62" s="1573"/>
      <c r="E62" s="1573">
        <v>1491</v>
      </c>
      <c r="F62" s="1573"/>
      <c r="G62" s="1573"/>
      <c r="H62" s="1573"/>
      <c r="I62" s="1574"/>
      <c r="J62" s="1574"/>
      <c r="K62" s="1678">
        <f t="shared" si="7"/>
        <v>1491</v>
      </c>
      <c r="L62" s="1573"/>
      <c r="M62" s="501"/>
      <c r="N62" s="501"/>
    </row>
    <row r="63" spans="1:14" s="501" customFormat="1" x14ac:dyDescent="0.2">
      <c r="A63" s="1274" t="s">
        <v>100</v>
      </c>
      <c r="B63" s="503">
        <v>2560</v>
      </c>
      <c r="C63" s="1573"/>
      <c r="D63" s="1573"/>
      <c r="E63" s="1573">
        <v>26248</v>
      </c>
      <c r="F63" s="1573">
        <v>1387</v>
      </c>
      <c r="G63" s="1573"/>
      <c r="H63" s="1573"/>
      <c r="I63" s="1574"/>
      <c r="J63" s="1574"/>
      <c r="K63" s="1678">
        <f t="shared" si="7"/>
        <v>27635</v>
      </c>
      <c r="L63" s="1573">
        <v>40565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144579</v>
      </c>
      <c r="D65" s="1674">
        <f t="shared" ref="D65:L65" si="8">SUM(D59:D64)</f>
        <v>35609</v>
      </c>
      <c r="E65" s="1674">
        <f t="shared" si="8"/>
        <v>239325</v>
      </c>
      <c r="F65" s="1674">
        <f t="shared" si="8"/>
        <v>76389</v>
      </c>
      <c r="G65" s="1674">
        <f t="shared" si="8"/>
        <v>0</v>
      </c>
      <c r="H65" s="1674">
        <f t="shared" si="8"/>
        <v>1382</v>
      </c>
      <c r="I65" s="1674">
        <f t="shared" si="8"/>
        <v>0</v>
      </c>
      <c r="J65" s="1674">
        <f t="shared" si="8"/>
        <v>0</v>
      </c>
      <c r="K65" s="1674">
        <f t="shared" si="8"/>
        <v>497284</v>
      </c>
      <c r="L65" s="1674">
        <f t="shared" si="8"/>
        <v>397663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761</v>
      </c>
      <c r="F69" s="1573"/>
      <c r="G69" s="1573"/>
      <c r="H69" s="1573"/>
      <c r="I69" s="1574"/>
      <c r="J69" s="1574"/>
      <c r="K69" s="1678">
        <f>SUM(C69:J69)</f>
        <v>761</v>
      </c>
      <c r="L69" s="1573">
        <v>1000</v>
      </c>
      <c r="M69" s="501"/>
      <c r="N69" s="501"/>
    </row>
    <row r="70" spans="1:14" s="321" customFormat="1" x14ac:dyDescent="0.2">
      <c r="A70" s="1274" t="s">
        <v>400</v>
      </c>
      <c r="B70" s="503">
        <v>2640</v>
      </c>
      <c r="C70" s="1573"/>
      <c r="D70" s="1573"/>
      <c r="E70" s="1573">
        <v>951</v>
      </c>
      <c r="F70" s="1573"/>
      <c r="G70" s="1573"/>
      <c r="H70" s="1573"/>
      <c r="I70" s="1574"/>
      <c r="J70" s="1574"/>
      <c r="K70" s="1678">
        <f>SUM(C70:J70)</f>
        <v>951</v>
      </c>
      <c r="L70" s="1573">
        <v>1000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1712</v>
      </c>
      <c r="F72" s="1674">
        <f t="shared" si="9"/>
        <v>0</v>
      </c>
      <c r="G72" s="1674">
        <f t="shared" si="9"/>
        <v>0</v>
      </c>
      <c r="H72" s="1674">
        <f t="shared" si="9"/>
        <v>0</v>
      </c>
      <c r="I72" s="1674">
        <f t="shared" si="9"/>
        <v>0</v>
      </c>
      <c r="J72" s="1674">
        <f t="shared" si="9"/>
        <v>0</v>
      </c>
      <c r="K72" s="1674">
        <f t="shared" si="9"/>
        <v>1712</v>
      </c>
      <c r="L72" s="1674">
        <f>SUM(L67:L71)</f>
        <v>2000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2162837</v>
      </c>
      <c r="D74" s="1681">
        <f t="shared" ref="D74:K74" si="10">SUM(D42,D47,D53,D57,D65,D72,D73)</f>
        <v>537906</v>
      </c>
      <c r="E74" s="1681">
        <f t="shared" si="10"/>
        <v>679167</v>
      </c>
      <c r="F74" s="1681">
        <f t="shared" si="10"/>
        <v>118154</v>
      </c>
      <c r="G74" s="1681">
        <f t="shared" si="10"/>
        <v>0</v>
      </c>
      <c r="H74" s="1681">
        <f t="shared" si="10"/>
        <v>371654</v>
      </c>
      <c r="I74" s="1681">
        <f t="shared" si="10"/>
        <v>10226</v>
      </c>
      <c r="J74" s="1681">
        <f t="shared" si="10"/>
        <v>0</v>
      </c>
      <c r="K74" s="1681">
        <f t="shared" si="10"/>
        <v>3879944</v>
      </c>
      <c r="L74" s="1681">
        <f>SUM(L42,L47,L53,L57,L65,L72,L73)</f>
        <v>3592551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v>43003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43003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43003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3321045</v>
      </c>
      <c r="D114" s="1674">
        <f t="shared" ref="D114:K114" si="13">SUM(D33,D74,D75,D102,D112,D113)</f>
        <v>909543</v>
      </c>
      <c r="E114" s="1674">
        <f t="shared" si="13"/>
        <v>714454</v>
      </c>
      <c r="F114" s="1674">
        <f t="shared" si="13"/>
        <v>200362</v>
      </c>
      <c r="G114" s="1674">
        <f t="shared" si="13"/>
        <v>0</v>
      </c>
      <c r="H114" s="1674">
        <f>SUM(H33,H74,H75,H102,H112,H113)</f>
        <v>371654</v>
      </c>
      <c r="I114" s="1674">
        <f t="shared" si="13"/>
        <v>10226</v>
      </c>
      <c r="J114" s="1674">
        <f t="shared" si="13"/>
        <v>0</v>
      </c>
      <c r="K114" s="1674">
        <f t="shared" si="13"/>
        <v>5527284</v>
      </c>
      <c r="L114" s="1674">
        <f>SUM(L33,L74,L75,L102,L112,L113)</f>
        <v>5303746</v>
      </c>
    </row>
    <row r="115" spans="1:14" ht="13.5" thickTop="1" x14ac:dyDescent="0.2">
      <c r="A115" s="2264" t="s">
        <v>989</v>
      </c>
      <c r="B115" s="2265"/>
      <c r="C115" s="1675"/>
      <c r="D115" s="1675"/>
      <c r="E115" s="1675"/>
      <c r="F115" s="1675"/>
      <c r="G115" s="1675"/>
      <c r="H115" s="1675"/>
      <c r="I115" s="1675"/>
      <c r="J115" s="1675"/>
      <c r="K115" s="1689">
        <f>'Revenues 9-14'!C268-'Expenditures 15-22'!K114</f>
        <v>480087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4" t="s">
        <v>989</v>
      </c>
      <c r="B175" s="226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4" t="s">
        <v>989</v>
      </c>
      <c r="B211" s="226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4" t="s">
        <v>989</v>
      </c>
      <c r="B296" s="226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4" t="s">
        <v>989</v>
      </c>
      <c r="B368" s="226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d21dc803-237d-4c68-8692-8d731fd29118"/>
    <ds:schemaRef ds:uri="http://schemas.openxmlformats.org/package/2006/metadata/core-properties"/>
    <ds:schemaRef ds:uri="http://schemas.microsoft.com/office/infopath/2007/PartnerControls"/>
    <ds:schemaRef ds:uri="http://schemas.microsoft.com/sharepoint/v3"/>
    <ds:schemaRef ds:uri="6ce3111e-7420-4802-b50a-75d4e9a0b980"/>
    <ds:schemaRef ds:uri="http://purl.org/dc/elements/1.1/"/>
    <ds:schemaRef ds:uri="http://www.w3.org/XML/1998/namespace"/>
    <ds:schemaRef ds:uri="4d435f69-8686-490b-bd6d-b153bf22ab5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Sheet1</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2020-09-28T14:40:27Z</cp:lastPrinted>
  <dcterms:created xsi:type="dcterms:W3CDTF">2003-10-29T19:06:34Z</dcterms:created>
  <dcterms:modified xsi:type="dcterms:W3CDTF">2020-11-18T13:10:32Z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