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47C6058-1A89-4A22-B77D-87A43E970D7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4" i="106"/>
  <c r="D7883"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2" i="127"/>
  <c r="B63"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C352" i="29" l="1"/>
  <c r="F36" i="34"/>
  <c r="B7828" i="106" s="1"/>
  <c r="D7828" i="106" s="1"/>
  <c r="H15" i="184"/>
  <c r="H342" i="29"/>
  <c r="D69" i="36"/>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15" i="106" l="1"/>
  <c r="D7215" i="106" s="1"/>
  <c r="B5770" i="106"/>
  <c r="D5770" i="106" s="1"/>
  <c r="B1381" i="106"/>
  <c r="D1381" i="106" s="1"/>
  <c r="L16" i="11"/>
  <c r="B2061" i="106" s="1"/>
  <c r="D2061" i="106" s="1"/>
  <c r="F41" i="108"/>
  <c r="G43" i="108" s="1"/>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7" i="34" l="1"/>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<sst xmlns="http://schemas.openxmlformats.org/spreadsheetml/2006/main" count="5141" uniqueCount="2079">
  <si>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</si>
  <si>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</si>
  <si>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</si>
  <si>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</si>
  <si>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</si>
  <si>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</si>
  <si>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</si>
  <si>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</si>
  <si>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</si>
  <si>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</si>
  <si>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</si>
  <si>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</si>
  <si>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</si>
  <si>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</si>
  <si>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</si>
  <si>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</si>
  <si>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</si>
  <si>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</si>
  <si>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</si>
  <si>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</si>
  <si>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</si>
  <si>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</si>
  <si>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</si>
  <si>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</si>
  <si>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</si>
  <si>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</si>
  <si>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</si>
  <si>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</si>
  <si>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</si>
  <si>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</si>
  <si>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</si>
  <si>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</si>
  <si>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</si>
  <si>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</si>
  <si>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</si>
  <si>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</si>
  <si>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</si>
  <si>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</si>
  <si>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</si>
  <si>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</si>
  <si>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</si>
  <si>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</si>
  <si>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</si>
  <si>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</si>
  <si>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</si>
  <si>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</si>
  <si>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</si>
  <si>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</si>
  <si>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</si>
  <si>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</si>
  <si>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</si>
  <si>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</si>
  <si>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</si>
  <si>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</si>
  <si>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</si>
  <si>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</si>
  <si>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</si>
  <si>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</si>
  <si>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</si>
  <si>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</si>
  <si>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</si>
  <si>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</si>
  <si>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</si>
  <si>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</si>
  <si>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</si>
  <si>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</si>
  <si>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</si>
  <si>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</si>
  <si>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</si>
  <si>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</si>
  <si>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</si>
  <si>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</si>
  <si>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</si>
  <si>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</si>
  <si>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</si>
  <si>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</si>
  <si>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</si>
  <si>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</si>
  <si>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</si>
  <si>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</si>
  <si>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</si>
  <si>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</si>
  <si>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</si>
  <si>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</si>
  <si>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</si>
  <si>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</si>
  <si>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</si>
  <si>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</si>
  <si>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</si>
  <si>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</si>
  <si>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</si>
  <si>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</si>
  <si>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</si>
  <si>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</si>
  <si>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</si>
  <si>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</si>
  <si>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</si>
  <si>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</si>
  <si>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</si>
  <si>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</si>
  <si>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</si>
  <si>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</si>
  <si>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</si>
  <si>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</si>
  <si>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</si>
  <si>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</si>
  <si>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</si>
  <si>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</si>
  <si>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</si>
  <si>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</si>
  <si>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</si>
  <si>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</si>
  <si>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</si>
  <si>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</si>
  <si>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</si>
  <si>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</si>
  <si>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</si>
  <si>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</si>
  <si>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</si>
  <si>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</si>
  <si>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</si>
  <si>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</si>
  <si>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</si>
  <si>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</si>
  <si>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</si>
  <si>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</si>
  <si>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</si>
  <si>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</si>
  <si>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</si>
  <si>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</si>
  <si>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</si>
  <si>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</si>
  <si>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</si>
  <si>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</si>
  <si>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</si>
  <si>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</si>
  <si>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</si>
  <si>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</si>
  <si>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</si>
  <si>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</si>
  <si>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</si>
  <si>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</si>
  <si>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</si>
  <si>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</si>
  <si>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</si>
  <si>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</si>
  <si>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</si>
  <si>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</si>
  <si>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</si>
  <si>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</si>
  <si>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</si>
  <si>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</si>
  <si>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</si>
  <si>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</si>
  <si>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</si>
  <si>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</si>
  <si>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</si>
  <si>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</si>
  <si>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</si>
  <si>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</si>
  <si>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</si>
  <si>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</si>
  <si>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</si>
  <si>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</si>
  <si>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</si>
  <si>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</si>
  <si>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</si>
  <si>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</si>
  <si>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</si>
  <si>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</si>
  <si>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</si>
  <si>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</si>
  <si>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</si>
  <si>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</si>
  <si>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</si>
  <si>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</si>
  <si>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</si>
  <si>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</si>
  <si>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</si>
  <si>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</si>
  <si>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</si>
  <si>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</si>
  <si>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</si>
  <si>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</si>
  <si>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</si>
  <si>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</si>
  <si>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</si>
  <si>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</si>
  <si>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</si>
  <si>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</si>
  <si>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</si>
  <si>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</si>
  <si>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</si>
  <si>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</si>
  <si>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</si>
  <si>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</si>
  <si>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</si>
  <si>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</si>
  <si>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</si>
  <si>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</si>
  <si>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</si>
  <si>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</si>
  <si>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</si>
  <si>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</si>
  <si>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</si>
  <si>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</si>
  <si>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</si>
  <si>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</si>
  <si>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</si>
  <si>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</si>
  <si>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</si>
  <si>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</si>
  <si>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</si>
  <si>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</si>
  <si>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</si>
  <si>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</si>
  <si>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</si>
  <si>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</si>
  <si>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</si>
  <si>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</si>
  <si>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</si>
  <si>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</si>
  <si>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</si>
  <si>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</si>
  <si>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</si>
  <si>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</si>
  <si>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</si>
  <si>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</si>
  <si>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</si>
  <si>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</si>
  <si>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</si>
  <si>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</si>
  <si>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</si>
  <si>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</si>
  <si>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</si>
  <si>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</si>
  <si>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</si>
  <si>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</si>
  <si>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</si>
  <si>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</si>
  <si>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</si>
  <si>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</si>
  <si>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</si>
  <si>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</si>
  <si>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</si>
  <si>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</si>
  <si>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</si>
  <si>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</si>
  <si>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</si>
  <si>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</si>
  <si>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</si>
  <si>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</si>
  <si>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</si>
  <si>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</si>
  <si>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</si>
  <si>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</si>
  <si>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</si>
  <si>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</si>
  <si>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</si>
  <si>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</si>
  <si>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</si>
  <si>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</si>
  <si>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</si>
  <si>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</si>
  <si>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</si>
  <si>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</si>
  <si>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</si>
  <si>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</si>
  <si>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</si>
  <si>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</si>
  <si>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</si>
  <si>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</si>
  <si>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</si>
  <si>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</si>
  <si>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</si>
  <si>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</si>
  <si>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</si>
  <si>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</si>
  <si>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</si>
  <si>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</si>
  <si>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</si>
  <si>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</si>
  <si>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</si>
  <si>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</si>
  <si>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</si>
  <si>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</si>
  <si>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</si>
  <si>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</si>
  <si>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</si>
  <si>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</si>
  <si>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</si>
  <si>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</si>
  <si>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</si>
  <si>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</si>
  <si>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</si>
  <si>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</si>
  <si>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</si>
  <si>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</si>
  <si>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</si>
  <si>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</si>
  <si>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</si>
  <si>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</si>
  <si>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</si>
  <si>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</si>
  <si>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</si>
  <si>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</si>
  <si>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</si>
  <si>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</si>
  <si>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</si>
  <si>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</si>
  <si>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</si>
  <si>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</si>
  <si>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</si>
  <si>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</si>
  <si>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</si>
  <si>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</si>
  <si>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</si>
  <si>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</si>
  <si>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</si>
  <si>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</si>
  <si>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</si>
  <si>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</si>
  <si>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</si>
  <si>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</si>
  <si>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</si>
  <si>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</si>
  <si>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</si>
  <si>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</si>
  <si>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</si>
  <si>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</si>
  <si>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</si>
  <si>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</si>
  <si>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</si>
  <si>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</si>
  <si>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</si>
  <si>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</si>
  <si>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</si>
  <si>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</si>
  <si>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</si>
  <si>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</si>
  <si>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</si>
  <si>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</si>
  <si>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</si>
  <si>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</si>
  <si>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</si>
  <si>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</si>
  <si>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</si>
  <si>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</si>
  <si>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</si>
  <si>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</si>
  <si>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</si>
  <si>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</si>
  <si>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</si>
  <si>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</si>
  <si>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</si>
  <si>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</si>
  <si>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</si>
  <si>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</si>
  <si>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</si>
  <si>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</si>
  <si>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</si>
  <si>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</si>
  <si>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</si>
  <si>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</si>
  <si>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</si>
  <si>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</si>
  <si>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</si>
  <si>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</si>
  <si>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</si>
  <si>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</si>
  <si>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</si>
  <si>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</si>
  <si>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</si>
  <si>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</si>
  <si>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</si>
  <si>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</si>
  <si>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</si>
  <si>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</si>
  <si>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</si>
  <si>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</si>
  <si>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</si>
  <si>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</si>
  <si>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</si>
  <si>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</si>
  <si>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</si>
  <si>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</si>
  <si>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</si>
  <si>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</si>
  <si>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</si>
  <si>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</si>
  <si>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</si>
  <si>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</si>
  <si>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</si>
  <si>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</si>
  <si>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</si>
  <si>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</si>
  <si>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</si>
  <si>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</si>
  <si>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</si>
  <si>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</si>
  <si>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</si>
  <si>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</si>
  <si>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</si>
  <si>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</si>
  <si>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</si>
  <si>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</si>
  <si>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</si>
  <si>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</si>
  <si>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</si>
  <si>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</si>
  <si>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</si>
  <si>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</si>
  <si>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</si>
  <si>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</si>
  <si>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</si>
  <si>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</si>
  <si>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</si>
  <si>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</si>
  <si>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</si>
  <si>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</si>
  <si>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</si>
  <si>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</si>
  <si>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</si>
  <si>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</si>
  <si>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</si>
  <si>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</si>
  <si>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</si>
  <si>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</si>
  <si>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</si>
  <si>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</si>
  <si>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</si>
  <si>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</si>
  <si>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</si>
  <si>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</si>
  <si>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</si>
  <si>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</si>
  <si>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</si>
  <si>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</si>
  <si>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</si>
  <si>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</si>
  <si>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</si>
  <si>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</si>
  <si>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</si>
  <si>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</si>
  <si>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</si>
  <si>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</si>
  <si>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</si>
  <si>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</si>
  <si>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</si>
  <si>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</si>
  <si>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</si>
  <si>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</si>
  <si>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</si>
  <si>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</si>
  <si>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</si>
  <si>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</si>
  <si>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</si>
  <si>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</si>
  <si>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</si>
  <si>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</si>
  <si>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</si>
  <si>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</si>
  <si>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</si>
  <si>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</si>
  <si>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</si>
  <si>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</si>
  <si>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</si>
  <si>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</si>
  <si>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</si>
  <si>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</si>
  <si>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</si>
  <si>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</si>
  <si>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</si>
  <si>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</si>
  <si>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</si>
  <si>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</si>
  <si>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</si>
  <si>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</si>
  <si>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</si>
  <si>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</si>
  <si>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</si>
  <si>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</si>
  <si>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</si>
  <si>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</si>
  <si>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</si>
  <si>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</si>
  <si>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</si>
  <si>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</si>
  <si>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</si>
  <si>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</si>
  <si>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</si>
  <si>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</si>
  <si>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</si>
  <si>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</si>
  <si>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</si>
  <si>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</si>
  <si>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</si>
  <si>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</si>
  <si>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</si>
  <si>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</si>
  <si>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</si>
  <si>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</si>
  <si>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</si>
  <si>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</si>
  <si>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</si>
  <si>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</si>
  <si>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</si>
  <si>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</si>
  <si>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</si>
  <si>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</si>
  <si>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</si>
  <si>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</si>
  <si>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</si>
  <si>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</si>
  <si>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</si>
  <si>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</si>
  <si>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</si>
  <si>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</si>
  <si>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</si>
  <si>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</si>
  <si>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</si>
  <si>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</si>
  <si>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</si>
  <si>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</si>
  <si>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</si>
  <si>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</si>
  <si>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</si>
  <si>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</si>
  <si>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</si>
  <si>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</si>
  <si>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</si>
  <si>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</si>
  <si>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</si>
  <si>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</si>
  <si>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</si>
  <si>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</si>
  <si>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</si>
  <si>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</si>
  <si>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</si>
  <si>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</si>
  <si>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</si>
  <si>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</si>
  <si>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</si>
  <si>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</si>
  <si>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</si>
  <si>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</si>
  <si>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</si>
  <si>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</si>
  <si>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</si>
  <si>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</si>
  <si>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</si>
  <si>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</si>
  <si>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</si>
  <si>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</si>
  <si>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</si>
  <si>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</si>
  <si>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</si>
  <si>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</si>
  <si>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</si>
  <si>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</si>
  <si>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</si>
  <si>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</si>
  <si>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</si>
  <si>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</si>
  <si>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</si>
  <si>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</si>
  <si>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</si>
  <si>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</si>
  <si>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</si>
  <si>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</si>
  <si>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</si>
  <si>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</si>
  <si>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</si>
  <si>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</si>
  <si>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</si>
  <si>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</si>
  <si>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</si>
  <si>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</si>
  <si>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</si>
  <si>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</si>
  <si>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</si>
  <si>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</si>
  <si>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</si>
  <si>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</si>
  <si>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</si>
  <si>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</si>
  <si>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</si>
  <si>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</si>
  <si>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</si>
  <si>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</si>
  <si>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</si>
  <si>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</si>
  <si>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</si>
  <si>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</si>
  <si>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</si>
  <si>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</si>
  <si>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</si>
  <si>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</si>
  <si>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</si>
  <si>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</si>
  <si>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</si>
  <si>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</si>
  <si>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</si>
  <si>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</si>
  <si>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</si>
  <si>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</si>
  <si>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</si>
  <si>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</si>
  <si>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</si>
  <si>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</si>
  <si>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</si>
  <si>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</si>
  <si>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</si>
  <si>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</si>
  <si>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</si>
  <si>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</si>
  <si>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</si>
  <si>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</si>
  <si>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</si>
  <si>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</si>
  <si>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</si>
  <si>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</si>
  <si>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</si>
  <si>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</si>
  <si>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</si>
  <si>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</si>
  <si>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</si>
  <si>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</si>
  <si>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</si>
  <si>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</si>
  <si>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</si>
  <si>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</si>
  <si>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</si>
  <si>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</si>
  <si>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</si>
  <si>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</si>
  <si>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</si>
  <si>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</si>
  <si>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</si>
  <si>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</si>
  <si>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</si>
  <si>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</si>
  <si>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</si>
  <si>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</si>
  <si>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</si>
  <si>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</si>
  <si>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</si>
  <si>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</si>
  <si>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</si>
  <si>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</si>
  <si>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</si>
  <si>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</si>
  <si>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</si>
  <si>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</si>
  <si>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</si>
  <si>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</si>
  <si>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</si>
  <si>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</si>
  <si>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</si>
  <si>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</si>
  <si>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</si>
  <si>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</si>
  <si>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</si>
  <si>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</si>
  <si>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</si>
  <si>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</si>
  <si>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</si>
  <si>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</si>
  <si>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</si>
  <si>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</si>
  <si>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</si>
  <si>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</si>
  <si>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</si>
  <si>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</si>
  <si>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</si>
  <si>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</si>
  <si>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</si>
  <si>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</si>
  <si>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</si>
  <si>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</si>
  <si>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</si>
  <si>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</si>
  <si>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</si>
  <si>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</si>
  <si>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</si>
  <si>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</si>
  <si>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</si>
  <si>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</si>
  <si>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</si>
  <si>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</si>
  <si>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</si>
  <si>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</si>
  <si>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</si>
  <si>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</si>
  <si>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</si>
  <si>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</si>
  <si>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</si>
  <si>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</si>
  <si>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</si>
  <si>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</si>
  <si>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</si>
  <si>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</si>
  <si>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</si>
  <si>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</si>
  <si>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</si>
  <si>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</si>
  <si>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</si>
  <si>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</si>
  <si>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</si>
  <si>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</si>
  <si>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</si>
  <si>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</si>
  <si>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</si>
  <si>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</si>
  <si>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</si>
  <si>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</si>
  <si>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</si>
  <si>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</si>
  <si>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</si>
  <si>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</si>
  <si>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</si>
  <si>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</si>
  <si>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</si>
  <si>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</si>
  <si>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</si>
  <si>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</si>
  <si>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</si>
  <si>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</si>
  <si>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</si>
  <si>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</si>
  <si>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</si>
  <si>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</si>
  <si>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</si>
  <si>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</si>
  <si>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</si>
  <si>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</si>
  <si>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</si>
  <si>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</si>
  <si>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</si>
  <si>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</si>
  <si>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</si>
  <si>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</si>
  <si>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</si>
  <si>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</si>
  <si>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</si>
  <si>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</si>
  <si>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</si>
  <si>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</si>
  <si>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</si>
  <si>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</si>
  <si>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</si>
  <si>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</si>
  <si>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</si>
  <si>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</si>
  <si>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</si>
  <si>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</si>
  <si>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</si>
  <si>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</si>
  <si>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</si>
  <si>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</si>
  <si>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</si>
  <si>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</si>
  <si>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</si>
  <si>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</si>
  <si>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</si>
  <si>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</si>
  <si>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</si>
  <si>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</si>
  <si>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</si>
  <si>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</si>
  <si>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</si>
  <si>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</si>
  <si>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</si>
  <si>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</si>
  <si>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</si>
  <si>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</si>
  <si>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</si>
  <si>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</si>
  <si>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</si>
  <si>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</si>
  <si>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</si>
  <si>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</si>
  <si>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</si>
  <si>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</si>
  <si>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</si>
  <si>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</si>
  <si>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</si>
  <si>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</si>
  <si>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</si>
  <si>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</si>
  <si>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</si>
  <si>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</si>
  <si>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</si>
  <si>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</si>
  <si>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</si>
  <si>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</si>
  <si>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</si>
  <si>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</si>
  <si>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</si>
  <si>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</si>
  <si>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</si>
  <si>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</si>
  <si>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</si>
  <si>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</si>
  <si>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</si>
  <si>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</si>
  <si>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</si>
  <si>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</si>
  <si>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</si>
  <si>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</si>
  <si>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</si>
  <si>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</si>
  <si>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</si>
  <si>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</si>
  <si>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</si>
  <si>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</si>
  <si>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</si>
  <si>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</si>
  <si>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</si>
  <si>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</si>
  <si>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</si>
  <si>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</si>
  <si>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</si>
  <si>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</si>
  <si>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</si>
  <si>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</si>
  <si>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</si>
  <si>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</si>
  <si>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</si>
  <si>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</si>
  <si>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</si>
  <si>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</si>
  <si>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</si>
  <si>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</si>
  <si>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</si>
  <si>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</si>
  <si>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</si>
  <si>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</si>
  <si>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</si>
  <si>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</si>
  <si>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</si>
  <si>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</si>
  <si>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</si>
  <si>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</si>
  <si>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</si>
  <si>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</si>
  <si>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</si>
  <si>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</si>
  <si>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</si>
  <si>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</si>
  <si>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</si>
  <si>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</si>
  <si>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</si>
  <si>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</si>
  <si>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</si>
  <si>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</si>
  <si>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</si>
  <si>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</si>
  <si>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</si>
  <si>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</si>
  <si>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</si>
  <si>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</si>
  <si>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</si>
  <si>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</si>
  <si>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</si>
  <si>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</si>
  <si>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</si>
  <si>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</si>
  <si>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</si>
  <si>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</si>
  <si>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</si>
  <si>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</si>
  <si>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</si>
  <si>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</si>
  <si>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</si>
  <si>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</si>
  <si>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</si>
  <si>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</si>
  <si>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</si>
  <si>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</si>
  <si>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</si>
  <si>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</si>
  <si>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</si>
  <si>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</si>
  <si>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</si>
  <si>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</si>
  <si>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</si>
  <si>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</si>
  <si>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</si>
  <si>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</si>
  <si>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</si>
  <si>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</si>
  <si>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</si>
  <si>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</si>
  <si>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</si>
  <si>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</si>
  <si>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</si>
  <si>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</si>
  <si>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</si>
  <si>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</si>
  <si>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</si>
  <si>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</si>
  <si>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</si>
  <si>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</si>
  <si>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</si>
  <si>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</si>
  <si>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</si>
  <si>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</si>
  <si>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</si>
  <si>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</si>
  <si>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</si>
  <si>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</si>
  <si>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</si>
  <si>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</si>
  <si>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</si>
  <si>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</si>
  <si>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</si>
  <si>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</si>
  <si>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</si>
  <si>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</si>
  <si>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</si>
  <si>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</si>
  <si>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</si>
  <si>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</si>
  <si>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</si>
  <si>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</si>
  <si>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</si>
  <si>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</si>
  <si>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</si>
  <si>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</si>
  <si>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</si>
  <si>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</si>
  <si>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</si>
  <si>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</si>
  <si>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</si>
  <si>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</si>
  <si>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</si>
  <si>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</si>
  <si>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</si>
  <si>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</si>
  <si>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</si>
  <si>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</si>
  <si>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</si>
  <si>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</si>
  <si>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</si>
  <si>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</si>
  <si>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</si>
  <si>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</si>
  <si>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</si>
  <si>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</si>
  <si>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</si>
  <si>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</si>
  <si>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</si>
  <si>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</si>
  <si>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</si>
  <si>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</si>
  <si>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</si>
  <si>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</si>
  <si>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</si>
  <si>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</si>
  <si>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</si>
  <si>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</si>
  <si>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</si>
  <si>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</si>
  <si>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</si>
  <si>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</si>
  <si>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</si>
  <si>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</si>
  <si>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</si>
  <si>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</si>
  <si>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</si>
  <si>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</si>
  <si>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</si>
  <si>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</si>
  <si>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</si>
  <si>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</si>
  <si>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</si>
  <si>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</si>
  <si>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</si>
  <si>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</si>
  <si>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</si>
  <si>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</si>
  <si>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</si>
  <si>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</si>
  <si>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</si>
  <si>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</si>
  <si>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</si>
  <si>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</si>
  <si>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</si>
  <si>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</si>
  <si>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</si>
  <si>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</si>
  <si>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</si>
  <si>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</si>
  <si>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</si>
  <si>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</si>
  <si>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</si>
  <si>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</si>
  <si>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</si>
  <si>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</si>
  <si>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</si>
  <si>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</si>
  <si>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</si>
  <si>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</si>
  <si>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</si>
  <si>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</si>
  <si>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</si>
  <si>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</si>
  <si>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</si>
  <si>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</si>
  <si>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</si>
  <si>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</si>
  <si>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</si>
  <si>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</si>
  <si>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</si>
  <si>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</si>
  <si>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</si>
  <si>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</si>
  <si>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</si>
  <si>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</si>
  <si>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</si>
  <si>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</si>
  <si>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</si>
  <si>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</si>
  <si>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</si>
  <si>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</si>
  <si>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</si>
  <si>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</si>
  <si>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</si>
  <si>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</si>
  <si>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</si>
  <si>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</si>
  <si>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</si>
  <si>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</si>
  <si>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</si>
  <si>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</si>
  <si>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</si>
  <si>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</si>
  <si>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</si>
  <si>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</si>
  <si>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</si>
  <si>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</si>
  <si>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</si>
  <si>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</si>
  <si>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</si>
  <si>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</si>
  <si>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</si>
  <si>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</si>
  <si>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</si>
  <si>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</si>
  <si>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</si>
  <si>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</si>
  <si>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</si>
  <si>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</si>
  <si>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</si>
  <si>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</si>
  <si>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</si>
  <si>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</si>
  <si>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</si>
  <si>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</si>
  <si>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</si>
  <si>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</si>
  <si>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</si>
  <si>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</si>
  <si>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</si>
  <si>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</si>
  <si>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</si>
  <si>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</si>
  <si>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</si>
  <si>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</si>
  <si>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</si>
  <si>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</si>
  <si>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</si>
  <si>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</si>
  <si>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</si>
  <si>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</si>
  <si>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</si>
  <si>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</si>
  <si>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</si>
  <si>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</si>
  <si>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</si>
  <si>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</si>
  <si>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</si>
  <si>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</si>
  <si>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</si>
  <si>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</si>
  <si>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</si>
  <si>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</si>
  <si>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</si>
  <si>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</si>
  <si>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</si>
  <si>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</si>
  <si>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</si>
  <si>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</si>
  <si>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</si>
  <si>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</si>
  <si>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</si>
  <si>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</si>
  <si>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</si>
  <si>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</si>
  <si>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</si>
  <si>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</si>
  <si>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</si>
  <si>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</si>
  <si>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</si>
  <si>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</si>
  <si>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</si>
  <si>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</si>
  <si>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</si>
  <si>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</si>
  <si>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</si>
  <si>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</si>
  <si>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</si>
  <si>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</si>
  <si>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</si>
  <si>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</si>
  <si>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</si>
  <si>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</si>
  <si>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</si>
  <si>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</si>
  <si>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</si>
  <si>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</si>
  <si>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</si>
  <si>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</si>
  <si>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</si>
  <si>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</si>
  <si>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</si>
  <si>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</si>
  <si>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</si>
  <si>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</si>
  <si>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</si>
  <si>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</si>
  <si>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</si>
  <si>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</si>
  <si>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</si>
  <si>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</si>
  <si>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</si>
  <si>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</si>
  <si>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</si>
  <si>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</si>
  <si>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</si>
  <si>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</si>
  <si>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</si>
  <si>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</si>
  <si>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</si>
  <si>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</si>
  <si>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</si>
  <si>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</si>
  <si>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</si>
  <si>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</si>
  <si>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</si>
  <si>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</si>
  <si>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</si>
  <si>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</si>
  <si>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</si>
  <si>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</si>
  <si>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</si>
  <si>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</si>
  <si>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</si>
  <si>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</si>
  <si>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</si>
  <si>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</si>
  <si>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</si>
  <si>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</si>
  <si>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</si>
  <si>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</si>
  <si>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</si>
  <si>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</si>
  <si>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</si>
  <si>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</si>
  <si>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</si>
  <si>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</si>
  <si>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</si>
  <si>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</si>
  <si>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</si>
  <si>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</si>
  <si>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</si>
  <si>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</si>
  <si>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</si>
  <si>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</si>
  <si>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</si>
  <si>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</si>
  <si>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</si>
  <si>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</si>
  <si>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</si>
  <si>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</si>
  <si>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</si>
  <si>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</si>
  <si>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</si>
  <si>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</si>
  <si>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</si>
  <si>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</si>
  <si>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</si>
  <si>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</si>
  <si>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</si>
  <si>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</si>
  <si>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</si>
  <si>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</si>
  <si>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</si>
  <si>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</si>
  <si>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</si>
  <si>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</si>
  <si>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</si>
  <si>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</si>
  <si>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</si>
  <si>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</si>
  <si>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</si>
  <si>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</si>
  <si>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</si>
  <si>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</si>
  <si>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</si>
  <si>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</si>
  <si>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</si>
  <si>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</si>
  <si>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</si>
  <si>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</si>
  <si>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</si>
  <si>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</si>
  <si>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</si>
  <si>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</si>
  <si>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</si>
  <si>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</si>
  <si>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</si>
  <si>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</si>
  <si>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</si>
  <si>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</si>
  <si>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</si>
  <si>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</si>
  <si>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</si>
  <si>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</si>
  <si>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</si>
  <si>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</si>
  <si>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</si>
  <si>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</si>
  <si>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</si>
  <si>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</si>
  <si>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</si>
  <si>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</si>
  <si>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</si>
  <si>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</si>
  <si>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</si>
  <si>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</si>
  <si>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</si>
  <si>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</si>
  <si>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</si>
  <si>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</si>
  <si>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</si>
  <si>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</si>
  <si>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</si>
  <si>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</si>
  <si>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</si>
  <si>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</si>
  <si>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</si>
  <si>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</si>
  <si>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</si>
  <si>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</si>
  <si>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</si>
  <si>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</si>
  <si>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</si>
  <si>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</si>
  <si>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</si>
  <si>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</si>
  <si>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</si>
  <si>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</si>
  <si>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</si>
  <si>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</si>
  <si>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</si>
  <si>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</si>
  <si>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</si>
  <si>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</si>
  <si>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</si>
  <si>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</si>
  <si>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</si>
  <si>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</si>
  <si>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</si>
  <si>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</si>
  <si>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</si>
  <si>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</si>
  <si>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</si>
  <si>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</si>
  <si>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</si>
  <si>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</si>
  <si>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</si>
  <si>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</si>
  <si>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</si>
  <si>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</si>
  <si>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</si>
  <si>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</si>
  <si>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</si>
  <si>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</si>
  <si>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</si>
  <si>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</si>
  <si>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</si>
  <si>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</si>
  <si>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</si>
  <si>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</si>
  <si>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</si>
  <si>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</si>
  <si>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</si>
  <si>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</si>
  <si>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</si>
  <si>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</si>
  <si>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</si>
  <si>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</si>
  <si>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</si>
  <si>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</si>
  <si>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</si>
  <si>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</si>
  <si>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</si>
  <si>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</si>
  <si>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</si>
  <si>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</si>
  <si>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</si>
  <si>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</si>
  <si>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</si>
  <si>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</si>
  <si>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</si>
  <si>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</si>
  <si>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</si>
  <si>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</si>
  <si>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</si>
  <si>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</si>
  <si>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</si>
  <si>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</si>
  <si>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</si>
  <si>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</si>
  <si>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</si>
  <si>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</si>
  <si>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</si>
  <si>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</si>
  <si>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</si>
  <si>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</si>
  <si>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</si>
  <si>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</si>
  <si>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</si>
  <si>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</si>
  <si>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</si>
  <si>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</si>
  <si>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</si>
  <si>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</si>
  <si>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</si>
  <si>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</si>
  <si>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</si>
  <si>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</si>
  <si>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</si>
  <si>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</si>
  <si>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</si>
  <si>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</si>
  <si>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</si>
  <si>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</si>
  <si>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</si>
  <si>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</si>
  <si>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</si>
  <si>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</si>
  <si>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</si>
  <si>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</si>
  <si>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</si>
  <si>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</si>
  <si>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</si>
  <si>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</si>
  <si>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</si>
  <si>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</si>
  <si>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</si>
  <si>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</si>
  <si>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</si>
  <si>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</si>
  <si>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</si>
  <si>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</si>
  <si>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</si>
  <si>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</si>
  <si>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</si>
  <si>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</si>
  <si>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</si>
  <si>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</si>
  <si>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</si>
  <si>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</si>
  <si>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</si>
  <si>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</si>
  <si>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</si>
  <si>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</si>
  <si>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</si>
  <si>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</si>
  <si>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</si>
  <si>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</si>
  <si>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</si>
  <si>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</si>
  <si>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</si>
  <si>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</si>
  <si>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</si>
  <si>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</si>
  <si>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</si>
  <si>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</si>
  <si>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</si>
  <si>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</si>
  <si>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</si>
  <si>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</si>
  <si>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</si>
  <si>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</si>
  <si>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</si>
  <si>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</si>
  <si>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</si>
  <si>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</si>
  <si>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</si>
  <si>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</si>
  <si>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</si>
  <si>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</si>
  <si>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</si>
  <si>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</si>
  <si>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</si>
  <si>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</si>
  <si>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</si>
  <si>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</si>
  <si>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</si>
  <si>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</si>
  <si>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</si>
  <si>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</si>
  <si>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</si>
  <si>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</si>
  <si>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</si>
  <si>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</si>
  <si>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</si>
  <si>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</si>
  <si>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</si>
  <si>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</si>
  <si>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</si>
  <si>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</si>
  <si>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</si>
  <si>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</si>
  <si>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</si>
  <si>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</si>
  <si>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</si>
  <si>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</si>
  <si>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</si>
  <si>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</si>
  <si>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</si>
  <si>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</si>
  <si>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</si>
  <si>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</si>
  <si>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</si>
  <si>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</si>
  <si>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</si>
  <si>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</si>
  <si>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</si>
  <si>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</si>
  <si>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</si>
  <si>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</si>
  <si>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</si>
  <si>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</si>
  <si>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</si>
  <si>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</si>
  <si>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</si>
  <si>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</si>
  <si>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</si>
  <si>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</si>
  <si>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</si>
  <si>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</si>
  <si>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</si>
  <si>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</si>
  <si>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</si>
  <si>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</si>
  <si>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</si>
  <si>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</si>
  <si>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</si>
  <si>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</si>
  <si>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</si>
  <si>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</si>
  <si>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</si>
  <si>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</si>
  <si>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</si>
  <si>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</si>
  <si>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</si>
  <si>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</si>
  <si>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</si>
  <si>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</si>
  <si>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</si>
  <si>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</si>
  <si>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</si>
  <si>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</si>
  <si>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</si>
  <si>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</si>
  <si>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</si>
  <si>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</si>
  <si>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</si>
  <si>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</si>
  <si>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</si>
  <si>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</si>
  <si>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</si>
  <si>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</si>
  <si>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</si>
  <si>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</si>
  <si>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</si>
  <si>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</si>
  <si>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</si>
  <si>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</si>
  <si>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</si>
  <si>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</si>
  <si>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</si>
  <si>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</si>
  <si>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</si>
  <si>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</si>
  <si>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</si>
  <si>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</si>
  <si>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</si>
  <si>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</si>
  <si>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</si>
  <si>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</si>
  <si>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</si>
  <si>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</si>
  <si>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</si>
  <si>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</si>
  <si>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</si>
  <si>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</si>
  <si>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</si>
  <si>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</si>
  <si>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</si>
  <si>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</si>
  <si>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</si>
  <si>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</si>
  <si>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</si>
  <si>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</si>
  <si>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</si>
  <si>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</si>
  <si>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</si>
  <si>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</si>
  <si>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</si>
  <si>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</si>
  <si>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</si>
  <si>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</si>
  <si>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</si>
  <si>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</si>
  <si>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</si>
  <si>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</si>
  <si>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</si>
  <si>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</si>
  <si>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</si>
  <si>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</si>
  <si>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</si>
  <si>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</si>
  <si>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</si>
  <si>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</si>
  <si>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</si>
  <si>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</si>
  <si>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</si>
  <si>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</si>
  <si>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</si>
  <si>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</si>
  <si>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</si>
  <si>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</si>
  <si>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</si>
  <si>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</si>
  <si>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</si>
  <si>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</si>
  <si>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</si>
  <si>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</si>
  <si>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</si>
  <si>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</si>
  <si>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</si>
  <si>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</si>
  <si>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</si>
  <si>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</si>
  <si>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</si>
  <si>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</si>
  <si>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</si>
  <si>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</si>
  <si>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</si>
  <si>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</si>
  <si>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</si>
  <si>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</si>
  <si>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</si>
  <si>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</si>
  <si>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</si>
  <si>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</si>
  <si>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</si>
  <si>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</si>
  <si>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</si>
  <si>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</si>
  <si>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</si>
  <si>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</si>
  <si>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</si>
  <si>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</si>
  <si>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</si>
  <si>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</si>
  <si>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</si>
  <si>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</si>
  <si>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</si>
  <si>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</si>
  <si>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</si>
  <si>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</si>
  <si>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</si>
  <si>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</si>
  <si>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</si>
  <si>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</si>
  <si>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</si>
  <si>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</si>
  <si>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</si>
  <si>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</si>
  <si>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</si>
  <si>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</si>
  <si>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</si>
  <si>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</si>
  <si>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</si>
  <si>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</si>
  <si>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</si>
  <si>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</si>
  <si>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</si>
  <si>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</si>
  <si>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</si>
  <si>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</si>
  <si>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</si>
  <si>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</si>
  <si>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</si>
  <si>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</si>
  <si>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</si>
  <si>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</si>
  <si>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</si>
  <si>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</si>
  <si>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</si>
  <si>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</si>
  <si>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</si>
  <si>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</si>
  <si>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</si>
  <si>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</si>
  <si>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</si>
  <si>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</si>
  <si>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</si>
  <si>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</si>
  <si>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</si>
  <si>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</si>
  <si>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</si>
  <si>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</si>
  <si>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</si>
  <si>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</si>
  <si>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</si>
  <si>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</si>
  <si>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</si>
  <si>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</si>
  <si>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</si>
  <si>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</si>
  <si>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</si>
  <si>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</si>
  <si>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</si>
  <si>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</si>
  <si>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</si>
  <si>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</si>
  <si>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</si>
  <si>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</si>
  <si>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</si>
  <si>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</si>
  <si>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</si>
  <si>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</si>
  <si>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</si>
  <si>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</si>
  <si>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</si>
  <si>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</si>
  <si>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</si>
  <si>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</si>
  <si>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</si>
  <si>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</si>
  <si>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</si>
  <si>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</si>
  <si>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</si>
  <si>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</si>
  <si>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</si>
  <si>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</si>
  <si>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</si>
  <si>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</si>
  <si>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</si>
  <si>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</si>
  <si>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</si>
  <si>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</si>
  <si>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</si>
  <si>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</si>
  <si>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</si>
  <si>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</si>
  <si>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</si>
  <si>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</si>
  <si>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</si>
  <si>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</si>
  <si>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</si>
  <si>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</si>
  <si>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</si>
  <si>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</si>
  <si>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</si>
  <si>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</si>
  <si>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</si>
  <si>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</si>
  <si>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</si>
  <si>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</si>
  <si>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</si>
  <si>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</si>
  <si>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</si>
  <si>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</si>
  <si>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</si>
  <si>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</si>
  <si>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</si>
  <si>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</si>
  <si>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</si>
  <si>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</si>
  <si>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</si>
  <si>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</si>
  <si>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</si>
  <si>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</si>
  <si>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</si>
  <si>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</si>
  <si>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</si>
  <si>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</si>
  <si>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</si>
  <si>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</si>
  <si>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</si>
  <si>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</si>
  <si>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</si>
  <si>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</si>
  <si>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</si>
  <si>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</si>
  <si>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</si>
  <si>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</si>
  <si>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</si>
  <si>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</si>
  <si>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</si>
  <si>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</si>
  <si>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</si>
  <si>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</si>
  <si>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</si>
  <si>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</si>
  <si>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</si>
  <si>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</si>
  <si>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</si>
  <si>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</si>
  <si>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</si>
  <si>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</si>
  <si>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</si>
  <si>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</si>
  <si>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</si>
  <si>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</si>
  <si>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</si>
  <si>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</si>
  <si>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</si>
  <si>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</si>
  <si>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</si>
  <si>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</si>
  <si>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</si>
  <si>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</si>
  <si>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</si>
  <si>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</si>
  <si>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</si>
  <si>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</si>
  <si>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</si>
  <si>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</si>
  <si>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</si>
  <si>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</si>
  <si>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</si>
  <si>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</si>
  <si>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</si>
  <si>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</si>
  <si>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</si>
  <si>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</si>
  <si>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</si>
  <si>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</si>
  <si>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</si>
  <si>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</si>
  <si>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</si>
  <si>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</si>
  <si>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</si>
  <si>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</si>
  <si>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</si>
  <si>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</si>
  <si>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</si>
  <si>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</si>
  <si>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</si>
  <si>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</si>
  <si>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</si>
  <si>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</si>
  <si>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</si>
  <si>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</si>
  <si>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</si>
  <si>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</si>
  <si>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</si>
  <si>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</si>
  <si>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</si>
  <si>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</si>
  <si>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</si>
  <si>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</si>
  <si>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</si>
  <si>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</si>
  <si>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</si>
  <si>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</si>
  <si>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</si>
  <si>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</si>
  <si>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</si>
  <si>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</si>
  <si>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</si>
  <si>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</si>
  <si>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</si>
  <si>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</si>
  <si>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</si>
  <si>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</si>
  <si>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</si>
  <si>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</si>
  <si>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</si>
  <si>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</si>
  <si>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</si>
  <si>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</si>
  <si>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</si>
  <si>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</si>
  <si>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</si>
  <si>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</si>
  <si>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</si>
  <si>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</si>
  <si>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</si>
  <si>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</si>
  <si>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</si>
  <si>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</si>
  <si>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</si>
  <si>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</si>
  <si>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</si>
  <si>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</si>
  <si>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</si>
  <si>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</si>
  <si>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</si>
  <si>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</si>
  <si>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</si>
  <si>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</si>
  <si>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</si>
  <si>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</si>
  <si>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</si>
  <si>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</si>
  <si>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</si>
  <si>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</si>
  <si>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</si>
  <si>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</si>
  <si>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</si>
  <si>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</si>
  <si>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</si>
  <si>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</si>
  <si>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</si>
  <si>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</si>
  <si>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</si>
  <si>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</si>
  <si>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</si>
  <si>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</si>
  <si>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</si>
  <si>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</si>
  <si>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</si>
  <si>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</si>
  <si>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</si>
  <si>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</si>
  <si>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</si>
  <si>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</si>
  <si>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</si>
  <si>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</si>
  <si>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</si>
  <si>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</si>
  <si>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</si>
  <si>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</si>
  <si>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</si>
  <si>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</si>
  <si>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</si>
  <si>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</si>
  <si>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</si>
  <si>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</si>
  <si>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</si>
  <si>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</si>
  <si>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</si>
  <si>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</si>
  <si>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</si>
  <si>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</si>
  <si>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</si>
  <si>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</si>
  <si>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</si>
  <si>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</si>
  <si>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</si>
  <si>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</si>
  <si>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</si>
  <si>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</si>
  <si>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</si>
  <si>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</si>
  <si>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</si>
  <si>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</si>
  <si>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</si>
  <si>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</si>
  <si>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</si>
  <si>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</si>
  <si>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</si>
  <si>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</si>
  <si>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</si>
  <si>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</si>
  <si>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</si>
  <si>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</si>
  <si>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</si>
  <si>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</si>
  <si>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</si>
  <si>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</si>
  <si>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</si>
  <si>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</si>
  <si>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</si>
  <si>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</si>
  <si>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</si>
  <si>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</si>
  <si>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</si>
  <si>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</si>
  <si>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</si>
  <si>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</si>
  <si>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</si>
  <si>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</si>
  <si>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</si>
  <si>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</si>
  <si>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</si>
  <si>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</si>
  <si>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</si>
  <si>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</si>
  <si>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</si>
  <si>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</si>
  <si>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</si>
  <si>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</si>
  <si>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</si>
  <si>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</si>
  <si>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</si>
  <si>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</si>
  <si>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</si>
  <si>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</si>
  <si>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</si>
  <si>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</si>
  <si>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</si>
  <si>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</si>
  <si>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</si>
  <si>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</si>
  <si>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</si>
  <si>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</si>
  <si>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</si>
  <si>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</si>
  <si>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</si>
  <si>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</si>
  <si>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</si>
  <si>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</si>
  <si>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</si>
  <si>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</si>
  <si>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</si>
  <si>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</si>
  <si>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</si>
  <si>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</si>
  <si>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</si>
  <si>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</si>
  <si>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</si>
  <si>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</si>
  <si>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</si>
  <si>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</si>
  <si>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</si>
  <si>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</si>
  <si>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</si>
  <si>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</si>
  <si>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</si>
  <si>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</si>
  <si>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</si>
  <si>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</si>
  <si>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</si>
  <si>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</si>
  <si>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</si>
  <si>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</si>
  <si>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</si>
  <si>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</si>
  <si>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</si>
  <si>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</si>
  <si>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</si>
  <si>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</si>
  <si>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</si>
  <si>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</si>
  <si>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</si>
  <si>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</si>
  <si>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</si>
  <si>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</si>
  <si>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</si>
  <si>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</si>
  <si>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</si>
  <si>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</si>
  <si>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</si>
  <si>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</si>
  <si>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</si>
  <si>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</si>
  <si>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</si>
  <si>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</si>
  <si>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</si>
  <si>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</si>
  <si>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</si>
  <si>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</si>
  <si>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</si>
  <si>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</si>
  <si>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</si>
  <si>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</si>
  <si>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</si>
  <si>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</si>
  <si>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</si>
  <si>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</si>
  <si>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</si>
  <si>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</si>
  <si>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</si>
  <si>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</si>
  <si>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</si>
  <si>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</si>
  <si>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</si>
  <si>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</si>
  <si>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</si>
  <si>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</si>
  <si>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</si>
  <si>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</si>
  <si>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</si>
  <si>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</si>
  <si>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</si>
  <si>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</si>
  <si>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</si>
  <si>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</si>
  <si>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</si>
  <si>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</si>
  <si>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</si>
  <si>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</si>
  <si>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</si>
  <si>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</si>
  <si>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</si>
  <si>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</si>
  <si>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</si>
  <si>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</si>
  <si>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</si>
  <si>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</si>
  <si>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</si>
  <si>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</si>
  <si>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</si>
  <si>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</si>
  <si>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</si>
  <si>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</si>
  <si>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</si>
  <si>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</si>
  <si>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</si>
  <si>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</si>
  <si>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</si>
  <si>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</si>
  <si>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</si>
  <si>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</si>
  <si>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</si>
  <si>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</si>
  <si>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</si>
  <si>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</si>
  <si>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</si>
  <si>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</si>
  <si>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</si>
  <si>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</si>
  <si>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</si>
  <si>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</si>
  <si>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</si>
  <si>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</si>
  <si>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</si>
  <si>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</si>
  <si>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</si>
  <si>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</si>
  <si>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VERMILION</t>
  </si>
  <si>
    <t>17268 E 2750 NORTH RD</t>
  </si>
  <si>
    <t>BISMARCK</t>
  </si>
  <si>
    <t>Scott Watson</t>
  </si>
  <si>
    <t>watsons@bismarck.k12.il.us</t>
  </si>
  <si>
    <t>217-759-7291</t>
  </si>
  <si>
    <t>RUSSELL LEIGH &amp; ASSOCIATES LLC</t>
  </si>
  <si>
    <t>RUSS LEIGH</t>
  </si>
  <si>
    <t>228 E MAIN ST</t>
  </si>
  <si>
    <t>HOOPESTON</t>
  </si>
  <si>
    <t>IL</t>
  </si>
  <si>
    <t>217-283-9336</t>
  </si>
  <si>
    <t>217-283-9736</t>
  </si>
  <si>
    <t>065.018319</t>
  </si>
  <si>
    <t>admin@russleigh.com</t>
  </si>
  <si>
    <t>Russell Leigh &amp; Associates LLC</t>
  </si>
  <si>
    <t>No applicable contracts paid in current year.</t>
  </si>
  <si>
    <t>Vermilion Association for Special Education</t>
  </si>
  <si>
    <t>Page 2 - Auditor's Questionnaire</t>
  </si>
  <si>
    <t>#20 - Other Findings</t>
  </si>
  <si>
    <t>Activity funds contain expenditures that don't directly benefit students.</t>
  </si>
  <si>
    <t>Withholdings are not reconciled during the year.</t>
  </si>
  <si>
    <t>Page 10 - Acct #1999 - Other Local Revenue</t>
  </si>
  <si>
    <t>Col 10 - Educational</t>
  </si>
  <si>
    <t>Refunds &amp; Reimbursements - $36,437</t>
  </si>
  <si>
    <t>AUDITCHECK Tab #15 Contracts Paid Error</t>
  </si>
  <si>
    <t xml:space="preserve">  Bismarck Henning Rossville Alvin Coop 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</si>
</sst>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c r="C5" s="26" t="s">
        <v>904</v>
      </c>
      <c r="D5" s="81"/>
      <c r="E5" s="81"/>
      <c r="H5" s="38"/>
      <c r="I5" s="2091" t="s">
        <v>675</v>
      </c>
      <c r="J5" s="2090"/>
      <c r="K5" s="2090"/>
      <c r="L5" s="2090"/>
      <c r="M5" s="2090"/>
      <c r="N5" s="2090"/>
      <c r="O5" s="2090"/>
      <c r="P5" s="2090"/>
      <c r="Q5" s="2090"/>
      <c r="R5" s="2090"/>
      <c r="S5" s="2090"/>
      <c r="AF5" s="1827"/>
    </row>
    <row r="6" spans="1:32" ht="14.1" customHeight="1" x14ac:dyDescent="0.2">
      <c r="B6" s="101" t="s">
        <v>2051</v>
      </c>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40" t="s">
        <v>530</v>
      </c>
      <c r="U9" s="2141"/>
      <c r="V9" s="2141"/>
      <c r="W9" s="2141"/>
      <c r="X9" s="2141"/>
      <c r="Y9" s="2141"/>
      <c r="Z9" s="2141"/>
      <c r="AA9" s="2142"/>
    </row>
    <row r="10" spans="1:32" ht="13.5" customHeight="1" x14ac:dyDescent="0.2">
      <c r="A10" s="2147" t="s">
        <v>670</v>
      </c>
      <c r="B10" s="2148"/>
      <c r="C10" s="2148"/>
      <c r="D10" s="2148"/>
      <c r="E10" s="2148"/>
      <c r="F10" s="2148"/>
      <c r="G10" s="2148"/>
      <c r="H10" s="2149"/>
      <c r="I10" s="29"/>
      <c r="J10" s="30"/>
      <c r="K10" s="28"/>
      <c r="R10" s="30"/>
      <c r="S10" s="30"/>
      <c r="T10" s="2143"/>
      <c r="U10" s="2090"/>
      <c r="V10" s="2090"/>
      <c r="W10" s="2090"/>
      <c r="X10" s="2090"/>
      <c r="Y10" s="2090"/>
      <c r="Z10" s="2090"/>
      <c r="AA10" s="2096"/>
    </row>
    <row r="11" spans="1:32" ht="14.25" customHeight="1" x14ac:dyDescent="0.2">
      <c r="A11" s="2150" t="s">
        <v>949</v>
      </c>
      <c r="B11" s="2151"/>
      <c r="C11" s="2151"/>
      <c r="D11" s="2151"/>
      <c r="E11" s="2151"/>
      <c r="F11" s="2151"/>
      <c r="G11" s="2151"/>
      <c r="H11" s="2152"/>
      <c r="I11" s="27"/>
      <c r="J11" s="71"/>
      <c r="K11" s="27"/>
      <c r="O11" s="144" t="s">
        <v>2051</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54092800080</v>
      </c>
      <c r="B13" s="2103"/>
      <c r="C13" s="2103"/>
      <c r="D13" s="2103"/>
      <c r="E13" s="2103"/>
      <c r="F13" s="2103"/>
      <c r="G13" s="2103"/>
      <c r="H13" s="2104"/>
      <c r="I13" s="31"/>
      <c r="J13" s="30"/>
      <c r="K13" s="28"/>
      <c r="L13" s="30"/>
      <c r="M13" s="30"/>
      <c r="N13" s="30"/>
      <c r="O13" s="30"/>
      <c r="P13" s="30"/>
      <c r="Q13" s="30"/>
      <c r="R13" s="30"/>
      <c r="S13" s="30"/>
      <c r="T13" s="2108" t="s">
        <v>2058</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2052</v>
      </c>
      <c r="B15" s="2106"/>
      <c r="C15" s="2106"/>
      <c r="D15" s="2106"/>
      <c r="E15" s="2106"/>
      <c r="F15" s="2106"/>
      <c r="G15" s="2106"/>
      <c r="H15" s="2107"/>
      <c r="T15" s="2112" t="s">
        <v>2059</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2078</v>
      </c>
      <c r="B17" s="2076"/>
      <c r="C17" s="2076"/>
      <c r="D17" s="2076"/>
      <c r="E17" s="2076"/>
      <c r="F17" s="2076"/>
      <c r="G17" s="2076"/>
      <c r="H17" s="2101"/>
      <c r="T17" s="2119" t="s">
        <v>2060</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2053</v>
      </c>
      <c r="B19" s="2061"/>
      <c r="C19" s="2061"/>
      <c r="D19" s="2061"/>
      <c r="E19" s="2061"/>
      <c r="F19" s="2061"/>
      <c r="G19" s="2061"/>
      <c r="H19" s="2041"/>
      <c r="I19" s="30"/>
      <c r="J19" s="96"/>
      <c r="K19" s="40"/>
      <c r="L19" s="38"/>
      <c r="M19" s="109" t="s">
        <v>312</v>
      </c>
      <c r="P19" s="27"/>
      <c r="Q19" s="27"/>
      <c r="R19" s="27"/>
      <c r="S19" s="31"/>
      <c r="T19" s="2105" t="s">
        <v>2061</v>
      </c>
      <c r="U19" s="2040"/>
      <c r="V19" s="2040"/>
      <c r="W19" s="2041"/>
      <c r="X19" s="2117" t="s">
        <v>2062</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2054</v>
      </c>
      <c r="B21" s="2040"/>
      <c r="C21" s="2040"/>
      <c r="D21" s="2040"/>
      <c r="E21" s="2040"/>
      <c r="F21" s="2040"/>
      <c r="G21" s="2040"/>
      <c r="H21" s="2041"/>
      <c r="I21" s="2095" t="s">
        <v>673</v>
      </c>
      <c r="J21" s="2090"/>
      <c r="K21" s="2090"/>
      <c r="L21" s="2090"/>
      <c r="M21" s="2090"/>
      <c r="N21" s="2090"/>
      <c r="O21" s="2090"/>
      <c r="P21" s="2090"/>
      <c r="Q21" s="2090"/>
      <c r="R21" s="2090"/>
      <c r="S21" s="2096"/>
      <c r="T21" s="2131" t="s">
        <v>2063</v>
      </c>
      <c r="U21" s="2132"/>
      <c r="V21" s="2132"/>
      <c r="W21" s="2132"/>
      <c r="X21" s="2137" t="s">
        <v>2064</v>
      </c>
      <c r="Y21" s="2138"/>
      <c r="Z21" s="2138"/>
      <c r="AA21" s="2139"/>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129" t="s">
        <v>2065</v>
      </c>
      <c r="U23" s="2130"/>
      <c r="V23" s="2130"/>
      <c r="W23" s="2130"/>
      <c r="X23" s="2134">
        <v>44469</v>
      </c>
      <c r="Y23" s="2135"/>
      <c r="Z23" s="2135"/>
      <c r="AA23" s="2136"/>
    </row>
    <row r="24" spans="1:27" ht="14.1" customHeight="1" x14ac:dyDescent="0.2">
      <c r="A24" s="85" t="s">
        <v>672</v>
      </c>
      <c r="B24" s="46"/>
      <c r="C24" s="46"/>
      <c r="D24" s="46"/>
      <c r="E24" s="46"/>
      <c r="F24" s="46"/>
      <c r="G24" s="46"/>
      <c r="H24" s="58"/>
      <c r="J24" s="2062" t="str">
        <f>IF(B5="x",IF(AUDITCHECK!D29="AFR form Incomplete.","",IF(AUDITCHECK!D29="Deficit reduction plan is required.","School District must complete a deficit reduction plan in the 2020-2021 Budget",)),"")</f>
        <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61814</v>
      </c>
      <c r="B25" s="2040"/>
      <c r="C25" s="2040"/>
      <c r="D25" s="2040"/>
      <c r="E25" s="2040"/>
      <c r="F25" s="2040"/>
      <c r="G25" s="2040"/>
      <c r="H25" s="2041"/>
      <c r="I25" s="110"/>
      <c r="J25" s="2064"/>
      <c r="K25" s="2064"/>
      <c r="L25" s="2064"/>
      <c r="M25" s="2064"/>
      <c r="N25" s="2064"/>
      <c r="O25" s="2064"/>
      <c r="P25" s="2064"/>
      <c r="Q25" s="2064"/>
      <c r="R25" s="2064"/>
      <c r="S25" s="2065"/>
      <c r="T25" s="2126" t="s">
        <v>2066</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2055</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2056</v>
      </c>
      <c r="B40" s="2054"/>
      <c r="C40" s="2055"/>
      <c r="D40" s="2055"/>
      <c r="E40" s="2055"/>
      <c r="F40" s="2056"/>
      <c r="G40" s="2056"/>
      <c r="H40" s="2057"/>
      <c r="I40" s="2078"/>
      <c r="J40" s="2079"/>
      <c r="K40" s="2079"/>
      <c r="L40" s="2079"/>
      <c r="M40" s="2079"/>
      <c r="N40" s="2079"/>
      <c r="O40" s="2079"/>
      <c r="P40" s="2079"/>
      <c r="Q40" s="2079"/>
      <c r="R40" s="2079"/>
      <c r="S40" s="2080"/>
      <c r="T40" s="2078"/>
      <c r="U40" s="2133"/>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2057</v>
      </c>
      <c r="B42" s="2059"/>
      <c r="C42" s="2060"/>
      <c r="D42" s="2058"/>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625</v>
      </c>
      <c r="B1" s="2311"/>
      <c r="C1" s="585"/>
    </row>
    <row r="2" spans="1:7" ht="33.75" x14ac:dyDescent="0.2">
      <c r="A2" s="2318" t="s">
        <v>1779</v>
      </c>
      <c r="B2" s="23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1104</v>
      </c>
      <c r="B3" s="2321"/>
      <c r="C3" s="2314"/>
      <c r="D3" s="2315"/>
      <c r="E3" s="2315"/>
      <c r="F3" s="2316"/>
    </row>
    <row r="4" spans="1:7" ht="12.75" customHeight="1" thickBot="1" x14ac:dyDescent="0.25">
      <c r="A4" s="2308" t="s">
        <v>626</v>
      </c>
      <c r="B4" s="2309"/>
      <c r="C4" s="1656"/>
      <c r="D4" s="1656"/>
      <c r="E4" s="1656"/>
      <c r="F4" s="1732">
        <f>SUM(C4+D4)-E4</f>
        <v>0</v>
      </c>
    </row>
    <row r="5" spans="1:7" ht="15.75" customHeight="1" thickTop="1" x14ac:dyDescent="0.2">
      <c r="A5" s="2312" t="s">
        <v>1101</v>
      </c>
      <c r="B5" s="2307"/>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7" t="s">
        <v>1102</v>
      </c>
      <c r="B16" s="2307"/>
      <c r="C16" s="2301"/>
      <c r="D16" s="2302"/>
      <c r="E16" s="2302"/>
      <c r="F16" s="2303"/>
    </row>
    <row r="17" spans="1:11" ht="12.75" customHeight="1" thickBot="1" x14ac:dyDescent="0.25">
      <c r="A17" s="2299" t="s">
        <v>64</v>
      </c>
      <c r="B17" s="2300"/>
      <c r="C17" s="1733"/>
      <c r="D17" s="1664"/>
      <c r="E17" s="1733"/>
      <c r="F17" s="1732">
        <f>SUM(C17+D17)-E17</f>
        <v>0</v>
      </c>
    </row>
    <row r="18" spans="1:11" ht="12.75" customHeight="1" thickTop="1" thickBot="1" x14ac:dyDescent="0.25">
      <c r="A18" s="2299" t="s">
        <v>6</v>
      </c>
      <c r="B18" s="2300"/>
      <c r="C18" s="1733"/>
      <c r="D18" s="1664"/>
      <c r="E18" s="1733"/>
      <c r="F18" s="1732">
        <f>SUM(C18+D18)-E18</f>
        <v>0</v>
      </c>
    </row>
    <row r="19" spans="1:11" ht="12.75" customHeight="1" thickTop="1" thickBot="1" x14ac:dyDescent="0.25">
      <c r="A19" s="2299" t="s">
        <v>385</v>
      </c>
      <c r="B19" s="2300"/>
      <c r="C19" s="1733"/>
      <c r="D19" s="1664"/>
      <c r="E19" s="1733"/>
      <c r="F19" s="1732">
        <f>SUM(C19+D19)-E19</f>
        <v>0</v>
      </c>
    </row>
    <row r="20" spans="1:11" ht="12.75" customHeight="1" thickTop="1" thickBot="1" x14ac:dyDescent="0.25">
      <c r="A20" s="2299" t="s">
        <v>445</v>
      </c>
      <c r="B20" s="2300"/>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06" t="s">
        <v>1103</v>
      </c>
      <c r="B22" s="2307"/>
      <c r="C22" s="2301"/>
      <c r="D22" s="2302"/>
      <c r="E22" s="2302"/>
      <c r="F22" s="2303"/>
    </row>
    <row r="23" spans="1:11" ht="13.5" thickBot="1" x14ac:dyDescent="0.25">
      <c r="A23" s="2308" t="s">
        <v>629</v>
      </c>
      <c r="B23" s="2309"/>
      <c r="C23" s="1656"/>
      <c r="D23" s="1656"/>
      <c r="E23" s="1656"/>
      <c r="F23" s="1732">
        <f>SUM(C23+D23)-E23</f>
        <v>0</v>
      </c>
      <c r="G23" s="473"/>
    </row>
    <row r="24" spans="1:11" ht="15.75" customHeight="1" thickTop="1" x14ac:dyDescent="0.2">
      <c r="A24" s="2306" t="s">
        <v>2006</v>
      </c>
      <c r="B24" s="2307"/>
      <c r="C24" s="2301"/>
      <c r="D24" s="2302"/>
      <c r="E24" s="2302"/>
      <c r="F24" s="2303"/>
    </row>
    <row r="25" spans="1:11" ht="13.5" thickBot="1" x14ac:dyDescent="0.25">
      <c r="A25" s="2308" t="s">
        <v>2007</v>
      </c>
      <c r="B25" s="2309"/>
      <c r="C25" s="1656"/>
      <c r="D25" s="1656"/>
      <c r="E25" s="1656"/>
      <c r="F25" s="1732">
        <f>SUM(C25+D25)-E25</f>
        <v>0</v>
      </c>
      <c r="G25" s="473"/>
    </row>
    <row r="26" spans="1:11" ht="15.75" customHeight="1" thickTop="1" x14ac:dyDescent="0.2">
      <c r="A26" s="2312" t="s">
        <v>652</v>
      </c>
      <c r="B26" s="2307"/>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10" t="s">
        <v>578</v>
      </c>
      <c r="B29" s="231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41" t="s">
        <v>1658</v>
      </c>
      <c r="B2" s="2342"/>
      <c r="C2" s="2342"/>
      <c r="D2" s="2342"/>
      <c r="E2" s="2343"/>
      <c r="F2" s="615" t="s">
        <v>898</v>
      </c>
      <c r="G2" s="616" t="s">
        <v>1655</v>
      </c>
      <c r="H2" s="616" t="s">
        <v>407</v>
      </c>
      <c r="I2" s="616" t="s">
        <v>1148</v>
      </c>
      <c r="J2" s="616" t="s">
        <v>1789</v>
      </c>
      <c r="K2" s="616" t="s">
        <v>137</v>
      </c>
    </row>
    <row r="3" spans="1:11" x14ac:dyDescent="0.2">
      <c r="A3" s="2344" t="str">
        <f>"Cash Basis Fund Balance as of July 1, "&amp;'AFR20'!E2-1</f>
        <v>Cash Basis Fund Balance as of July 1, 2019</v>
      </c>
      <c r="B3" s="2345"/>
      <c r="C3" s="2345"/>
      <c r="D3" s="2345"/>
      <c r="E3" s="2346"/>
      <c r="F3" s="617"/>
      <c r="G3" s="1744"/>
      <c r="H3" s="1744"/>
      <c r="I3" s="1744"/>
      <c r="J3" s="1745"/>
      <c r="K3" s="1745"/>
    </row>
    <row r="4" spans="1:11" x14ac:dyDescent="0.2">
      <c r="A4" s="2347" t="s">
        <v>366</v>
      </c>
      <c r="B4" s="2348"/>
      <c r="C4" s="2348"/>
      <c r="D4" s="2348"/>
      <c r="E4" s="2294"/>
      <c r="F4" s="620"/>
      <c r="G4" s="1746"/>
      <c r="H4" s="1747"/>
      <c r="I4" s="1746"/>
      <c r="J4" s="1748"/>
      <c r="K4" s="1748"/>
    </row>
    <row r="5" spans="1:11" x14ac:dyDescent="0.2">
      <c r="A5" s="2325" t="s">
        <v>1060</v>
      </c>
      <c r="B5" s="2326"/>
      <c r="C5" s="2326"/>
      <c r="D5" s="2326"/>
      <c r="E5" s="2327"/>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5" t="s">
        <v>1790</v>
      </c>
      <c r="B10" s="2326"/>
      <c r="C10" s="2326"/>
      <c r="D10" s="2326"/>
      <c r="E10" s="2328"/>
      <c r="F10" s="633" t="s">
        <v>857</v>
      </c>
      <c r="G10" s="1753"/>
      <c r="H10" s="1754"/>
      <c r="I10" s="1744"/>
      <c r="J10" s="1745"/>
      <c r="K10" s="1745"/>
    </row>
    <row r="11" spans="1:11" x14ac:dyDescent="0.2">
      <c r="A11" s="2325" t="s">
        <v>159</v>
      </c>
      <c r="B11" s="2326"/>
      <c r="C11" s="2326"/>
      <c r="D11" s="2326"/>
      <c r="E11" s="2327"/>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0</v>
      </c>
      <c r="I12" s="1755">
        <f>SUM(I5:I11)</f>
        <v>0</v>
      </c>
      <c r="J12" s="1755">
        <f>SUM(J5:J11)</f>
        <v>0</v>
      </c>
      <c r="K12" s="1755">
        <f>SUM(K5:K11)</f>
        <v>0</v>
      </c>
    </row>
    <row r="13" spans="1:11" ht="13.5" thickTop="1" x14ac:dyDescent="0.2">
      <c r="A13" s="2349" t="s">
        <v>367</v>
      </c>
      <c r="B13" s="2350"/>
      <c r="C13" s="2350"/>
      <c r="D13" s="2350"/>
      <c r="E13" s="2351"/>
      <c r="F13" s="634"/>
      <c r="G13" s="1756"/>
      <c r="H13" s="1757"/>
      <c r="I13" s="1758"/>
      <c r="J13" s="1758"/>
      <c r="K13" s="1758"/>
    </row>
    <row r="14" spans="1:11" x14ac:dyDescent="0.2">
      <c r="A14" s="2332" t="s">
        <v>453</v>
      </c>
      <c r="B14" s="2332"/>
      <c r="C14" s="2332"/>
      <c r="D14" s="2332"/>
      <c r="E14" s="2333"/>
      <c r="F14" s="635" t="s">
        <v>849</v>
      </c>
      <c r="G14" s="1753"/>
      <c r="H14" s="1744"/>
      <c r="I14" s="1749"/>
      <c r="J14" s="1751"/>
      <c r="K14" s="1745"/>
    </row>
    <row r="15" spans="1:11" x14ac:dyDescent="0.2">
      <c r="A15" s="2326" t="s">
        <v>4</v>
      </c>
      <c r="B15" s="2326"/>
      <c r="C15" s="2326"/>
      <c r="D15" s="2326"/>
      <c r="E15" s="2327"/>
      <c r="F15" s="635" t="s">
        <v>850</v>
      </c>
      <c r="G15" s="1749"/>
      <c r="H15" s="1744"/>
      <c r="I15" s="1744"/>
      <c r="J15" s="1745"/>
      <c r="K15" s="1745"/>
    </row>
    <row r="16" spans="1:11" x14ac:dyDescent="0.2">
      <c r="A16" s="2326" t="s">
        <v>295</v>
      </c>
      <c r="B16" s="2326"/>
      <c r="C16" s="2326"/>
      <c r="D16" s="2326"/>
      <c r="E16" s="2327"/>
      <c r="F16" s="635" t="s">
        <v>917</v>
      </c>
      <c r="G16" s="1750"/>
      <c r="H16" s="1746"/>
      <c r="I16" s="1746"/>
      <c r="J16" s="1748"/>
      <c r="K16" s="1748"/>
    </row>
    <row r="17" spans="1:15" x14ac:dyDescent="0.2">
      <c r="A17" s="2359" t="s">
        <v>929</v>
      </c>
      <c r="B17" s="2359"/>
      <c r="C17" s="2359"/>
      <c r="D17" s="2359"/>
      <c r="E17" s="2360"/>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34" t="s">
        <v>1786</v>
      </c>
      <c r="B19" s="2334"/>
      <c r="C19" s="2334"/>
      <c r="D19" s="2334"/>
      <c r="E19" s="2335"/>
      <c r="F19" s="635" t="s">
        <v>927</v>
      </c>
      <c r="G19" s="1753"/>
      <c r="H19" s="1753"/>
      <c r="I19" s="1753"/>
      <c r="J19" s="1745"/>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0</v>
      </c>
      <c r="K21" s="1761"/>
    </row>
    <row r="22" spans="1:15" ht="13.5" thickTop="1" x14ac:dyDescent="0.2">
      <c r="A22" s="2326" t="s">
        <v>1792</v>
      </c>
      <c r="B22" s="2326"/>
      <c r="C22" s="2326"/>
      <c r="D22" s="2326"/>
      <c r="E22" s="2327"/>
      <c r="F22" s="635" t="s">
        <v>857</v>
      </c>
      <c r="G22" s="1753"/>
      <c r="H22" s="1744"/>
      <c r="I22" s="1744"/>
      <c r="J22" s="1766"/>
      <c r="K22" s="1745"/>
    </row>
    <row r="23" spans="1:15" ht="13.5" thickBot="1" x14ac:dyDescent="0.25">
      <c r="A23" s="2356" t="s">
        <v>900</v>
      </c>
      <c r="B23" s="2355"/>
      <c r="C23" s="2355"/>
      <c r="D23" s="2355"/>
      <c r="E23" s="2355"/>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1159</v>
      </c>
      <c r="B33" s="341"/>
      <c r="C33" s="341"/>
      <c r="D33" s="341"/>
      <c r="E33" s="341"/>
      <c r="F33" s="341"/>
      <c r="G33" s="653"/>
      <c r="H33" s="2331"/>
      <c r="I33" s="2330"/>
      <c r="J33" s="2330"/>
      <c r="K33" s="233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v>34519</v>
      </c>
      <c r="E10" s="1772"/>
      <c r="F10" s="1773">
        <f>(C10+D10)-E10</f>
        <v>34519</v>
      </c>
      <c r="G10" s="681">
        <v>20</v>
      </c>
      <c r="H10" s="683"/>
      <c r="I10" s="683">
        <v>1726</v>
      </c>
      <c r="J10" s="683"/>
      <c r="K10" s="1442">
        <f>(H10+I10)-J10</f>
        <v>1726</v>
      </c>
      <c r="L10" s="1442">
        <f>F10-K10</f>
        <v>32793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33923</v>
      </c>
      <c r="D12" s="1771">
        <v>34489</v>
      </c>
      <c r="E12" s="1771"/>
      <c r="F12" s="1765">
        <f>(C12+D12)-E12</f>
        <v>68412</v>
      </c>
      <c r="G12" s="681">
        <v>10</v>
      </c>
      <c r="H12" s="619">
        <v>4850</v>
      </c>
      <c r="I12" s="619">
        <v>6841</v>
      </c>
      <c r="J12" s="619"/>
      <c r="K12" s="1442">
        <f>(H12+I12)-J12</f>
        <v>11691</v>
      </c>
      <c r="L12" s="1442">
        <f>F12-K12</f>
        <v>56721</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33923</v>
      </c>
      <c r="D16" s="1765">
        <f>SUM(D3,D5:D6,D8:D10,D12:D15)</f>
        <v>69008</v>
      </c>
      <c r="E16" s="1765">
        <f>SUM(E3,E5:E6,E8:E10,E12:E15)</f>
        <v>0</v>
      </c>
      <c r="F16" s="1765">
        <f>SUM(F3,F5:F6,F8:F10,F12:F15)</f>
        <v>102931</v>
      </c>
      <c r="G16" s="681"/>
      <c r="H16" s="1435">
        <f>SUM(H3,H6,H8:H10,H12:H14,)</f>
        <v>4850</v>
      </c>
      <c r="I16" s="1435">
        <f>SUM(I3,I6,I8:I10,I12:I14,)</f>
        <v>8567</v>
      </c>
      <c r="J16" s="1435">
        <f>SUM(J3,J6,J8:J10,J12:J14,)</f>
        <v>0</v>
      </c>
      <c r="K16" s="1435">
        <f>(H16+I16)-J16</f>
        <v>13417</v>
      </c>
      <c r="L16" s="1435">
        <f>F16-K16</f>
        <v>89514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260265</v>
      </c>
      <c r="G17" s="676">
        <v>10</v>
      </c>
      <c r="H17" s="621"/>
      <c r="I17" s="1442">
        <f>F17/G17</f>
        <v>26026.5</v>
      </c>
      <c r="J17" s="621"/>
      <c r="K17" s="638"/>
      <c r="L17" s="638"/>
    </row>
    <row r="18" spans="1:12" ht="14.25" thickTop="1" thickBot="1" x14ac:dyDescent="0.25">
      <c r="A18" s="1440" t="s">
        <v>680</v>
      </c>
      <c r="B18" s="1441"/>
      <c r="C18" s="623"/>
      <c r="D18" s="623"/>
      <c r="E18" s="623"/>
      <c r="F18" s="686"/>
      <c r="G18" s="687"/>
      <c r="H18" s="624"/>
      <c r="I18" s="1435">
        <f>SUM(I16,I17)</f>
        <v>34593.5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3199064</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3199064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302379</v>
      </c>
      <c r="G53" s="701"/>
    </row>
    <row r="54" spans="1:7" x14ac:dyDescent="0.2">
      <c r="A54" s="705" t="s">
        <v>456</v>
      </c>
      <c r="B54" s="705" t="s">
        <v>1459</v>
      </c>
      <c r="C54" s="724" t="s">
        <v>975</v>
      </c>
      <c r="D54" s="720" t="s">
        <v>1086</v>
      </c>
      <c r="E54" s="704"/>
      <c r="F54" s="1782">
        <f>'Expenditures 15-22'!G114</f>
        <v>69008</v>
      </c>
      <c r="G54" s="701"/>
    </row>
    <row r="55" spans="1:7" x14ac:dyDescent="0.2">
      <c r="A55" s="705" t="s">
        <v>456</v>
      </c>
      <c r="B55" s="705" t="s">
        <v>1460</v>
      </c>
      <c r="C55" s="724" t="s">
        <v>975</v>
      </c>
      <c r="D55" s="720" t="s">
        <v>288</v>
      </c>
      <c r="E55" s="704"/>
      <c r="F55" s="1782">
        <f>'Expenditures 15-22'!I114</f>
        <v>260265</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631652</v>
      </c>
      <c r="G77" s="701"/>
    </row>
    <row r="78" spans="1:9" s="728" customFormat="1" ht="12" customHeight="1" thickTop="1" thickBot="1" x14ac:dyDescent="0.25">
      <c r="A78" s="1450"/>
      <c r="B78" s="1448"/>
      <c r="C78" s="1445"/>
      <c r="D78" s="1449" t="s">
        <v>2012</v>
      </c>
      <c r="E78" s="1447"/>
      <c r="F78" s="1788">
        <f>(F14-F77)</f>
        <v>2567412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36837</v>
      </c>
      <c r="G96" s="745"/>
    </row>
    <row r="97" spans="1:7" x14ac:dyDescent="0.2">
      <c r="A97" s="741" t="s">
        <v>456</v>
      </c>
      <c r="B97" s="741" t="s">
        <v>175</v>
      </c>
      <c r="C97" s="743">
        <f>'Revenues 9-14'!B84</f>
        <v>1811</v>
      </c>
      <c r="D97" s="744" t="str">
        <f>'Revenues 9-14'!A84</f>
        <v>Rentals - Regular Textbooks</v>
      </c>
      <c r="E97" s="739"/>
      <c r="F97" s="1793">
        <f>'Revenues 9-14'!C84</f>
        <v>15065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51902</v>
      </c>
    </row>
    <row r="176" spans="1:7" ht="12" customHeight="1" x14ac:dyDescent="0.2">
      <c r="A176" s="1443"/>
      <c r="B176" s="1453"/>
      <c r="C176" s="1454"/>
      <c r="D176" s="1455" t="s">
        <v>2014</v>
      </c>
      <c r="E176" s="1456"/>
      <c r="F176" s="1793">
        <f>'PCTC-OEPP 27-28'!F78-F175</f>
        <v>2515510</v>
      </c>
    </row>
    <row r="177" spans="1:9" ht="12" customHeight="1" x14ac:dyDescent="0.2">
      <c r="A177" s="1443"/>
      <c r="B177" s="1453"/>
      <c r="C177" s="1454"/>
      <c r="D177" s="1455" t="s">
        <v>1794</v>
      </c>
      <c r="E177" s="1456"/>
      <c r="F177" s="1793">
        <f>'Cap Outlay Deprec 26'!I18</f>
        <v>34593.5</v>
      </c>
    </row>
    <row r="178" spans="1:9" ht="12" customHeight="1" x14ac:dyDescent="0.2">
      <c r="A178" s="1443"/>
      <c r="B178" s="1453"/>
      <c r="C178" s="1454"/>
      <c r="D178" s="1455" t="s">
        <v>2015</v>
      </c>
      <c r="E178" s="1456"/>
      <c r="F178" s="1793">
        <f>F176+F177</f>
        <v>2550103.5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2068</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1852945</v>
      </c>
      <c r="F19" s="1802"/>
      <c r="G19" s="1804">
        <f>'Expenditures 15-22'!K33-SUM('Expenditures 15-22'!G33,'Expenditures 15-22'!I33)+'Expenditures 15-22'!D229</f>
        <v>1852945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79269</v>
      </c>
      <c r="F21" s="1805"/>
      <c r="G21" s="1808">
        <f>'Expenditures 15-22'!K42-SUM('Expenditures 15-22'!G42,'Expenditures 15-22'!I42)+'Expenditures 15-22'!K120-SUM('Expenditures 15-22'!G120,'Expenditures 15-22'!I120)+'Expenditures 15-22'!K180-SUM('Expenditures 15-22'!G180,'Expenditures 15-22'!I180)+'Expenditures 15-22'!D238</f>
        <v>79269</v>
      </c>
      <c r="H21" s="817"/>
      <c r="I21" s="157"/>
    </row>
    <row r="22" spans="1:9" s="542" customFormat="1" ht="12" customHeight="1" x14ac:dyDescent="0.2">
      <c r="A22" s="824" t="s">
        <v>560</v>
      </c>
      <c r="B22" s="825"/>
      <c r="C22" s="823">
        <v>2200</v>
      </c>
      <c r="D22" s="1805"/>
      <c r="E22" s="1807">
        <f>'Expenditures 15-22'!K47-SUM('Expenditures 15-22'!G47,'Expenditures 15-22'!I47)+'Expenditures 15-22'!D243</f>
        <v>47142</v>
      </c>
      <c r="F22" s="1805"/>
      <c r="G22" s="1808">
        <f>'Expenditures 15-22'!K47-SUM('Expenditures 15-22'!G47,'Expenditures 15-22'!I47)+'Expenditures 15-22'!D243</f>
        <v>47142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44770</v>
      </c>
      <c r="F23" s="1805"/>
      <c r="G23" s="1807">
        <f>'Expenditures 15-22'!K53-SUM('Expenditures 15-22'!G53,'Expenditures 15-22'!I53)+'Expenditures 15-22'!D257+'Expenditures 15-22'!K330-SUM('Expenditures 15-22'!G330,'Expenditures 15-22'!I330)</f>
        <v>44770</v>
      </c>
      <c r="H23" s="817"/>
      <c r="I23" s="157"/>
    </row>
    <row r="24" spans="1:9" s="542" customFormat="1" ht="12" customHeight="1" x14ac:dyDescent="0.2">
      <c r="A24" s="824" t="s">
        <v>562</v>
      </c>
      <c r="B24" s="825"/>
      <c r="C24" s="823">
        <v>2400</v>
      </c>
      <c r="D24" s="1805"/>
      <c r="E24" s="1807">
        <f>'Expenditures 15-22'!K57-SUM('Expenditures 15-22'!G57,'Expenditures 15-22'!I57)+'Expenditures 15-22'!D261</f>
        <v>159575</v>
      </c>
      <c r="F24" s="1805"/>
      <c r="G24" s="1808">
        <f>'Expenditures 15-22'!K57-SUM('Expenditures 15-22'!G57,'Expenditures 15-22'!I57)+'Expenditures 15-22'!D261</f>
        <v>159575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53549</v>
      </c>
      <c r="E27" s="1807">
        <f>E8</f>
        <v>0</v>
      </c>
      <c r="F27" s="1807">
        <f>'Expenditures 15-22'!K60-SUM('Expenditures 15-22'!G60,'Expenditures 15-22'!I60)+'Expenditures 15-22'!D264-E8</f>
        <v>53549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290162</v>
      </c>
      <c r="F28" s="1809">
        <f>'Expenditures 15-22'!K61-SUM('Expenditures 15-22'!G61,'Expenditures 15-22'!I61)+'Expenditures 15-22'!K124-SUM('Expenditures 15-22'!G124,'Expenditures 15-22'!I124)+'Expenditures 15-22'!D266-E9</f>
        <v>290162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40000</v>
      </c>
      <c r="F29" s="1805"/>
      <c r="G29" s="1808">
        <f>'Expenditures 15-22'!K62-SUM('Expenditures 15-22'!G62,'Expenditures 15-22'!I62)+'Expenditures 15-22'!K125-SUM('Expenditures 15-22'!G125,'Expenditures 15-22'!I125)+'Expenditures 15-22'!K182-SUM('Expenditures 15-22'!G182,'Expenditures 15-22'!I182)+'Expenditures 15-22'!D267</f>
        <v>40000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53549</v>
      </c>
      <c r="E41" s="1809">
        <f>SUM(E19:E40)</f>
        <v>2513863</v>
      </c>
      <c r="F41" s="1809">
        <f>SUM(F19:F39)</f>
        <v>343711</v>
      </c>
      <c r="G41" s="1809">
        <f>SUM(G19:G40)</f>
        <v>2223701</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53549</v>
      </c>
      <c r="F43" s="1458" t="s">
        <v>470</v>
      </c>
      <c r="G43" s="1810">
        <f>F41</f>
        <v>343711</v>
      </c>
    </row>
    <row r="44" spans="1:7" ht="12" customHeight="1" x14ac:dyDescent="0.2">
      <c r="A44" s="817"/>
      <c r="B44" s="157"/>
      <c r="C44" s="831"/>
      <c r="D44" s="1458" t="s">
        <v>471</v>
      </c>
      <c r="E44" s="1810">
        <f>E41</f>
        <v>2513863</v>
      </c>
      <c r="F44" s="1458" t="s">
        <v>471</v>
      </c>
      <c r="G44" s="1810">
        <f>G41</f>
        <v>2223701</v>
      </c>
    </row>
    <row r="45" spans="1:7" ht="12" customHeight="1" x14ac:dyDescent="0.2">
      <c r="A45" s="817"/>
      <c r="B45" s="157"/>
      <c r="C45" s="157"/>
      <c r="D45" s="1459" t="s">
        <v>999</v>
      </c>
      <c r="E45" s="1811">
        <f>(E43/E44)</f>
        <v>2.1301479038436065E-2</v>
      </c>
      <c r="F45" s="1459" t="s">
        <v>999</v>
      </c>
      <c r="G45" s="1811">
        <f>(G43/G44)</f>
        <v>0.15456709332774504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1363</v>
      </c>
      <c r="B1" s="2414"/>
      <c r="C1" s="2414"/>
      <c r="D1" s="2414"/>
      <c r="E1" s="2414"/>
      <c r="F1" s="241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1529</v>
      </c>
      <c r="B5" s="2416"/>
      <c r="C5" s="2417"/>
      <c r="D5" s="2417"/>
      <c r="E5" s="2417"/>
      <c r="F5" s="2417"/>
      <c r="G5" s="1507"/>
      <c r="L5" s="1507"/>
      <c r="M5" s="1855"/>
      <c r="N5" s="1855"/>
      <c r="O5" s="1855"/>
    </row>
    <row r="6" spans="1:15" ht="12" customHeight="1" x14ac:dyDescent="0.25">
      <c r="A6" s="1480"/>
      <c r="B6" s="1481"/>
      <c r="C6" s="2418" t="str">
        <f>COVER!A17</f>
        <v xml:space="preserve">  Bismarck Henning Rossville Alvin Coop HS</v>
      </c>
      <c r="D6" s="2418"/>
      <c r="E6" s="2418"/>
      <c r="F6" s="1482"/>
      <c r="G6" s="1507"/>
      <c r="L6" s="1507"/>
      <c r="M6" s="1855"/>
      <c r="N6" s="1855"/>
      <c r="O6" s="1855"/>
    </row>
    <row r="7" spans="1:15" ht="11.25" customHeight="1" thickBot="1" x14ac:dyDescent="0.3">
      <c r="A7" s="1480"/>
      <c r="B7" s="1481"/>
      <c r="C7" s="2419">
        <f>COVER!A13</f>
        <v>54092800080</v>
      </c>
      <c r="D7" s="2419"/>
      <c r="E7" s="2419"/>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2069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2"/>
      <c r="B39" s="1502"/>
      <c r="C39" s="1502"/>
      <c r="D39" s="1502"/>
      <c r="E39" s="1502"/>
      <c r="F39" s="1502"/>
    </row>
    <row r="40" spans="1:15" s="1499" customFormat="1" ht="12" customHeight="1" x14ac:dyDescent="0.25">
      <c r="A40" s="1503" t="s">
        <v>1375</v>
      </c>
      <c r="B40" s="1504"/>
      <c r="C40" s="2409"/>
      <c r="D40" s="2409"/>
      <c r="E40" s="2409"/>
      <c r="F40" s="2410"/>
      <c r="H40" s="1508"/>
      <c r="I40" s="1508"/>
      <c r="J40" s="1508"/>
      <c r="K40" s="1508"/>
    </row>
    <row r="41" spans="1:15" s="1499" customFormat="1" ht="12" customHeight="1" x14ac:dyDescent="0.25">
      <c r="A41" s="2411"/>
      <c r="B41" s="2412"/>
      <c r="C41" s="2412"/>
      <c r="D41" s="2412"/>
      <c r="E41" s="2412"/>
      <c r="F41" s="2413"/>
      <c r="H41" s="1508"/>
      <c r="I41" s="1508"/>
      <c r="J41" s="1508"/>
      <c r="K41" s="1508"/>
    </row>
    <row r="42" spans="1:15" s="1499" customFormat="1" ht="12" customHeight="1" x14ac:dyDescent="0.25">
      <c r="A42" s="2411"/>
      <c r="B42" s="2412"/>
      <c r="C42" s="2412"/>
      <c r="D42" s="2412"/>
      <c r="E42" s="2412"/>
      <c r="F42" s="2413"/>
      <c r="H42" s="1508"/>
      <c r="I42" s="1508"/>
      <c r="J42" s="1508"/>
      <c r="K42" s="1508"/>
    </row>
    <row r="43" spans="1:15" s="1499" customFormat="1" ht="15" x14ac:dyDescent="0.25">
      <c r="A43" s="2400"/>
      <c r="B43" s="2401"/>
      <c r="C43" s="2401"/>
      <c r="D43" s="2401"/>
      <c r="E43" s="2401"/>
      <c r="F43" s="2402"/>
      <c r="H43" s="1508"/>
      <c r="I43" s="1508"/>
      <c r="J43" s="1508"/>
      <c r="K43" s="1508"/>
    </row>
    <row r="44" spans="1:15" s="1499" customFormat="1" ht="12" hidden="1" customHeight="1" x14ac:dyDescent="0.25">
      <c r="A44" s="2400"/>
      <c r="B44" s="2401"/>
      <c r="C44" s="2401"/>
      <c r="D44" s="2401"/>
      <c r="E44" s="2401"/>
      <c r="F44" s="24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0" t="str">
        <f>COVER!A17</f>
        <v xml:space="preserve">  Bismarck Henning Rossville Alvin Coop HS</v>
      </c>
      <c r="K6" s="2440"/>
      <c r="L6" s="2454"/>
      <c r="M6" s="838"/>
      <c r="N6" s="1999"/>
    </row>
    <row r="7" spans="1:14" x14ac:dyDescent="0.2">
      <c r="A7" s="2455" t="s">
        <v>864</v>
      </c>
      <c r="B7" s="2456"/>
      <c r="C7" s="2456"/>
      <c r="D7" s="2456"/>
      <c r="E7" s="2457"/>
      <c r="F7" s="839"/>
      <c r="G7" s="838"/>
      <c r="H7" s="838"/>
      <c r="I7" s="1925" t="s">
        <v>369</v>
      </c>
      <c r="J7" s="2442">
        <f>COVER!A13</f>
        <v>54092800080</v>
      </c>
      <c r="K7" s="2442"/>
      <c r="L7" s="244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8" t="s">
        <v>478</v>
      </c>
      <c r="B11" s="2459"/>
      <c r="C11" s="246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1" t="s">
        <v>7</v>
      </c>
      <c r="C18" s="2462"/>
      <c r="D18" s="246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0</v>
      </c>
      <c r="F19" s="1951">
        <f t="shared" si="2"/>
        <v>0</v>
      </c>
      <c r="G19" s="1951">
        <f t="shared" ref="G19" si="3">SUM(G12:G17)-G18</f>
        <v>0</v>
      </c>
      <c r="H19" s="1951">
        <f t="shared" si="2"/>
        <v>0</v>
      </c>
      <c r="I19" s="1951">
        <f t="shared" si="2"/>
        <v>0</v>
      </c>
      <c r="J19" s="1951">
        <f t="shared" si="2"/>
        <v>0</v>
      </c>
      <c r="K19" s="1951">
        <f t="shared" si="2"/>
        <v>0</v>
      </c>
      <c r="L19" s="1951">
        <f t="shared" si="2"/>
        <v>0</v>
      </c>
      <c r="M19" s="838"/>
      <c r="N19" s="1999"/>
    </row>
    <row r="20" spans="1:14" ht="13.5" thickTop="1" x14ac:dyDescent="0.2">
      <c r="A20" s="2004">
        <v>9</v>
      </c>
      <c r="B20" s="2464" t="s">
        <v>2021</v>
      </c>
      <c r="C20" s="2464"/>
      <c r="D20" s="2465"/>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6"/>
      <c r="D27" s="2466"/>
      <c r="E27" s="843"/>
      <c r="F27" s="2467"/>
      <c r="G27" s="2467"/>
      <c r="H27" s="2467"/>
      <c r="I27" s="838"/>
      <c r="J27" s="838"/>
      <c r="K27" s="838"/>
      <c r="L27" s="838"/>
      <c r="M27" s="838"/>
      <c r="N27" s="1999"/>
    </row>
    <row r="28" spans="1:14" x14ac:dyDescent="0.2">
      <c r="A28" s="1998"/>
      <c r="B28" s="2008"/>
      <c r="C28" s="1958" t="s">
        <v>1026</v>
      </c>
      <c r="D28" s="844"/>
      <c r="E28" s="1959"/>
      <c r="F28" s="2468" t="s">
        <v>1492</v>
      </c>
      <c r="G28" s="2468"/>
      <c r="H28" s="2468"/>
      <c r="I28" s="838"/>
      <c r="J28" s="838"/>
      <c r="K28" s="838"/>
      <c r="L28" s="838"/>
      <c r="M28" s="838"/>
      <c r="N28" s="1999"/>
    </row>
    <row r="29" spans="1:14" x14ac:dyDescent="0.2">
      <c r="A29" s="1998"/>
      <c r="B29" s="2008"/>
      <c r="C29" s="2469"/>
      <c r="D29" s="2469"/>
      <c r="E29" s="845"/>
      <c r="F29" s="2469"/>
      <c r="G29" s="2469"/>
      <c r="H29" s="2469"/>
      <c r="I29" s="838"/>
      <c r="J29" s="838"/>
      <c r="K29" s="838"/>
      <c r="L29" s="838"/>
      <c r="M29" s="838"/>
      <c r="N29" s="1999"/>
    </row>
    <row r="30" spans="1:14" x14ac:dyDescent="0.2">
      <c r="A30" s="1998"/>
      <c r="B30" s="2008"/>
      <c r="C30" s="1961" t="s">
        <v>1544</v>
      </c>
      <c r="D30" s="838"/>
      <c r="E30" s="1960"/>
      <c r="F30" s="2453" t="s">
        <v>1493</v>
      </c>
      <c r="G30" s="2453"/>
      <c r="H30" s="245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0" t="s">
        <v>2024</v>
      </c>
      <c r="D34" s="2431"/>
      <c r="E34" s="2431"/>
      <c r="F34" s="2431"/>
      <c r="G34" s="2431"/>
      <c r="H34" s="2431"/>
      <c r="I34" s="2431"/>
      <c r="J34" s="2431"/>
      <c r="K34" s="2017"/>
      <c r="L34" s="838"/>
      <c r="M34" s="838"/>
      <c r="N34" s="1999"/>
    </row>
    <row r="35" spans="1:14" x14ac:dyDescent="0.2">
      <c r="A35" s="1998"/>
      <c r="B35" s="838"/>
      <c r="C35" s="2431"/>
      <c r="D35" s="2431"/>
      <c r="E35" s="2431"/>
      <c r="F35" s="2431"/>
      <c r="G35" s="2431"/>
      <c r="H35" s="2431"/>
      <c r="I35" s="2431"/>
      <c r="J35" s="243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0" t="s">
        <v>2025</v>
      </c>
      <c r="D37" s="2431"/>
      <c r="E37" s="2431"/>
      <c r="F37" s="2431"/>
      <c r="G37" s="2431"/>
      <c r="H37" s="2431"/>
      <c r="I37" s="2431"/>
      <c r="J37" s="2431"/>
      <c r="K37" s="2017"/>
      <c r="L37" s="2019"/>
      <c r="M37" s="838"/>
      <c r="N37" s="1999"/>
    </row>
    <row r="38" spans="1:14" x14ac:dyDescent="0.2">
      <c r="A38" s="1998"/>
      <c r="B38" s="838"/>
      <c r="C38" s="2431"/>
      <c r="D38" s="2431"/>
      <c r="E38" s="2431"/>
      <c r="F38" s="2431"/>
      <c r="G38" s="2431"/>
      <c r="H38" s="2431"/>
      <c r="I38" s="2431"/>
      <c r="J38" s="243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2" t="s">
        <v>2026</v>
      </c>
      <c r="D40" s="2433"/>
      <c r="E40" s="2433"/>
      <c r="F40" s="2433"/>
      <c r="G40" s="2433"/>
      <c r="H40" s="2433"/>
      <c r="I40" s="2433"/>
      <c r="J40" s="243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4" t="s">
        <v>2027</v>
      </c>
      <c r="B43" s="2435"/>
      <c r="C43" s="2435"/>
      <c r="D43" s="2435"/>
      <c r="E43" s="2435"/>
      <c r="F43" s="2435"/>
      <c r="G43" s="2435"/>
      <c r="H43" s="2435"/>
      <c r="I43" s="2435"/>
      <c r="J43" s="2435"/>
      <c r="K43" s="2435"/>
      <c r="L43" s="2435"/>
      <c r="M43" s="2435"/>
      <c r="N43" s="243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7" t="s">
        <v>2029</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0" t="str">
        <f>J6</f>
        <v xml:space="preserve">  Bismarck Henning Rossville Alvin Coop HS</v>
      </c>
      <c r="M52" s="2440"/>
      <c r="N52" s="2441"/>
    </row>
    <row r="53" spans="1:14" x14ac:dyDescent="0.2">
      <c r="A53" s="1983"/>
      <c r="B53" s="1984"/>
      <c r="C53" s="1984"/>
      <c r="D53" s="1984"/>
      <c r="E53" s="1984"/>
      <c r="F53" s="1984"/>
      <c r="G53" s="1984"/>
      <c r="H53" s="1984"/>
      <c r="I53" s="1984"/>
      <c r="J53" s="1984"/>
      <c r="K53" s="1925" t="s">
        <v>369</v>
      </c>
      <c r="L53" s="2442">
        <f>J7</f>
        <v>54092800080</v>
      </c>
      <c r="M53" s="2442"/>
      <c r="N53" s="244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4"/>
      <c r="B55" s="2445"/>
      <c r="C55" s="2445"/>
      <c r="D55" s="1971"/>
      <c r="E55" s="1971"/>
      <c r="F55" s="1971"/>
      <c r="G55" s="2446" t="s">
        <v>2030</v>
      </c>
      <c r="H55" s="2446"/>
      <c r="I55" s="2446"/>
      <c r="J55" s="2446"/>
      <c r="K55" s="2446"/>
      <c r="L55" s="2446"/>
      <c r="M55" s="2446"/>
      <c r="N55" s="2447"/>
    </row>
    <row r="56" spans="1:14" ht="63.75" x14ac:dyDescent="0.2">
      <c r="A56" s="2448" t="s">
        <v>2031</v>
      </c>
      <c r="B56" s="2449"/>
      <c r="C56" s="245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1" t="s">
        <v>296</v>
      </c>
      <c r="B57" s="2452"/>
      <c r="C57" s="245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8" t="s">
        <v>2041</v>
      </c>
      <c r="B58" s="2429"/>
      <c r="C58" s="2429"/>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2" t="s">
        <v>297</v>
      </c>
      <c r="B59" s="2423"/>
      <c r="C59" s="242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2" t="s">
        <v>236</v>
      </c>
      <c r="B60" s="2423"/>
      <c r="C60" s="2423"/>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2" t="s">
        <v>697</v>
      </c>
      <c r="B61" s="2423"/>
      <c r="C61" s="2423"/>
      <c r="D61" s="1968">
        <v>2365</v>
      </c>
      <c r="E61" s="1978">
        <f>'Expenditures 15-22'!K323</f>
        <v>0</v>
      </c>
      <c r="F61" s="1973"/>
      <c r="G61" s="2032"/>
      <c r="H61" s="2033"/>
      <c r="I61" s="2033"/>
      <c r="J61" s="2033"/>
      <c r="K61" s="2033"/>
      <c r="L61" s="2033"/>
      <c r="M61" s="2033"/>
      <c r="N61" s="1976">
        <f t="shared" si="4"/>
        <v>0</v>
      </c>
    </row>
    <row r="62" spans="1:14" ht="24" customHeight="1" x14ac:dyDescent="0.2">
      <c r="A62" s="2422" t="s">
        <v>237</v>
      </c>
      <c r="B62" s="2423"/>
      <c r="C62" s="2423"/>
      <c r="D62" s="1968">
        <v>2366</v>
      </c>
      <c r="E62" s="1978">
        <f>'Expenditures 15-22'!K324</f>
        <v>0</v>
      </c>
      <c r="F62" s="1973"/>
      <c r="G62" s="2032"/>
      <c r="H62" s="2033"/>
      <c r="I62" s="2033"/>
      <c r="J62" s="2033"/>
      <c r="K62" s="2033"/>
      <c r="L62" s="2033"/>
      <c r="M62" s="2033"/>
      <c r="N62" s="1976">
        <f t="shared" si="4"/>
        <v>0</v>
      </c>
    </row>
    <row r="63" spans="1:14" ht="24" customHeight="1" x14ac:dyDescent="0.2">
      <c r="A63" s="2428" t="s">
        <v>1022</v>
      </c>
      <c r="B63" s="2429"/>
      <c r="C63" s="2429"/>
      <c r="D63" s="1968">
        <v>2367</v>
      </c>
      <c r="E63" s="1978">
        <f>'Expenditures 15-22'!K325</f>
        <v>0</v>
      </c>
      <c r="F63" s="1973"/>
      <c r="G63" s="2032"/>
      <c r="H63" s="2033"/>
      <c r="I63" s="2033"/>
      <c r="J63" s="2033"/>
      <c r="K63" s="2033"/>
      <c r="L63" s="2033"/>
      <c r="M63" s="2033"/>
      <c r="N63" s="1976">
        <f t="shared" si="4"/>
        <v>0</v>
      </c>
    </row>
    <row r="64" spans="1:14" ht="24" customHeight="1" x14ac:dyDescent="0.2">
      <c r="A64" s="2422" t="s">
        <v>1023</v>
      </c>
      <c r="B64" s="2423"/>
      <c r="C64" s="2423"/>
      <c r="D64" s="1968">
        <v>2368</v>
      </c>
      <c r="E64" s="1978">
        <f>'Expenditures 15-22'!K326</f>
        <v>0</v>
      </c>
      <c r="F64" s="1973"/>
      <c r="G64" s="2032"/>
      <c r="H64" s="2033"/>
      <c r="I64" s="2033"/>
      <c r="J64" s="2033"/>
      <c r="K64" s="2033"/>
      <c r="L64" s="2033"/>
      <c r="M64" s="2033"/>
      <c r="N64" s="1976">
        <f t="shared" si="4"/>
        <v>0</v>
      </c>
    </row>
    <row r="65" spans="1:14" ht="24" customHeight="1" x14ac:dyDescent="0.2">
      <c r="A65" s="2422" t="s">
        <v>965</v>
      </c>
      <c r="B65" s="2423"/>
      <c r="C65" s="2423"/>
      <c r="D65" s="1968">
        <v>2369</v>
      </c>
      <c r="E65" s="1978">
        <f>'Expenditures 15-22'!K327</f>
        <v>0</v>
      </c>
      <c r="F65" s="1973"/>
      <c r="G65" s="2032"/>
      <c r="H65" s="2033"/>
      <c r="I65" s="2033"/>
      <c r="J65" s="2033"/>
      <c r="K65" s="2033"/>
      <c r="L65" s="2033"/>
      <c r="M65" s="2033"/>
      <c r="N65" s="1976">
        <f t="shared" si="4"/>
        <v>0</v>
      </c>
    </row>
    <row r="66" spans="1:14" ht="24" customHeight="1" x14ac:dyDescent="0.2">
      <c r="A66" s="2422" t="s">
        <v>469</v>
      </c>
      <c r="B66" s="2423"/>
      <c r="C66" s="2423"/>
      <c r="D66" s="1968">
        <v>2371</v>
      </c>
      <c r="E66" s="1978">
        <f>'Expenditures 15-22'!K328</f>
        <v>0</v>
      </c>
      <c r="F66" s="1973"/>
      <c r="G66" s="2032"/>
      <c r="H66" s="2033"/>
      <c r="I66" s="2033"/>
      <c r="J66" s="2033"/>
      <c r="K66" s="2033"/>
      <c r="L66" s="2033"/>
      <c r="M66" s="2033"/>
      <c r="N66" s="1976">
        <f t="shared" si="4"/>
        <v>0</v>
      </c>
    </row>
    <row r="67" spans="1:14" ht="24.75" customHeight="1" x14ac:dyDescent="0.2">
      <c r="A67" s="2424" t="s">
        <v>2042</v>
      </c>
      <c r="B67" s="2425"/>
      <c r="C67" s="2425"/>
      <c r="D67" s="1970">
        <v>2372</v>
      </c>
      <c r="E67" s="1979">
        <f>'Expenditures 15-22'!K329</f>
        <v>0</v>
      </c>
      <c r="F67" s="1973"/>
      <c r="G67" s="2034"/>
      <c r="H67" s="2035"/>
      <c r="I67" s="2035"/>
      <c r="J67" s="2035"/>
      <c r="K67" s="2035"/>
      <c r="L67" s="2035"/>
      <c r="M67" s="2035"/>
      <c r="N67" s="1976">
        <f t="shared" si="4"/>
        <v>0</v>
      </c>
    </row>
    <row r="68" spans="1:14" x14ac:dyDescent="0.2">
      <c r="A68" s="2426" t="s">
        <v>1151</v>
      </c>
      <c r="B68" s="2427"/>
      <c r="C68" s="2427"/>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2070</v>
      </c>
    </row>
    <row r="6" spans="1:2" x14ac:dyDescent="0.2">
      <c r="A6" s="847"/>
      <c r="B6" s="2038" t="s">
        <v>2071</v>
      </c>
    </row>
    <row r="7" spans="1:2" x14ac:dyDescent="0.2">
      <c r="A7" s="847"/>
      <c r="B7" s="307" t="s">
        <v>2072</v>
      </c>
    </row>
    <row r="8" spans="1:2" x14ac:dyDescent="0.2">
      <c r="A8" s="847"/>
      <c r="B8" s="307" t="s">
        <v>2073</v>
      </c>
    </row>
    <row r="9" spans="1:2" x14ac:dyDescent="0.2">
      <c r="A9" s="848"/>
    </row>
    <row r="10" spans="1:2" x14ac:dyDescent="0.2">
      <c r="A10" s="848">
        <v>2</v>
      </c>
      <c r="B10" s="2037" t="s">
        <v>2074</v>
      </c>
    </row>
    <row r="11" spans="1:2" x14ac:dyDescent="0.2">
      <c r="A11" s="848"/>
      <c r="B11" s="2038" t="s">
        <v>2075</v>
      </c>
    </row>
    <row r="12" spans="1:2" x14ac:dyDescent="0.2">
      <c r="A12" s="848"/>
      <c r="B12" s="307" t="s">
        <v>2076</v>
      </c>
    </row>
    <row r="13" spans="1:2" x14ac:dyDescent="0.2">
      <c r="A13" s="848"/>
    </row>
    <row r="14" spans="1:2" x14ac:dyDescent="0.2">
      <c r="A14" s="848">
        <v>3</v>
      </c>
      <c r="B14" s="2037" t="s">
        <v>2077</v>
      </c>
    </row>
    <row r="15" spans="1:2" x14ac:dyDescent="0.2">
      <c r="A15" s="848"/>
      <c r="B15" s="307" t="s">
        <v>2068</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Bismarck Henning Rossville Alvin Coop HS</v>
      </c>
    </row>
    <row r="63" spans="1:2" x14ac:dyDescent="0.2">
      <c r="B63" s="849">
        <f>COVER!A13</f>
        <v>54092800080</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3333369</v>
      </c>
      <c r="C8" s="1813">
        <f>'Acct Summary 7-8'!D8</f>
        <v>0</v>
      </c>
      <c r="D8" s="1813">
        <f>'Acct Summary 7-8'!F8</f>
        <v>0</v>
      </c>
      <c r="E8" s="1813">
        <f>'Acct Summary 7-8'!I8</f>
        <v>0</v>
      </c>
      <c r="F8" s="1813">
        <f>SUM(B8:E8)</f>
        <v>3333369</v>
      </c>
    </row>
    <row r="9" spans="1:8" s="858" customFormat="1" ht="14.25" customHeight="1" thickBot="1" x14ac:dyDescent="0.25">
      <c r="A9" s="857" t="s">
        <v>1353</v>
      </c>
      <c r="B9" s="1814">
        <f>'Acct Summary 7-8'!C17</f>
        <v>3199064</v>
      </c>
      <c r="C9" s="1814">
        <f>'Acct Summary 7-8'!D17</f>
        <v>0</v>
      </c>
      <c r="D9" s="1814">
        <f>'Acct Summary 7-8'!F17</f>
        <v>0</v>
      </c>
      <c r="E9" s="1813"/>
      <c r="F9" s="1813">
        <f>SUM(B9:E9)</f>
        <v>3199064</v>
      </c>
    </row>
    <row r="10" spans="1:8" s="858" customFormat="1" ht="14.25" thickTop="1" thickBot="1" x14ac:dyDescent="0.25">
      <c r="A10" s="859" t="s">
        <v>1354</v>
      </c>
      <c r="B10" s="1815">
        <f>(B8-B9)</f>
        <v>134305</v>
      </c>
      <c r="C10" s="1815">
        <f>(C8-C9)</f>
        <v>0</v>
      </c>
      <c r="D10" s="1815">
        <f>(D8-D9)</f>
        <v>0</v>
      </c>
      <c r="E10" s="1814">
        <f>(E8-E9)</f>
        <v>0</v>
      </c>
      <c r="F10" s="1816">
        <f>SUM(F8-F9)</f>
        <v>134305</v>
      </c>
    </row>
    <row r="11" spans="1:8" s="858" customFormat="1" ht="14.25" thickTop="1" thickBot="1" x14ac:dyDescent="0.25">
      <c r="A11" s="860" t="s">
        <v>1903</v>
      </c>
      <c r="B11" s="1817">
        <f>'Acct Summary 7-8'!C81</f>
        <v>639963</v>
      </c>
      <c r="C11" s="1817">
        <f>'Acct Summary 7-8'!D81</f>
        <v>0</v>
      </c>
      <c r="D11" s="1817">
        <f>'Acct Summary 7-8'!F81</f>
        <v>0</v>
      </c>
      <c r="E11" s="1817">
        <f>'Acct Summary 7-8'!I81</f>
        <v>0</v>
      </c>
      <c r="F11" s="1818">
        <f>SUM(B11:E11)</f>
        <v>639963</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54092800080</v>
      </c>
      <c r="E2" s="1542">
        <v>2020</v>
      </c>
      <c r="F2" s="1542">
        <v>1</v>
      </c>
      <c r="G2" s="1899">
        <v>101000300</v>
      </c>
    </row>
    <row r="3" spans="1:7" ht="15" x14ac:dyDescent="0.25">
      <c r="A3" t="s">
        <v>950</v>
      </c>
      <c r="B3" s="135" t="str">
        <f>COVER!A15</f>
        <v>VERMILION</v>
      </c>
      <c r="E3" s="1830" t="s">
        <v>1971</v>
      </c>
      <c r="F3" s="1830" t="s">
        <v>1970</v>
      </c>
      <c r="G3" s="1899">
        <v>101000400</v>
      </c>
    </row>
    <row r="4" spans="1:7" ht="15" x14ac:dyDescent="0.25">
      <c r="A4" t="s">
        <v>1000</v>
      </c>
      <c r="B4" s="135" t="str">
        <f>COVER!A17</f>
        <v xml:space="preserve">  Bismarck Henning Rossville Alvin Coop HS</v>
      </c>
      <c r="E4" s="1828">
        <v>44119</v>
      </c>
      <c r="F4" s="1829">
        <v>44151</v>
      </c>
      <c r="G4" s="1899">
        <v>101000600</v>
      </c>
    </row>
    <row r="5" spans="1:7" ht="15" x14ac:dyDescent="0.25">
      <c r="A5" t="s">
        <v>699</v>
      </c>
      <c r="B5" s="135" t="str">
        <f>COVER!A38</f>
        <v>Scott Watson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919831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279868</v>
      </c>
      <c r="C91" s="2" t="s">
        <v>569</v>
      </c>
      <c r="D91" s="2" t="str">
        <f t="shared" si="0"/>
        <v>Error?</v>
      </c>
      <c r="G91" s="1899">
        <v>102640400</v>
      </c>
    </row>
    <row r="92" spans="1:7" ht="15" x14ac:dyDescent="0.25">
      <c r="A92" s="5">
        <v>31</v>
      </c>
      <c r="B92" s="1832">
        <f>'Assets-Liab 5-6'!C39</f>
        <v>639963</v>
      </c>
      <c r="D92" s="2" t="str">
        <f t="shared" si="0"/>
        <v>Error?</v>
      </c>
      <c r="G92" s="1899">
        <v>102640600</v>
      </c>
    </row>
    <row r="93" spans="1:7" ht="15" x14ac:dyDescent="0.25">
      <c r="A93" s="5">
        <v>32</v>
      </c>
      <c r="B93" s="1832">
        <f>'Assets-Liab 5-6'!C41</f>
        <v>919831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34519</v>
      </c>
      <c r="D275" s="2" t="str">
        <f t="shared" si="3"/>
        <v>Error?</v>
      </c>
    </row>
    <row r="276" spans="1:4" x14ac:dyDescent="0.2">
      <c r="A276" s="5">
        <v>215</v>
      </c>
      <c r="B276" s="1832">
        <f>'Assets-Liab 5-6'!M19</f>
        <v>68412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102931</v>
      </c>
      <c r="C279" s="2" t="s">
        <v>569</v>
      </c>
      <c r="D279" s="2" t="str">
        <f t="shared" si="3"/>
        <v>Error?</v>
      </c>
    </row>
    <row r="280" spans="1:4" x14ac:dyDescent="0.2">
      <c r="A280" s="5">
        <v>219</v>
      </c>
      <c r="B280" s="1832">
        <f>'Assets-Liab 5-6'!M40</f>
        <v>102931</v>
      </c>
      <c r="D280" s="2" t="str">
        <f t="shared" si="3"/>
        <v>Error?</v>
      </c>
    </row>
    <row r="281" spans="1:4" x14ac:dyDescent="0.2">
      <c r="A281" s="5">
        <v>220</v>
      </c>
      <c r="B281" s="1832">
        <f>'Assets-Liab 5-6'!M41</f>
        <v>102931</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921074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137712</v>
      </c>
      <c r="D717" s="2" t="str">
        <f t="shared" si="10"/>
        <v>Error?</v>
      </c>
    </row>
    <row r="718" spans="1:4" x14ac:dyDescent="0.2">
      <c r="A718" s="5">
        <v>657</v>
      </c>
      <c r="B718" s="1832">
        <f>'Expenditures 15-22'!C14</f>
        <v>99195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1313543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60829</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60829</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38776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38776</v>
      </c>
      <c r="C731" s="2" t="s">
        <v>569</v>
      </c>
      <c r="D731" s="2" t="str">
        <f t="shared" si="10"/>
        <v>Error?</v>
      </c>
    </row>
    <row r="732" spans="1:4" x14ac:dyDescent="0.2">
      <c r="A732" s="5">
        <v>671</v>
      </c>
      <c r="B732" s="1832">
        <f>'Expenditures 15-22'!C49</f>
        <v>4802</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4802</v>
      </c>
      <c r="C734" s="2" t="s">
        <v>569</v>
      </c>
      <c r="D734" s="2" t="str">
        <f t="shared" si="10"/>
        <v>Error?</v>
      </c>
    </row>
    <row r="735" spans="1:4" x14ac:dyDescent="0.2">
      <c r="A735" s="5">
        <v>674</v>
      </c>
      <c r="B735" s="1832">
        <f>'Expenditures 15-22'!C55</f>
        <v>123949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123949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37170</v>
      </c>
      <c r="D739" s="2" t="str">
        <f t="shared" si="10"/>
        <v>Error?</v>
      </c>
    </row>
    <row r="740" spans="1:4" x14ac:dyDescent="0.2">
      <c r="A740" s="5">
        <v>679</v>
      </c>
      <c r="B740" s="1832">
        <f>'Expenditures 15-22'!C61</f>
        <v>25035</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62205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290561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1604104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281591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44480</v>
      </c>
      <c r="D775" s="2" t="str">
        <f t="shared" si="11"/>
        <v>Error?</v>
      </c>
    </row>
    <row r="776" spans="1:4" x14ac:dyDescent="0.2">
      <c r="A776" s="5">
        <v>715</v>
      </c>
      <c r="B776" s="1832">
        <f>'Expenditures 15-22'!D14</f>
        <v>8152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389161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17750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17750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4082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4082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30893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30893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16118</v>
      </c>
      <c r="D797" s="2" t="str">
        <f t="shared" si="11"/>
        <v>Error?</v>
      </c>
    </row>
    <row r="798" spans="1:4" x14ac:dyDescent="0.2">
      <c r="A798" s="5">
        <v>737</v>
      </c>
      <c r="B798" s="1832">
        <f>'Expenditures 15-22'!D61</f>
        <v>13157</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29275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82000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471161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34691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590</v>
      </c>
      <c r="D833" s="2" t="str">
        <f t="shared" si="12"/>
        <v>Error?</v>
      </c>
    </row>
    <row r="834" spans="1:4" x14ac:dyDescent="0.2">
      <c r="A834" s="5">
        <v>773</v>
      </c>
      <c r="B834" s="1832">
        <f>'Expenditures 15-22'!E14</f>
        <v>24587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60682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450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39968</v>
      </c>
      <c r="C850" s="2" t="s">
        <v>569</v>
      </c>
      <c r="D850" s="2" t="str">
        <f t="shared" si="12"/>
        <v>Error?</v>
      </c>
    </row>
    <row r="851" spans="1:4" x14ac:dyDescent="0.2">
      <c r="A851" s="5">
        <v>790</v>
      </c>
      <c r="B851" s="1832">
        <f>'Expenditures 15-22'!E55</f>
        <v>1921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1921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152261</v>
      </c>
      <c r="D856" s="2" t="str">
        <f t="shared" si="12"/>
        <v>Error?</v>
      </c>
    </row>
    <row r="857" spans="1:4" x14ac:dyDescent="0.2">
      <c r="A857" s="5">
        <v>796</v>
      </c>
      <c r="B857" s="1832">
        <f>'Expenditures 15-22'!E62</f>
        <v>40000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192261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234150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597211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48461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3142</v>
      </c>
      <c r="D891" s="2" t="str">
        <f t="shared" si="12"/>
        <v>Error?</v>
      </c>
    </row>
    <row r="892" spans="1:4" x14ac:dyDescent="0.2">
      <c r="A892" s="5">
        <v>831</v>
      </c>
      <c r="B892" s="1832">
        <f>'Expenditures 15-22'!F14</f>
        <v>31748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84197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500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500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2470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2470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1689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1689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261</v>
      </c>
      <c r="D913" s="2" t="str">
        <f t="shared" si="13"/>
        <v>Error?</v>
      </c>
    </row>
    <row r="914" spans="1:4" x14ac:dyDescent="0.2">
      <c r="A914" s="5">
        <v>853</v>
      </c>
      <c r="B914" s="1832">
        <f>'Expenditures 15-22'!F61</f>
        <v>99709</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99970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104629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188826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5739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5060</v>
      </c>
      <c r="D949" s="2" t="str">
        <f t="shared" si="13"/>
        <v>Error?</v>
      </c>
    </row>
    <row r="950" spans="1:4" x14ac:dyDescent="0.2">
      <c r="A950" s="5">
        <v>889</v>
      </c>
      <c r="B950" s="1832">
        <f>'Expenditures 15-22'!G14</f>
        <v>573</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11372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397</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397</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2000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2000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55239</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55239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57636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69008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3908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315</v>
      </c>
      <c r="D1007" s="2" t="str">
        <f t="shared" si="14"/>
        <v>Error?</v>
      </c>
    </row>
    <row r="1008" spans="1:4" x14ac:dyDescent="0.2">
      <c r="A1008" s="5">
        <v>947</v>
      </c>
      <c r="B1008" s="1832">
        <f>'Expenditures 15-22'!H14</f>
        <v>1139</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5362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190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190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1814</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1814</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1123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1123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3127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8489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1295464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191299</v>
      </c>
      <c r="C1105" s="2" t="s">
        <v>569</v>
      </c>
      <c r="D1105" s="2" t="str">
        <f t="shared" si="16"/>
        <v>Error?</v>
      </c>
    </row>
    <row r="1106" spans="1:4" x14ac:dyDescent="0.2">
      <c r="A1106" s="5">
        <v>1045</v>
      </c>
      <c r="B1106" s="1832">
        <f>'Expenditures 15-22'!K14</f>
        <v>165394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1864317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79269</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79269</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47539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47539</v>
      </c>
      <c r="C1119" s="2" t="s">
        <v>569</v>
      </c>
      <c r="D1119" s="2" t="str">
        <f t="shared" si="16"/>
        <v>Error?</v>
      </c>
    </row>
    <row r="1120" spans="1:4" x14ac:dyDescent="0.2">
      <c r="A1120" s="5">
        <v>1059</v>
      </c>
      <c r="B1120" s="1832">
        <f>'Expenditures 15-22'!K49</f>
        <v>5252</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44770</v>
      </c>
      <c r="C1122" s="2" t="s">
        <v>569</v>
      </c>
      <c r="D1122" s="2" t="str">
        <f t="shared" si="16"/>
        <v>Error?</v>
      </c>
    </row>
    <row r="1123" spans="1:4" x14ac:dyDescent="0.2">
      <c r="A1123" s="5">
        <v>1062</v>
      </c>
      <c r="B1123" s="1832">
        <f>'Expenditures 15-22'!K55</f>
        <v>161575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161575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53549</v>
      </c>
      <c r="C1127" s="2" t="s">
        <v>569</v>
      </c>
      <c r="D1127" s="2" t="str">
        <f t="shared" si="16"/>
        <v>Error?</v>
      </c>
    </row>
    <row r="1128" spans="1:4" x14ac:dyDescent="0.2">
      <c r="A1128" s="5">
        <v>1067</v>
      </c>
      <c r="B1128" s="1832">
        <f>'Expenditures 15-22'!K61</f>
        <v>605666</v>
      </c>
      <c r="C1128" s="2" t="s">
        <v>569</v>
      </c>
      <c r="D1128" s="2" t="str">
        <f t="shared" si="16"/>
        <v>Error?</v>
      </c>
    </row>
    <row r="1129" spans="1:4" x14ac:dyDescent="0.2">
      <c r="A1129" s="5">
        <v>1068</v>
      </c>
      <c r="B1129" s="1832">
        <f>'Expenditures 15-22'!K62</f>
        <v>40000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699215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1032368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302379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3199064</v>
      </c>
      <c r="C1152" s="2" t="s">
        <v>569</v>
      </c>
      <c r="D1152" s="2" t="str">
        <f t="shared" si="17"/>
        <v>Error?</v>
      </c>
    </row>
    <row r="1153" spans="1:4" x14ac:dyDescent="0.2">
      <c r="A1153" s="5">
        <v>1092</v>
      </c>
      <c r="B1153" s="1832">
        <f>'Expenditures 15-22'!K115</f>
        <v>134305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505658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639963</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33923</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33923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34519</v>
      </c>
      <c r="D2016" s="2" t="str">
        <f t="shared" si="30"/>
        <v>Error?</v>
      </c>
    </row>
    <row r="2017" spans="1:4" x14ac:dyDescent="0.2">
      <c r="A2017" s="5">
        <v>1956</v>
      </c>
      <c r="B2017" s="1832">
        <f>'Cap Outlay Deprec 26'!D12</f>
        <v>34489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69008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34519</v>
      </c>
      <c r="C2028" s="2" t="s">
        <v>569</v>
      </c>
      <c r="D2028" s="2" t="str">
        <f t="shared" si="30"/>
        <v>Error?</v>
      </c>
    </row>
    <row r="2029" spans="1:4" x14ac:dyDescent="0.2">
      <c r="A2029" s="5">
        <v>1968</v>
      </c>
      <c r="B2029" s="1832">
        <f>'Cap Outlay Deprec 26'!F12</f>
        <v>68412</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102931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4850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4850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1726</v>
      </c>
      <c r="D2040" s="2" t="str">
        <f t="shared" si="30"/>
        <v>Error?</v>
      </c>
    </row>
    <row r="2041" spans="1:4" x14ac:dyDescent="0.2">
      <c r="A2041" s="5">
        <v>1980</v>
      </c>
      <c r="B2041" s="1832">
        <f>'Cap Outlay Deprec 26'!I12</f>
        <v>6841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8567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1726</v>
      </c>
      <c r="C2052" s="2" t="s">
        <v>569</v>
      </c>
      <c r="D2052" s="2" t="str">
        <f t="shared" si="31"/>
        <v>Error?</v>
      </c>
    </row>
    <row r="2053" spans="1:4" x14ac:dyDescent="0.2">
      <c r="A2053" s="5">
        <v>1992</v>
      </c>
      <c r="B2053" s="1832">
        <f>'Cap Outlay Deprec 26'!K12</f>
        <v>11691</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13417</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32793</v>
      </c>
      <c r="C2058" s="2" t="s">
        <v>569</v>
      </c>
      <c r="D2058" s="2" t="str">
        <f t="shared" si="31"/>
        <v>Error?</v>
      </c>
    </row>
    <row r="2059" spans="1:4" x14ac:dyDescent="0.2">
      <c r="A2059" s="5">
        <v>1998</v>
      </c>
      <c r="B2059" s="1832">
        <f>'Cap Outlay Deprec 26'!L12</f>
        <v>56721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89514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302379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3213369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120000</v>
      </c>
      <c r="C2553" s="2" t="s">
        <v>569</v>
      </c>
      <c r="D2553" s="2" t="str">
        <f t="shared" si="38"/>
        <v>Error?</v>
      </c>
    </row>
    <row r="2554" spans="1:4" x14ac:dyDescent="0.2">
      <c r="A2554" s="5">
        <v>2493</v>
      </c>
      <c r="B2554" s="1832">
        <f>'Acct Summary 7-8'!C7</f>
        <v>0</v>
      </c>
      <c r="C2554" s="2" t="s">
        <v>569</v>
      </c>
      <c r="D2554" s="2" t="str">
        <f t="shared" si="38"/>
        <v>Error?</v>
      </c>
    </row>
    <row r="2555" spans="1:4" x14ac:dyDescent="0.2">
      <c r="A2555" s="5">
        <v>2494</v>
      </c>
      <c r="B2555" s="1832">
        <f>'Acct Summary 7-8'!C8</f>
        <v>3333369</v>
      </c>
      <c r="C2555" s="2" t="s">
        <v>569</v>
      </c>
      <c r="D2555" s="2" t="str">
        <f t="shared" si="38"/>
        <v>Error?</v>
      </c>
    </row>
    <row r="2556" spans="1:4" x14ac:dyDescent="0.2">
      <c r="A2556" s="5">
        <v>2495</v>
      </c>
      <c r="B2556" s="1832">
        <f>'Acct Summary 7-8'!C12</f>
        <v>1864317</v>
      </c>
      <c r="C2556" s="2" t="s">
        <v>569</v>
      </c>
      <c r="D2556" s="2" t="str">
        <f t="shared" si="38"/>
        <v>Error?</v>
      </c>
    </row>
    <row r="2557" spans="1:4" x14ac:dyDescent="0.2">
      <c r="A2557" s="5">
        <v>2496</v>
      </c>
      <c r="B2557" s="1832">
        <f>'Acct Summary 7-8'!C13</f>
        <v>1032368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302379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3199064</v>
      </c>
      <c r="C2561" s="2" t="s">
        <v>569</v>
      </c>
      <c r="D2561" s="2" t="str">
        <f t="shared" si="39"/>
        <v>Error?</v>
      </c>
    </row>
    <row r="2562" spans="1:4" x14ac:dyDescent="0.2">
      <c r="A2562" s="5">
        <v>2501</v>
      </c>
      <c r="B2562" s="1832">
        <f>'Acct Summary 7-8'!C20</f>
        <v>134305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302379</v>
      </c>
      <c r="C2789" s="2" t="s">
        <v>569</v>
      </c>
      <c r="D2789" s="2" t="str">
        <f t="shared" si="42"/>
        <v>Error?</v>
      </c>
    </row>
    <row r="2790" spans="1:4" x14ac:dyDescent="0.2">
      <c r="A2790" s="5">
        <v>2729</v>
      </c>
      <c r="B2790" s="1832">
        <f>'Expenditures 15-22'!E102</f>
        <v>302379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209415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209415</v>
      </c>
      <c r="D2914" s="2" t="str">
        <f t="shared" si="44"/>
        <v>Error?</v>
      </c>
    </row>
    <row r="2915" spans="1:4" x14ac:dyDescent="0.2">
      <c r="A2915" s="10">
        <v>2854</v>
      </c>
      <c r="B2915" s="1832"/>
      <c r="D2915" s="2" t="str">
        <f t="shared" si="44"/>
        <v>OK</v>
      </c>
    </row>
    <row r="2916" spans="1:4" x14ac:dyDescent="0.2">
      <c r="A2916" s="5">
        <v>2855</v>
      </c>
      <c r="B2916" s="1832">
        <f>'Assets-Liab 5-6'!L34</f>
        <v>209415</v>
      </c>
      <c r="C2916" s="2" t="s">
        <v>569</v>
      </c>
      <c r="D2916" s="2" t="str">
        <f t="shared" si="44"/>
        <v>Error?</v>
      </c>
    </row>
    <row r="2917" spans="1:4" x14ac:dyDescent="0.2">
      <c r="A2917" s="5">
        <v>2856</v>
      </c>
      <c r="B2917" s="1832">
        <f>'Assets-Liab 5-6'!L41</f>
        <v>209415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206570</v>
      </c>
      <c r="D2949" s="2" t="str">
        <f t="shared" si="45"/>
        <v>Error?</v>
      </c>
    </row>
    <row r="2950" spans="1:4" x14ac:dyDescent="0.2">
      <c r="A2950" s="5">
        <v>2889</v>
      </c>
      <c r="B2950" s="1832">
        <f>'Expenditures 15-22'!E79</f>
        <v>62529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33280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206570</v>
      </c>
      <c r="C2973" s="2" t="s">
        <v>569</v>
      </c>
      <c r="D2973" s="2" t="str">
        <f t="shared" si="45"/>
        <v>Error?</v>
      </c>
    </row>
    <row r="2974" spans="1:4" x14ac:dyDescent="0.2">
      <c r="A2974" s="5">
        <v>2913</v>
      </c>
      <c r="B2974" s="1832">
        <f>'Expenditures 15-22'!K79</f>
        <v>62529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33280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134305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155562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54938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814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846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212160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872075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209415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1273874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4607243</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1273874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4472938</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639963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3118760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3118760</v>
      </c>
      <c r="C5087" s="2" t="s">
        <v>569</v>
      </c>
      <c r="D5087" s="2" t="str">
        <f t="shared" si="78"/>
        <v>Error?</v>
      </c>
    </row>
    <row r="5088" spans="1:4" x14ac:dyDescent="0.2">
      <c r="A5088" s="5">
        <v>5027</v>
      </c>
      <c r="B5088" s="1832">
        <f>'Revenues 9-14'!C65</f>
        <v>670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670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32192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4645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36837</v>
      </c>
      <c r="C5102" s="2" t="s">
        <v>569</v>
      </c>
      <c r="D5102" s="2" t="str">
        <f t="shared" si="78"/>
        <v>Error?</v>
      </c>
    </row>
    <row r="5103" spans="1:4" x14ac:dyDescent="0.2">
      <c r="A5103" s="5">
        <v>5042</v>
      </c>
      <c r="B5103" s="1832">
        <f>'Revenues 9-14'!C84</f>
        <v>15065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15065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36437</v>
      </c>
      <c r="D5119" s="2" t="str">
        <f t="shared" ref="D5119:D5182" si="79">IF(ISBLANK(B5119),"OK",IF(A5119-B5119=0,"OK","Error?"))</f>
        <v>Error?</v>
      </c>
    </row>
    <row r="5120" spans="1:4" x14ac:dyDescent="0.2">
      <c r="A5120" s="5">
        <v>5059</v>
      </c>
      <c r="B5120" s="1832">
        <f>'Revenues 9-14'!C108</f>
        <v>42037</v>
      </c>
      <c r="C5120" s="2" t="s">
        <v>569</v>
      </c>
      <c r="D5120" s="2" t="str">
        <f t="shared" si="79"/>
        <v>Error?</v>
      </c>
    </row>
    <row r="5121" spans="1:4" x14ac:dyDescent="0.2">
      <c r="A5121" s="5">
        <v>5060</v>
      </c>
      <c r="B5121" s="1832">
        <f>'Revenues 9-14'!C109</f>
        <v>3213369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120000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120000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120000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0</v>
      </c>
      <c r="C5326" s="2" t="s">
        <v>569</v>
      </c>
      <c r="D5326" s="2" t="str">
        <f t="shared" si="82"/>
        <v>Error?</v>
      </c>
    </row>
    <row r="5327" spans="1:5" x14ac:dyDescent="0.2">
      <c r="A5327" s="5">
        <v>5266</v>
      </c>
      <c r="B5327" s="1832">
        <f>'Revenues 9-14'!C268</f>
        <v>3333369</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47756</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279868</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134305</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0.20986369524488135</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5600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39518</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39518</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260265</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260265</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260265</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260265</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260265</v>
      </c>
      <c r="D7624" s="2" t="str">
        <f t="shared" si="124"/>
        <v>Error?</v>
      </c>
      <c r="E7624" s="2" t="s">
        <v>19</v>
      </c>
    </row>
    <row r="7625" spans="1:5" x14ac:dyDescent="0.2">
      <c r="A7625">
        <f t="shared" si="123"/>
        <v>7564</v>
      </c>
      <c r="B7625" s="1832">
        <f>'Cap Outlay Deprec 26'!I17</f>
        <v>26026.5</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34593.5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3199064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631652</v>
      </c>
      <c r="D7834" s="2" t="str">
        <f t="shared" si="129"/>
        <v>Error?</v>
      </c>
      <c r="E7834" s="4" t="s">
        <v>1998</v>
      </c>
    </row>
    <row r="7835" spans="1:5" x14ac:dyDescent="0.2">
      <c r="A7835">
        <v>7774</v>
      </c>
      <c r="B7835" s="1832">
        <f>'PCTC-OEPP 27-28'!F78</f>
        <v>2567412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36837</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51902</v>
      </c>
      <c r="D7877" s="2" t="str">
        <f t="shared" si="129"/>
        <v>Error?</v>
      </c>
      <c r="E7877" s="4" t="s">
        <v>1998</v>
      </c>
    </row>
    <row r="7878" spans="1:5" x14ac:dyDescent="0.2">
      <c r="A7878">
        <v>7817</v>
      </c>
      <c r="B7878" s="1832">
        <f>'PCTC-OEPP 27-28'!F176</f>
        <v>2515510</v>
      </c>
      <c r="D7878" s="2" t="str">
        <f t="shared" si="129"/>
        <v>Error?</v>
      </c>
      <c r="E7878" s="4" t="s">
        <v>1998</v>
      </c>
    </row>
    <row r="7879" spans="1:5" x14ac:dyDescent="0.2">
      <c r="A7879">
        <v>7818</v>
      </c>
      <c r="B7879" s="1832">
        <f>'PCTC-OEPP 27-28'!F178</f>
        <v>2550103.5</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24" t="s">
        <v>1180</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8" t="str">
        <f>COVER!A17</f>
        <v xml:space="preserve">  Bismarck Henning Rossville Alvin Coop HS</v>
      </c>
      <c r="B7" s="2519"/>
      <c r="C7" s="2519"/>
      <c r="D7" s="2557"/>
      <c r="E7" s="2558">
        <f>COVER!A13</f>
        <v>54092800080</v>
      </c>
      <c r="F7" s="2559"/>
      <c r="G7" s="2525" t="str">
        <f>COVER!T23</f>
        <v>065.018319</v>
      </c>
      <c r="H7" s="2526"/>
      <c r="I7" s="2526"/>
      <c r="J7" s="2526"/>
      <c r="K7" s="2526"/>
      <c r="L7" s="25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8"/>
      <c r="B9" s="2529"/>
      <c r="C9" s="2529"/>
      <c r="D9" s="2529"/>
      <c r="E9" s="2529"/>
      <c r="F9" s="2530"/>
      <c r="G9" s="2531" t="str">
        <f>COVER!T13</f>
        <v>RUSSELL LEIGH &amp; ASSOCIATES LLC</v>
      </c>
      <c r="H9" s="2532"/>
      <c r="I9" s="2532"/>
      <c r="J9" s="2532"/>
      <c r="K9" s="2532"/>
      <c r="L9" s="2533"/>
    </row>
    <row r="10" spans="1:29" ht="13.5" customHeight="1" x14ac:dyDescent="0.2">
      <c r="A10" s="2515" t="str">
        <f>COVER!A38</f>
        <v>Scott Watson</v>
      </c>
      <c r="B10" s="2516"/>
      <c r="C10" s="2516"/>
      <c r="D10" s="2516"/>
      <c r="E10" s="2516"/>
      <c r="F10" s="2517"/>
      <c r="G10" s="2531" t="str">
        <f>COVER!T17</f>
        <v>228 E MAIN ST</v>
      </c>
      <c r="H10" s="2544"/>
      <c r="I10" s="2544"/>
      <c r="J10" s="2544"/>
      <c r="K10" s="2544"/>
      <c r="L10" s="2545"/>
    </row>
    <row r="11" spans="1:29" ht="13.5" customHeight="1" x14ac:dyDescent="0.2">
      <c r="A11" s="963" t="s">
        <v>1502</v>
      </c>
      <c r="B11" s="964"/>
      <c r="C11" s="965"/>
      <c r="D11" s="970"/>
      <c r="E11" s="965"/>
      <c r="F11" s="969"/>
      <c r="G11" s="2531" t="str">
        <f>COVER!T19</f>
        <v>HOOPESTON</v>
      </c>
      <c r="H11" s="2544"/>
      <c r="I11" s="2544"/>
      <c r="J11" s="2544"/>
      <c r="K11" s="2544"/>
      <c r="L11" s="2545"/>
    </row>
    <row r="12" spans="1:29" ht="13.5" customHeight="1" x14ac:dyDescent="0.2">
      <c r="A12" s="2549" t="s">
        <v>1501</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1503</v>
      </c>
      <c r="H13" s="2540"/>
      <c r="I13" s="2552" t="str">
        <f>COVER!T25</f>
        <v>admin@russleigh.com</v>
      </c>
      <c r="J13" s="2553"/>
      <c r="K13" s="2553"/>
      <c r="L13" s="2554"/>
    </row>
    <row r="14" spans="1:29" ht="13.5" customHeight="1" x14ac:dyDescent="0.2">
      <c r="A14" s="2531" t="str">
        <f>COVER!A19</f>
        <v>17268 E 2750 NORTH RD</v>
      </c>
      <c r="B14" s="2544"/>
      <c r="C14" s="2544"/>
      <c r="D14" s="2544"/>
      <c r="E14" s="2544"/>
      <c r="F14" s="2545"/>
      <c r="G14" s="974" t="s">
        <v>1175</v>
      </c>
      <c r="H14" s="972"/>
      <c r="I14" s="972"/>
      <c r="J14" s="972"/>
      <c r="K14" s="972"/>
      <c r="L14" s="973"/>
    </row>
    <row r="15" spans="1:29" ht="13.5" customHeight="1" x14ac:dyDescent="0.2">
      <c r="A15" s="2531" t="str">
        <f>COVER!A21</f>
        <v>BISMARCK</v>
      </c>
      <c r="B15" s="2544"/>
      <c r="C15" s="2544"/>
      <c r="D15" s="2544"/>
      <c r="E15" s="2544"/>
      <c r="F15" s="2545"/>
      <c r="G15" s="2541" t="str">
        <f>COVER!T15</f>
        <v>RUSS LEIGH</v>
      </c>
      <c r="H15" s="2542"/>
      <c r="I15" s="2542"/>
      <c r="J15" s="2542"/>
      <c r="K15" s="2542"/>
      <c r="L15" s="2543"/>
    </row>
    <row r="16" spans="1:29" ht="12.2" customHeight="1" x14ac:dyDescent="0.2">
      <c r="A16" s="2521">
        <f>COVER!A25</f>
        <v>61814</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1174</v>
      </c>
      <c r="H17" s="972"/>
      <c r="I17" s="972"/>
      <c r="J17" s="972"/>
      <c r="K17" s="976" t="s">
        <v>1173</v>
      </c>
      <c r="L17" s="969"/>
      <c r="M17" s="962"/>
    </row>
    <row r="18" spans="1:13" ht="12.2" customHeight="1" x14ac:dyDescent="0.2">
      <c r="A18" s="2515"/>
      <c r="B18" s="2516"/>
      <c r="C18" s="2516"/>
      <c r="D18" s="2516"/>
      <c r="E18" s="2516"/>
      <c r="F18" s="2517"/>
      <c r="G18" s="2518" t="str">
        <f>COVER!T21</f>
        <v>217-283-9336</v>
      </c>
      <c r="H18" s="2519"/>
      <c r="I18" s="2519"/>
      <c r="J18" s="2519"/>
      <c r="K18" s="2518" t="str">
        <f>COVER!X21</f>
        <v>217-283-9736</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Bismarck Henning Rossville Alvin Coop HS</v>
      </c>
      <c r="B1" s="2561"/>
      <c r="C1" s="2561"/>
      <c r="D1" s="2561"/>
    </row>
    <row r="2" spans="1:11" s="991" customFormat="1" ht="12.75" x14ac:dyDescent="0.2">
      <c r="A2" s="2562">
        <f>'Single Audit Cover'!E7</f>
        <v>54092800080</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Bismarck Henning Rossville Alvin Coop HS</v>
      </c>
      <c r="B1" s="2565"/>
      <c r="C1" s="2565"/>
      <c r="D1" s="2565"/>
      <c r="E1" s="2565"/>
    </row>
    <row r="2" spans="1:5" x14ac:dyDescent="0.2">
      <c r="A2" s="2566">
        <f>'Single Audit Cover'!E7</f>
        <v>54092800080</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Bismarck Henning Rossville Alvin Coop HS</v>
      </c>
      <c r="C1" s="2569"/>
      <c r="D1" s="2569"/>
      <c r="E1" s="2569"/>
      <c r="F1" s="2569"/>
      <c r="G1" s="2569"/>
      <c r="H1" s="2569"/>
      <c r="I1" s="2569"/>
      <c r="J1" s="2569"/>
      <c r="K1" s="2569"/>
      <c r="L1" s="2569"/>
      <c r="M1" s="2569"/>
    </row>
    <row r="2" spans="2:14" ht="15" x14ac:dyDescent="0.2">
      <c r="B2" s="2570">
        <f>'Single Audit Cover'!E7</f>
        <v>54092800080</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Bismarck Henning Rossville Alvin Coop HS</v>
      </c>
      <c r="B1" s="2574"/>
      <c r="C1" s="2574"/>
      <c r="D1" s="2574"/>
      <c r="E1" s="2574"/>
      <c r="F1" s="2574"/>
    </row>
    <row r="2" spans="1:7" ht="13.5" customHeight="1" x14ac:dyDescent="0.2">
      <c r="A2" s="2570">
        <f>'Single Audit Cover'!E7</f>
        <v>54092800080</v>
      </c>
      <c r="B2" s="2570"/>
      <c r="C2" s="2570"/>
      <c r="D2" s="2570"/>
      <c r="E2" s="2570"/>
      <c r="F2" s="2570"/>
      <c r="G2" s="1051"/>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1705</v>
      </c>
      <c r="C6" s="295"/>
      <c r="D6" s="295"/>
    </row>
    <row r="7" spans="1:7" ht="60.95" customHeight="1" x14ac:dyDescent="0.2">
      <c r="A7" s="2573" t="s">
        <v>1706</v>
      </c>
      <c r="B7" s="2573"/>
      <c r="C7" s="2573"/>
      <c r="D7" s="2573"/>
      <c r="E7" s="2573"/>
      <c r="F7" s="257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3" t="s">
        <v>1708</v>
      </c>
      <c r="B13" s="2573"/>
      <c r="C13" s="2573"/>
      <c r="D13" s="2573"/>
      <c r="E13" s="2573"/>
      <c r="F13" s="2573"/>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1709</v>
      </c>
      <c r="B32" s="2581"/>
      <c r="C32" s="2581"/>
      <c r="D32" s="2581"/>
      <c r="E32" s="2581"/>
      <c r="F32" s="258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2">
        <f>+C33+C34</f>
        <v>0</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2067</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Bismarck Henning Rossville Alvin Coop HS</v>
      </c>
      <c r="C1" s="2590"/>
      <c r="D1" s="2590"/>
      <c r="E1" s="2590"/>
      <c r="F1" s="2590"/>
      <c r="G1" s="2590"/>
      <c r="H1" s="2590"/>
      <c r="I1" s="2590"/>
      <c r="J1" s="1178"/>
    </row>
    <row r="2" spans="2:10" s="295" customFormat="1" ht="12.75" customHeight="1" x14ac:dyDescent="0.2">
      <c r="B2" s="2591">
        <f>'Single Audit Cover'!E7</f>
        <v>54092800080</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c r="E29" s="2596"/>
      <c r="F29" s="2596"/>
      <c r="G29" s="2596"/>
      <c r="H29" s="2596"/>
      <c r="I29" s="259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7" t="s">
        <v>1728</v>
      </c>
      <c r="D37" s="2598"/>
      <c r="E37" s="2598"/>
      <c r="F37" s="2599"/>
      <c r="G37" s="2597" t="s">
        <v>1575</v>
      </c>
      <c r="H37" s="2598"/>
      <c r="I37" s="2599"/>
    </row>
    <row r="38" spans="2:9" ht="16.5" customHeight="1" x14ac:dyDescent="0.2">
      <c r="B38" s="1200"/>
      <c r="C38" s="2585"/>
      <c r="D38" s="2586"/>
      <c r="E38" s="2586"/>
      <c r="F38" s="2587"/>
      <c r="G38" s="2600"/>
      <c r="H38" s="2601"/>
      <c r="I38" s="2602"/>
    </row>
    <row r="39" spans="2:9" ht="16.5" customHeight="1" x14ac:dyDescent="0.2">
      <c r="B39" s="1200"/>
      <c r="C39" s="2585"/>
      <c r="D39" s="2586"/>
      <c r="E39" s="2586"/>
      <c r="F39" s="2587"/>
      <c r="G39" s="2588"/>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1576</v>
      </c>
      <c r="D43" s="2604"/>
      <c r="E43" s="2604"/>
      <c r="F43" s="2605"/>
      <c r="G43" s="2606">
        <f>SUM(G38:I42)</f>
        <v>0</v>
      </c>
      <c r="H43" s="2606"/>
      <c r="I43" s="2606"/>
    </row>
    <row r="44" spans="2:9" ht="12.75" customHeight="1" x14ac:dyDescent="0.2"/>
    <row r="45" spans="2:9" ht="12.75" customHeight="1" x14ac:dyDescent="0.2">
      <c r="B45" s="1918" t="str">
        <f>"Total Federal Expenditures for 7/1/"&amp;MID('AFR20'!E2,3,2)-1&amp;"-6/30/"&amp;MID('AFR20'!E2,3,2)</f>
        <v>Total Federal Expenditures for 7/1/19-6/30/20</v>
      </c>
      <c r="C45" s="1919"/>
      <c r="D45" s="2607">
        <v>0</v>
      </c>
      <c r="E45" s="260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9"/>
      <c r="F49" s="2609"/>
      <c r="G49" s="260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Bismarck Henning Rossville Alvin Coop HS</v>
      </c>
      <c r="C1" s="2589"/>
      <c r="D1" s="2589"/>
      <c r="E1" s="2589"/>
      <c r="F1" s="2589"/>
      <c r="G1" s="2589"/>
      <c r="H1" s="2589"/>
      <c r="I1" s="2589"/>
      <c r="J1" s="2589"/>
      <c r="K1" s="2589"/>
      <c r="L1" s="1144"/>
      <c r="M1" s="1144"/>
    </row>
    <row r="2" spans="1:13" ht="12" customHeight="1" x14ac:dyDescent="0.2">
      <c r="B2" s="2591">
        <f>'Single Audit Cover'!E7</f>
        <v>54092800080</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Bismarck Henning Rossville Alvin Coop HS</v>
      </c>
      <c r="C1" s="2616"/>
      <c r="D1" s="2616"/>
      <c r="E1" s="2616"/>
      <c r="F1" s="2616"/>
      <c r="G1" s="2616"/>
      <c r="H1" s="2616"/>
      <c r="I1" s="2616"/>
      <c r="J1" s="2616"/>
      <c r="K1" s="2616"/>
      <c r="L1" s="1221"/>
    </row>
    <row r="2" spans="1:12" ht="12.75" customHeight="1" x14ac:dyDescent="0.2">
      <c r="B2" s="2617">
        <f>'Single Audit Cover'!E7</f>
        <v>54092800080</v>
      </c>
      <c r="C2" s="2617"/>
      <c r="D2" s="2617"/>
      <c r="E2" s="2617"/>
      <c r="F2" s="2617"/>
      <c r="G2" s="2617"/>
      <c r="H2" s="2617"/>
      <c r="I2" s="2617"/>
      <c r="J2" s="2617"/>
      <c r="K2" s="2617"/>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Bismarck Henning Rossville Alvin Coop HS</v>
      </c>
      <c r="C1" s="2589"/>
      <c r="D1" s="2589"/>
      <c r="E1" s="1240"/>
    </row>
    <row r="2" spans="2:5" s="1058" customFormat="1" ht="12.75" customHeight="1" x14ac:dyDescent="0.2">
      <c r="B2" s="2591">
        <f>'Single Audit Cover'!E7</f>
        <v>54092800080</v>
      </c>
      <c r="C2" s="2591"/>
      <c r="D2" s="2591"/>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3333369</v>
      </c>
      <c r="E16" s="1547"/>
      <c r="F16" s="1546">
        <f>SUM('Acct Summary 7-8'!C17,'Acct Summary 7-8'!D17,'Acct Summary 7-8'!F17)</f>
        <v>3199064</v>
      </c>
      <c r="G16" s="1547"/>
      <c r="H16" s="1546">
        <f>SUM(D16-F16)</f>
        <v>134305</v>
      </c>
      <c r="I16" s="1548"/>
      <c r="J16" s="1546">
        <f>SUM('Acct Summary 7-8'!C81,'Acct Summary 7-8'!D81,'Acct Summary 7-8'!F81,'Acct Summary 7-8'!I81)</f>
        <v>639963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Bismarck Henning Rossville Alvin Coop HS</v>
      </c>
      <c r="E7" s="368"/>
      <c r="G7" s="247"/>
      <c r="H7" s="364"/>
      <c r="I7" s="364"/>
      <c r="J7" s="364"/>
      <c r="K7" s="364"/>
      <c r="L7" s="307"/>
      <c r="M7" s="307"/>
      <c r="N7" s="307"/>
      <c r="O7" s="307"/>
      <c r="P7" s="307"/>
    </row>
    <row r="8" spans="1:18" ht="12.75" x14ac:dyDescent="0.2">
      <c r="A8" s="307"/>
      <c r="B8" s="307"/>
      <c r="C8" s="366" t="s">
        <v>1115</v>
      </c>
      <c r="D8" s="369">
        <f>COVER!A13</f>
        <v>54092800080</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639963</v>
      </c>
      <c r="I12" s="380"/>
      <c r="J12" s="380"/>
      <c r="K12" s="1559">
        <f>TRUNC((H12/H13*100000),5)/100000</f>
        <v>0.19198684570000002</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3333369</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3199064</v>
      </c>
      <c r="I17" s="380"/>
      <c r="J17" s="389"/>
      <c r="K17" s="1559">
        <f>TRUNC((H17/H18*100000),5)/100000</f>
        <v>0.9597089311</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3333369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872075</v>
      </c>
      <c r="I24" s="394"/>
      <c r="J24" s="394"/>
      <c r="K24" s="1555">
        <f>TRUNC(((H24/H25*100000)/100000),2)</f>
        <v>98.13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8886.2888899999998</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872075</v>
      </c>
      <c r="D4" s="1573"/>
      <c r="E4" s="1573"/>
      <c r="F4" s="1573"/>
      <c r="G4" s="1573"/>
      <c r="H4" s="1573"/>
      <c r="I4" s="1573"/>
      <c r="J4" s="1574"/>
      <c r="K4" s="1573"/>
      <c r="L4" s="1573">
        <v>209415</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47756</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919831</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209415</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34519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68412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102931</v>
      </c>
      <c r="N23" s="1594">
        <f>SUM(N21:N22)</f>
        <v>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279868</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209415</v>
      </c>
      <c r="M33" s="1575"/>
      <c r="N33" s="1576"/>
    </row>
    <row r="34" spans="1:14" ht="13.5" customHeight="1" thickBot="1" x14ac:dyDescent="0.25">
      <c r="A34" s="1427" t="s">
        <v>649</v>
      </c>
      <c r="B34" s="1428"/>
      <c r="C34" s="1600">
        <f>SUM(C25:C33)</f>
        <v>279868</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209415</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639963</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102931</v>
      </c>
      <c r="N40" s="1604"/>
    </row>
    <row r="41" spans="1:14" ht="13.5" customHeight="1" thickBot="1" x14ac:dyDescent="0.25">
      <c r="A41" s="1426" t="s">
        <v>650</v>
      </c>
      <c r="B41" s="1405"/>
      <c r="C41" s="1594">
        <f>(SUM(C34,C37,C38,C39))</f>
        <v>919831</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209415</v>
      </c>
      <c r="M41" s="1594">
        <f>SUM(M40)</f>
        <v>102931</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3213369</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120000</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3333369</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1273874</v>
      </c>
      <c r="D9" s="1613"/>
      <c r="E9" s="1586"/>
      <c r="F9" s="1586"/>
      <c r="G9" s="1614"/>
      <c r="H9" s="1586"/>
      <c r="I9" s="1609" t="s">
        <v>1159</v>
      </c>
      <c r="J9" s="1583"/>
      <c r="K9" s="1586"/>
      <c r="L9" s="325"/>
    </row>
    <row r="10" spans="1:13" s="452" customFormat="1" ht="13.5" thickBot="1" x14ac:dyDescent="0.25">
      <c r="A10" s="1426" t="s">
        <v>1163</v>
      </c>
      <c r="B10" s="1407"/>
      <c r="C10" s="1594">
        <f>SUM(C8:C9)</f>
        <v>4607243</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1864317</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1032368</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302379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3199064</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1273874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4472938</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4" t="s">
        <v>1636</v>
      </c>
      <c r="B20" s="2235"/>
      <c r="C20" s="1622">
        <f>C8-C17</f>
        <v>134305</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134305</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505658</v>
      </c>
      <c r="D79" s="1630"/>
      <c r="E79" s="1630"/>
      <c r="F79" s="1630"/>
      <c r="G79" s="1630"/>
      <c r="H79" s="1630"/>
      <c r="I79" s="1630"/>
      <c r="J79" s="1630"/>
      <c r="K79" s="1630"/>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639963</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134305</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0.20986369524488135</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21" sqref="C2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3118760</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3118760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670</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670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32192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4645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36837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15065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15065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5600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36437</v>
      </c>
      <c r="D107" s="1573"/>
      <c r="E107" s="1573"/>
      <c r="F107" s="1573"/>
      <c r="G107" s="1573"/>
      <c r="H107" s="1573"/>
      <c r="I107" s="1573"/>
      <c r="J107" s="1574"/>
      <c r="K107" s="1573"/>
    </row>
    <row r="108" spans="1:12" ht="12.75" customHeight="1" thickBot="1" x14ac:dyDescent="0.25">
      <c r="A108" s="1406" t="s">
        <v>484</v>
      </c>
      <c r="B108" s="1408"/>
      <c r="C108" s="1633">
        <f>SUM(C95:C107)</f>
        <v>42037</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3213369</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120000</v>
      </c>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120000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120000</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3333369</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6" activePane="bottomLeft" state="frozen"/>
      <selection pane="bottomLeft"/>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921074</v>
      </c>
      <c r="D5" s="1573">
        <v>281591</v>
      </c>
      <c r="E5" s="1573">
        <v>34691</v>
      </c>
      <c r="F5" s="1573">
        <v>48461</v>
      </c>
      <c r="G5" s="1573">
        <v>5739</v>
      </c>
      <c r="H5" s="1573">
        <v>3908</v>
      </c>
      <c r="I5" s="1574"/>
      <c r="J5" s="1574"/>
      <c r="K5" s="1672">
        <f>SUM(C5:J5)</f>
        <v>1295464</v>
      </c>
      <c r="L5" s="1573">
        <v>1343548</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155562</v>
      </c>
      <c r="D8" s="1573">
        <v>54938</v>
      </c>
      <c r="E8" s="1573">
        <v>814</v>
      </c>
      <c r="F8" s="1573">
        <v>846</v>
      </c>
      <c r="G8" s="1573"/>
      <c r="H8" s="1573"/>
      <c r="I8" s="1574"/>
      <c r="J8" s="1574"/>
      <c r="K8" s="1672">
        <f t="shared" si="0"/>
        <v>212160</v>
      </c>
      <c r="L8" s="1573">
        <v>222932</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137712</v>
      </c>
      <c r="D13" s="1573">
        <v>44480</v>
      </c>
      <c r="E13" s="1573">
        <v>590</v>
      </c>
      <c r="F13" s="1573">
        <v>3142</v>
      </c>
      <c r="G13" s="1573">
        <v>5060</v>
      </c>
      <c r="H13" s="1573">
        <v>315</v>
      </c>
      <c r="I13" s="1574"/>
      <c r="J13" s="1574"/>
      <c r="K13" s="1672">
        <f t="shared" si="0"/>
        <v>191299</v>
      </c>
      <c r="L13" s="1573">
        <v>224356</v>
      </c>
    </row>
    <row r="14" spans="1:14" x14ac:dyDescent="0.2">
      <c r="A14" s="1274" t="s">
        <v>957</v>
      </c>
      <c r="B14" s="503">
        <v>1500</v>
      </c>
      <c r="C14" s="1573">
        <v>99195</v>
      </c>
      <c r="D14" s="1573">
        <v>8152</v>
      </c>
      <c r="E14" s="1573">
        <v>24587</v>
      </c>
      <c r="F14" s="1573">
        <v>31748</v>
      </c>
      <c r="G14" s="1573">
        <v>573</v>
      </c>
      <c r="H14" s="1573">
        <v>1139</v>
      </c>
      <c r="I14" s="1574"/>
      <c r="J14" s="1574"/>
      <c r="K14" s="1672">
        <f t="shared" si="0"/>
        <v>165394</v>
      </c>
      <c r="L14" s="1573">
        <v>174100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1313543</v>
      </c>
      <c r="D33" s="1674">
        <f t="shared" ref="D33:L33" si="1">SUM(D5:D32)</f>
        <v>389161</v>
      </c>
      <c r="E33" s="1674">
        <f t="shared" si="1"/>
        <v>60682</v>
      </c>
      <c r="F33" s="1674">
        <f t="shared" si="1"/>
        <v>84197</v>
      </c>
      <c r="G33" s="1674">
        <f t="shared" si="1"/>
        <v>11372</v>
      </c>
      <c r="H33" s="1674">
        <f t="shared" si="1"/>
        <v>5362</v>
      </c>
      <c r="I33" s="1674">
        <f t="shared" si="1"/>
        <v>0</v>
      </c>
      <c r="J33" s="1674">
        <f t="shared" si="1"/>
        <v>0</v>
      </c>
      <c r="K33" s="1674">
        <f t="shared" si="1"/>
        <v>1864317</v>
      </c>
      <c r="L33" s="1674">
        <f t="shared" si="1"/>
        <v>1964936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60829</v>
      </c>
      <c r="D37" s="1573">
        <v>17750</v>
      </c>
      <c r="E37" s="1573"/>
      <c r="F37" s="1573">
        <v>500</v>
      </c>
      <c r="G37" s="1573"/>
      <c r="H37" s="1573">
        <v>190</v>
      </c>
      <c r="I37" s="1574"/>
      <c r="J37" s="1574"/>
      <c r="K37" s="1672">
        <f t="shared" si="2"/>
        <v>79269</v>
      </c>
      <c r="L37" s="1573">
        <v>83892</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60829</v>
      </c>
      <c r="D42" s="1674">
        <f t="shared" ref="D42:L42" si="3">SUM(D36:D41)</f>
        <v>17750</v>
      </c>
      <c r="E42" s="1674">
        <f t="shared" si="3"/>
        <v>0</v>
      </c>
      <c r="F42" s="1674">
        <f t="shared" si="3"/>
        <v>500</v>
      </c>
      <c r="G42" s="1674">
        <f t="shared" si="3"/>
        <v>0</v>
      </c>
      <c r="H42" s="1674">
        <f t="shared" si="3"/>
        <v>190</v>
      </c>
      <c r="I42" s="1674">
        <f t="shared" si="3"/>
        <v>0</v>
      </c>
      <c r="J42" s="1674">
        <f t="shared" si="3"/>
        <v>0</v>
      </c>
      <c r="K42" s="1674">
        <f t="shared" si="3"/>
        <v>79269</v>
      </c>
      <c r="L42" s="1674">
        <f t="shared" si="3"/>
        <v>83892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v>38776</v>
      </c>
      <c r="D45" s="1573">
        <v>4082</v>
      </c>
      <c r="E45" s="1573"/>
      <c r="F45" s="1573">
        <v>2470</v>
      </c>
      <c r="G45" s="1573">
        <v>397</v>
      </c>
      <c r="H45" s="1573">
        <v>1814</v>
      </c>
      <c r="I45" s="1574"/>
      <c r="J45" s="1574"/>
      <c r="K45" s="1678">
        <f>SUM(C45:J45)</f>
        <v>47539</v>
      </c>
      <c r="L45" s="1573">
        <v>61570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38776</v>
      </c>
      <c r="D47" s="1674">
        <f t="shared" ref="D47:K47" si="4">SUM(D44:D46)</f>
        <v>4082</v>
      </c>
      <c r="E47" s="1674">
        <f t="shared" si="4"/>
        <v>0</v>
      </c>
      <c r="F47" s="1674">
        <f t="shared" si="4"/>
        <v>2470</v>
      </c>
      <c r="G47" s="1674">
        <f t="shared" si="4"/>
        <v>397</v>
      </c>
      <c r="H47" s="1674">
        <f t="shared" si="4"/>
        <v>1814</v>
      </c>
      <c r="I47" s="1674">
        <f t="shared" si="4"/>
        <v>0</v>
      </c>
      <c r="J47" s="1674">
        <f t="shared" si="4"/>
        <v>0</v>
      </c>
      <c r="K47" s="1674">
        <f t="shared" si="4"/>
        <v>47539</v>
      </c>
      <c r="L47" s="1674">
        <f>SUM(L44:L46)</f>
        <v>61570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4802</v>
      </c>
      <c r="D49" s="1586"/>
      <c r="E49" s="1586">
        <v>450</v>
      </c>
      <c r="F49" s="1586"/>
      <c r="G49" s="1586"/>
      <c r="H49" s="1586"/>
      <c r="I49" s="1574"/>
      <c r="J49" s="1574"/>
      <c r="K49" s="1678">
        <f>SUM(C49:J49)</f>
        <v>5252</v>
      </c>
      <c r="L49" s="1586">
        <v>10209</v>
      </c>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v>39518</v>
      </c>
      <c r="F52" s="1579"/>
      <c r="G52" s="1579"/>
      <c r="H52" s="1579"/>
      <c r="I52" s="1579"/>
      <c r="J52" s="1579"/>
      <c r="K52" s="1678">
        <f>SUM(C52:J52)</f>
        <v>39518</v>
      </c>
      <c r="L52" s="1579">
        <v>38859</v>
      </c>
    </row>
    <row r="53" spans="1:14" ht="12.75" customHeight="1" thickBot="1" x14ac:dyDescent="0.25">
      <c r="A53" s="1380" t="s">
        <v>712</v>
      </c>
      <c r="B53" s="1381" t="s">
        <v>33</v>
      </c>
      <c r="C53" s="1674">
        <f>SUM(C49:C52)</f>
        <v>4802</v>
      </c>
      <c r="D53" s="1674">
        <f t="shared" ref="D53:L53" si="5">SUM(D49:D52)</f>
        <v>0</v>
      </c>
      <c r="E53" s="1674">
        <f t="shared" si="5"/>
        <v>39968</v>
      </c>
      <c r="F53" s="1674">
        <f t="shared" si="5"/>
        <v>0</v>
      </c>
      <c r="G53" s="1674">
        <f t="shared" si="5"/>
        <v>0</v>
      </c>
      <c r="H53" s="1674">
        <f t="shared" si="5"/>
        <v>0</v>
      </c>
      <c r="I53" s="1674">
        <f t="shared" si="5"/>
        <v>0</v>
      </c>
      <c r="J53" s="1674">
        <f t="shared" si="5"/>
        <v>0</v>
      </c>
      <c r="K53" s="1674">
        <f t="shared" si="5"/>
        <v>44770</v>
      </c>
      <c r="L53" s="1674">
        <f t="shared" si="5"/>
        <v>49068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123949</v>
      </c>
      <c r="D55" s="1586">
        <v>30893</v>
      </c>
      <c r="E55" s="1586">
        <v>1921</v>
      </c>
      <c r="F55" s="1586">
        <v>1689</v>
      </c>
      <c r="G55" s="1586">
        <v>2000</v>
      </c>
      <c r="H55" s="1586">
        <v>1123</v>
      </c>
      <c r="I55" s="1574"/>
      <c r="J55" s="1574"/>
      <c r="K55" s="1678">
        <f>SUM(C55:J55)</f>
        <v>161575</v>
      </c>
      <c r="L55" s="1586">
        <v>170400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123949</v>
      </c>
      <c r="D57" s="1679">
        <f t="shared" ref="D57:K57" si="6">SUM(D55:D56)</f>
        <v>30893</v>
      </c>
      <c r="E57" s="1679">
        <f t="shared" si="6"/>
        <v>1921</v>
      </c>
      <c r="F57" s="1679">
        <f t="shared" si="6"/>
        <v>1689</v>
      </c>
      <c r="G57" s="1679">
        <f t="shared" si="6"/>
        <v>2000</v>
      </c>
      <c r="H57" s="1679">
        <f t="shared" si="6"/>
        <v>1123</v>
      </c>
      <c r="I57" s="1679">
        <f t="shared" si="6"/>
        <v>0</v>
      </c>
      <c r="J57" s="1679">
        <f t="shared" si="6"/>
        <v>0</v>
      </c>
      <c r="K57" s="1679">
        <f t="shared" si="6"/>
        <v>161575</v>
      </c>
      <c r="L57" s="1674">
        <f>SUM(L55:L56)</f>
        <v>170400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37170</v>
      </c>
      <c r="D60" s="1573">
        <v>16118</v>
      </c>
      <c r="E60" s="1573"/>
      <c r="F60" s="1573">
        <v>261</v>
      </c>
      <c r="G60" s="1573"/>
      <c r="H60" s="1573"/>
      <c r="I60" s="1574"/>
      <c r="J60" s="1574"/>
      <c r="K60" s="1678">
        <f t="shared" si="7"/>
        <v>53549</v>
      </c>
      <c r="L60" s="1573">
        <v>54037</v>
      </c>
      <c r="M60" s="501"/>
      <c r="N60" s="501"/>
    </row>
    <row r="61" spans="1:14" s="321" customFormat="1" x14ac:dyDescent="0.2">
      <c r="A61" s="1274" t="s">
        <v>195</v>
      </c>
      <c r="B61" s="503">
        <v>2540</v>
      </c>
      <c r="C61" s="1573">
        <v>25035</v>
      </c>
      <c r="D61" s="1573">
        <v>13157</v>
      </c>
      <c r="E61" s="1573">
        <v>152261</v>
      </c>
      <c r="F61" s="1573">
        <v>99709</v>
      </c>
      <c r="G61" s="1573">
        <v>55239</v>
      </c>
      <c r="H61" s="1573"/>
      <c r="I61" s="1574">
        <v>260265</v>
      </c>
      <c r="J61" s="1574"/>
      <c r="K61" s="1678">
        <f t="shared" si="7"/>
        <v>605666</v>
      </c>
      <c r="L61" s="1573">
        <v>248582</v>
      </c>
      <c r="M61" s="501"/>
      <c r="N61" s="501"/>
    </row>
    <row r="62" spans="1:14" s="321" customFormat="1" x14ac:dyDescent="0.2">
      <c r="A62" s="1274" t="s">
        <v>947</v>
      </c>
      <c r="B62" s="503">
        <v>2550</v>
      </c>
      <c r="C62" s="1573"/>
      <c r="D62" s="1573"/>
      <c r="E62" s="1573">
        <v>40000</v>
      </c>
      <c r="F62" s="1573"/>
      <c r="G62" s="1573"/>
      <c r="H62" s="1573"/>
      <c r="I62" s="1574"/>
      <c r="J62" s="1574"/>
      <c r="K62" s="1678">
        <f t="shared" si="7"/>
        <v>40000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62205</v>
      </c>
      <c r="D65" s="1674">
        <f t="shared" ref="D65:L65" si="8">SUM(D59:D64)</f>
        <v>29275</v>
      </c>
      <c r="E65" s="1674">
        <f t="shared" si="8"/>
        <v>192261</v>
      </c>
      <c r="F65" s="1674">
        <f t="shared" si="8"/>
        <v>99970</v>
      </c>
      <c r="G65" s="1674">
        <f t="shared" si="8"/>
        <v>55239</v>
      </c>
      <c r="H65" s="1674">
        <f t="shared" si="8"/>
        <v>0</v>
      </c>
      <c r="I65" s="1674">
        <f t="shared" si="8"/>
        <v>260265</v>
      </c>
      <c r="J65" s="1674">
        <f t="shared" si="8"/>
        <v>0</v>
      </c>
      <c r="K65" s="1674">
        <f t="shared" si="8"/>
        <v>699215</v>
      </c>
      <c r="L65" s="1674">
        <f t="shared" si="8"/>
        <v>302619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290561</v>
      </c>
      <c r="D74" s="1681">
        <f t="shared" ref="D74:K74" si="10">SUM(D42,D47,D53,D57,D65,D72,D73)</f>
        <v>82000</v>
      </c>
      <c r="E74" s="1681">
        <f t="shared" si="10"/>
        <v>234150</v>
      </c>
      <c r="F74" s="1681">
        <f t="shared" si="10"/>
        <v>104629</v>
      </c>
      <c r="G74" s="1681">
        <f t="shared" si="10"/>
        <v>57636</v>
      </c>
      <c r="H74" s="1681">
        <f t="shared" si="10"/>
        <v>3127</v>
      </c>
      <c r="I74" s="1681">
        <f t="shared" si="10"/>
        <v>260265</v>
      </c>
      <c r="J74" s="1681">
        <f t="shared" si="10"/>
        <v>0</v>
      </c>
      <c r="K74" s="1681">
        <f t="shared" si="10"/>
        <v>1032368</v>
      </c>
      <c r="L74" s="1681">
        <f>SUM(L42,L47,L53,L57,L65,L72,L73)</f>
        <v>667549</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206570</v>
      </c>
      <c r="F78" s="1673"/>
      <c r="G78" s="1673"/>
      <c r="H78" s="1682"/>
      <c r="I78" s="1582"/>
      <c r="J78" s="1582"/>
      <c r="K78" s="1672">
        <f t="shared" ref="K78:K83" si="11">SUM(C78:J78)</f>
        <v>206570</v>
      </c>
      <c r="L78" s="1586">
        <v>630685</v>
      </c>
    </row>
    <row r="79" spans="1:14" x14ac:dyDescent="0.2">
      <c r="A79" s="1274" t="s">
        <v>301</v>
      </c>
      <c r="B79" s="503">
        <v>4120</v>
      </c>
      <c r="C79" s="1673"/>
      <c r="D79" s="1673"/>
      <c r="E79" s="1573">
        <v>62529</v>
      </c>
      <c r="F79" s="1673"/>
      <c r="G79" s="1673"/>
      <c r="H79" s="1573"/>
      <c r="I79" s="1582"/>
      <c r="J79" s="1582"/>
      <c r="K79" s="1672">
        <f t="shared" si="11"/>
        <v>62529</v>
      </c>
      <c r="L79" s="1573">
        <v>52921</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33280</v>
      </c>
      <c r="F81" s="1673"/>
      <c r="G81" s="1673"/>
      <c r="H81" s="1573"/>
      <c r="I81" s="1582"/>
      <c r="J81" s="1582"/>
      <c r="K81" s="1672">
        <f t="shared" si="11"/>
        <v>33280</v>
      </c>
      <c r="L81" s="1573">
        <v>43500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302379</v>
      </c>
      <c r="F84" s="1673"/>
      <c r="G84" s="1673"/>
      <c r="H84" s="1674">
        <f>SUM(H78:H83)</f>
        <v>0</v>
      </c>
      <c r="I84" s="1582"/>
      <c r="J84" s="1582"/>
      <c r="K84" s="1674">
        <f>SUM(K78:K83)</f>
        <v>302379</v>
      </c>
      <c r="L84" s="1674">
        <f>SUM(L78:L83)</f>
        <v>727106</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302379</v>
      </c>
      <c r="F102" s="1673"/>
      <c r="G102" s="1673"/>
      <c r="H102" s="1681">
        <f>SUM(H84,H92,H100,H101)</f>
        <v>0</v>
      </c>
      <c r="I102" s="1582"/>
      <c r="J102" s="1582"/>
      <c r="K102" s="1681">
        <f>SUM(K84,K92,K100,K101)</f>
        <v>302379</v>
      </c>
      <c r="L102" s="1681">
        <f>SUM(L84,L92,L100,L101)</f>
        <v>727106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1604104</v>
      </c>
      <c r="D114" s="1674">
        <f t="shared" ref="D114:K114" si="13">SUM(D33,D74,D75,D102,D112,D113)</f>
        <v>471161</v>
      </c>
      <c r="E114" s="1674">
        <f t="shared" si="13"/>
        <v>597211</v>
      </c>
      <c r="F114" s="1674">
        <f t="shared" si="13"/>
        <v>188826</v>
      </c>
      <c r="G114" s="1674">
        <f t="shared" si="13"/>
        <v>69008</v>
      </c>
      <c r="H114" s="1674">
        <f>SUM(H33,H74,H75,H102,H112,H113)</f>
        <v>8489</v>
      </c>
      <c r="I114" s="1674">
        <f t="shared" si="13"/>
        <v>260265</v>
      </c>
      <c r="J114" s="1674">
        <f t="shared" si="13"/>
        <v>0</v>
      </c>
      <c r="K114" s="1674">
        <f t="shared" si="13"/>
        <v>3199064</v>
      </c>
      <c r="L114" s="1674">
        <f>SUM(L33,L74,L75,L102,L112,L113)</f>
        <v>3359591</v>
      </c>
    </row>
    <row r="115" spans="1:14" ht="13.5" thickTop="1" x14ac:dyDescent="0.2">
      <c r="A115" s="2264" t="s">
        <v>989</v>
      </c>
      <c r="B115" s="2265"/>
      <c r="C115" s="1675"/>
      <c r="D115" s="1675"/>
      <c r="E115" s="1675"/>
      <c r="F115" s="1675"/>
      <c r="G115" s="1675"/>
      <c r="H115" s="1675"/>
      <c r="I115" s="1675"/>
      <c r="J115" s="1675"/>
      <c r="K115" s="1689">
        <f>'Revenues 9-14'!C268-'Expenditures 15-22'!K114</f>
        <v>134305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1" t="s">
        <v>616</v>
      </c>
      <c r="B151" s="2261"/>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4" t="s">
        <v>989</v>
      </c>
      <c r="B175" s="2265"/>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4" t="s">
        <v>989</v>
      </c>
      <c r="B211" s="2265"/>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2" t="s">
        <v>502</v>
      </c>
      <c r="B295" s="2283"/>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4" t="s">
        <v>989</v>
      </c>
      <c r="B296" s="2265"/>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9" t="s">
        <v>275</v>
      </c>
      <c r="B312" s="2280"/>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4" t="s">
        <v>989</v>
      </c>
      <c r="B368" s="226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purl.org/dc/elements/1.1/"/>
    <ds:schemaRef ds:uri="http://purl.org/dc/terms/"/>
    <ds:schemaRef ds:uri="4d435f69-8686-490b-bd6d-b153bf22ab50"/>
    <ds:schemaRef ds:uri="http://schemas.microsoft.com/office/infopath/2007/PartnerControls"/>
    <ds:schemaRef ds:uri="http://schemas.microsoft.com/office/2006/documentManagement/types"/>
    <ds:schemaRef ds:uri="http://schemas.openxmlformats.org/package/2006/metadata/core-properties"/>
    <ds:schemaRef ds:uri="6ce3111e-7420-4802-b50a-75d4e9a0b980"/>
    <ds:schemaRef ds:uri="d21dc803-237d-4c68-8692-8d731fd29118"/>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2020-10-06T20:59:55Z</cp:lastPrinted>
  <dcterms:created xsi:type="dcterms:W3CDTF">2003-10-29T19:06:34Z</dcterms:created>
  <dcterms:modified xsi:type="dcterms:W3CDTF">2020-11-18T13:06:13Z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