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13_ncr:1_{81F7B212-70C9-446A-85E9-041D2E90DA6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5" r:id="rId31"/>
    <sheet name="SF&amp;QC Sec-2" sheetId="175" r:id="rId32"/>
    <sheet name="SF&amp;QC Sec-3" sheetId="176" r:id="rId33"/>
    <sheet name="SSPAF" sheetId="177" r:id="rId34"/>
    <sheet name="CAP 2020-001" sheetId="186" r:id="rId35"/>
  </sheets>
  <definedNames>
    <definedName name="_xlnm._FilterDatabase" localSheetId="23" hidden="1">'AFR20'!$A$1:$F$7884</definedName>
    <definedName name="Finding">#REF!</definedName>
    <definedName name="Finding2">#REF!</definedName>
    <definedName name="goof" localSheetId="34">#REF!</definedName>
    <definedName name="goof" localSheetId="30">#REF!</definedName>
    <definedName name="goof">#REF!</definedName>
    <definedName name="New">#REF!</definedName>
    <definedName name="oops" localSheetId="34">#REF!</definedName>
    <definedName name="oops" localSheetId="30">#REF!</definedName>
    <definedName name="oops">#REF!</definedName>
    <definedName name="pass" localSheetId="34">#REF!</definedName>
    <definedName name="pass" localSheetId="30">#REF!</definedName>
    <definedName name="pass">#REF!</definedName>
    <definedName name="pass1" localSheetId="34">#REF!</definedName>
    <definedName name="pass1" localSheetId="30">#REF!</definedName>
    <definedName name="pass1">#REF!</definedName>
    <definedName name="pass2" localSheetId="34">#REF!</definedName>
    <definedName name="pass2" localSheetId="30">#REF!</definedName>
    <definedName name="pass2">#REF!</definedName>
    <definedName name="pass3" localSheetId="34">#REF!</definedName>
    <definedName name="pass3" localSheetId="30">#REF!</definedName>
    <definedName name="pass3">#REF!</definedName>
    <definedName name="pass4" localSheetId="34">#REF!</definedName>
    <definedName name="pass4" localSheetId="30">#REF!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144D010A_0E2C_40DB_BB66_206DD8AC3C92_.wvu.Rows" localSheetId="34" hidden="1">'CAP 2020-001'!$1:$10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186" l="1"/>
  <c r="B11" i="186"/>
  <c r="B1" i="186" s="1"/>
  <c r="B2" i="185"/>
  <c r="B1"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89" i="106"/>
  <c r="D6289"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4" i="37"/>
  <c r="B4270" i="106" s="1"/>
  <c r="D4270" i="106" s="1"/>
  <c r="F56" i="34" l="1"/>
  <c r="B7832" i="106" s="1"/>
  <c r="D7832" i="106" s="1"/>
  <c r="B7078" i="106"/>
  <c r="D7078" i="106" s="1"/>
  <c r="H365" i="29"/>
  <c r="B7242" i="106" s="1"/>
  <c r="D7242" i="106" s="1"/>
  <c r="D36" i="108"/>
  <c r="D14" i="4"/>
  <c r="B2570" i="106" s="1"/>
  <c r="D2570" i="106" s="1"/>
  <c r="F50" i="34"/>
  <c r="F42" i="34"/>
  <c r="C129" i="29"/>
  <c r="B1225" i="106" s="1"/>
  <c r="D1225" i="106" s="1"/>
  <c r="L22" i="37"/>
  <c r="D22" i="37"/>
  <c r="B7047" i="106"/>
  <c r="D7047"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C151" i="29"/>
  <c r="B1226" i="106" s="1"/>
  <c r="D1226" i="106" s="1"/>
  <c r="C367" i="29"/>
  <c r="B3622" i="106" s="1"/>
  <c r="D3622" i="106" s="1"/>
  <c r="L114" i="29"/>
  <c r="I151" i="29"/>
  <c r="F59" i="34" s="1"/>
  <c r="I7" i="4"/>
  <c r="B4444" i="106" s="1"/>
  <c r="D4444" i="106" s="1"/>
  <c r="L16" i="11"/>
  <c r="B2061" i="106" s="1"/>
  <c r="D2061"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H24" i="118"/>
  <c r="K24" i="118" s="1"/>
  <c r="O23" i="118" s="1"/>
  <c r="O25" i="118" s="1"/>
  <c r="D36" i="36"/>
  <c r="B3411" i="106"/>
  <c r="D3411" i="106" s="1"/>
  <c r="E13" i="3"/>
  <c r="B131" i="106" s="1"/>
  <c r="D13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<sst xmlns="http://schemas.openxmlformats.org/spreadsheetml/2006/main" count="5190" uniqueCount="2103">
  <si>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</si>
  <si>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</si>
  <si>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</si>
  <si>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</si>
  <si>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</si>
  <si>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</si>
  <si>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</si>
  <si>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</si>
  <si>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</si>
  <si>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</si>
  <si>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</si>
  <si>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</si>
  <si>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</si>
  <si>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</si>
  <si>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</si>
  <si>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</si>
  <si>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</si>
  <si>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</si>
  <si>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</si>
  <si>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</si>
  <si>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</si>
  <si>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</si>
  <si>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</si>
  <si>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</si>
  <si>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</si>
  <si>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</si>
  <si>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</si>
  <si>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</si>
  <si>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</si>
  <si>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</si>
  <si>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</si>
  <si>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</si>
  <si>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</si>
  <si>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</si>
  <si>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</si>
  <si>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</si>
  <si>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</si>
  <si>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</si>
  <si>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</si>
  <si>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</si>
  <si>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</si>
  <si>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</si>
  <si>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</si>
  <si>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</si>
  <si>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</si>
  <si>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</si>
  <si>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</si>
  <si>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</si>
  <si>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</si>
  <si>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</si>
  <si>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</si>
  <si>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</si>
  <si>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</si>
  <si>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</si>
  <si>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</si>
  <si>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</si>
  <si>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</si>
  <si>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</si>
  <si>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</si>
  <si>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</si>
  <si>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</si>
  <si>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</si>
  <si>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</si>
  <si>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</si>
  <si>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</si>
  <si>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</si>
  <si>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</si>
  <si>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</si>
  <si>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</si>
  <si>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</si>
  <si>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</si>
  <si>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</si>
  <si>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</si>
  <si>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</si>
  <si>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</si>
  <si>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</si>
  <si>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</si>
  <si>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</si>
  <si>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</si>
  <si>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</si>
  <si>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</si>
  <si>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</si>
  <si>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</si>
  <si>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</si>
  <si>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</si>
  <si>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</si>
  <si>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</si>
  <si>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</si>
  <si>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</si>
  <si>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</si>
  <si>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</si>
  <si>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</si>
  <si>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</si>
  <si>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</si>
  <si>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</si>
  <si>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</si>
  <si>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</si>
  <si>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</si>
  <si>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</si>
  <si>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</si>
  <si>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</si>
  <si>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</si>
  <si>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</si>
  <si>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</si>
  <si>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</si>
  <si>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</si>
  <si>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</si>
  <si>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</si>
  <si>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</si>
  <si>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</si>
  <si>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</si>
  <si>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</si>
  <si>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</si>
  <si>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</si>
  <si>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</si>
  <si>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</si>
  <si>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</si>
  <si>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</si>
  <si>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</si>
  <si>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</si>
  <si>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</si>
  <si>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</si>
  <si>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</si>
  <si>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</si>
  <si>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</si>
  <si>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</si>
  <si>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</si>
  <si>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</si>
  <si>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</si>
  <si>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</si>
  <si>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</si>
  <si>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</si>
  <si>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</si>
  <si>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</si>
  <si>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</si>
  <si>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</si>
  <si>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</si>
  <si>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</si>
  <si>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</si>
  <si>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</si>
  <si>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</si>
  <si>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</si>
  <si>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</si>
  <si>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</si>
  <si>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</si>
  <si>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</si>
  <si>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</si>
  <si>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</si>
  <si>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</si>
  <si>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</si>
  <si>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</si>
  <si>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</si>
  <si>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</si>
  <si>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</si>
  <si>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</si>
  <si>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</si>
  <si>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</si>
  <si>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</si>
  <si>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</si>
  <si>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</si>
  <si>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</si>
  <si>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</si>
  <si>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</si>
  <si>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</si>
  <si>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</si>
  <si>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</si>
  <si>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</si>
  <si>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</si>
  <si>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</si>
  <si>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</si>
  <si>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</si>
  <si>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</si>
  <si>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</si>
  <si>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</si>
  <si>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</si>
  <si>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</si>
  <si>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</si>
  <si>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</si>
  <si>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</si>
  <si>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</si>
  <si>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</si>
  <si>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</si>
  <si>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</si>
  <si>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</si>
  <si>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</si>
  <si>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</si>
  <si>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</si>
  <si>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</si>
  <si>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</si>
  <si>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</si>
  <si>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</si>
  <si>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</si>
  <si>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</si>
  <si>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</si>
  <si>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</si>
  <si>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</si>
  <si>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</si>
  <si>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</si>
  <si>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</si>
  <si>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</si>
  <si>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</si>
  <si>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</si>
  <si>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</si>
  <si>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</si>
  <si>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</si>
  <si>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</si>
  <si>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</si>
  <si>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</si>
  <si>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</si>
  <si>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</si>
  <si>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</si>
  <si>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</si>
  <si>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</si>
  <si>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</si>
  <si>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</si>
  <si>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</si>
  <si>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</si>
  <si>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</si>
  <si>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</si>
  <si>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</si>
  <si>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</si>
  <si>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</si>
  <si>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</si>
  <si>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</si>
  <si>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</si>
  <si>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</si>
  <si>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</si>
  <si>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</si>
  <si>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</si>
  <si>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</si>
  <si>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</si>
  <si>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</si>
  <si>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</si>
  <si>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</si>
  <si>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</si>
  <si>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</si>
  <si>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</si>
  <si>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</si>
  <si>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</si>
  <si>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</si>
  <si>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</si>
  <si>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</si>
  <si>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</si>
  <si>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</si>
  <si>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</si>
  <si>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</si>
  <si>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</si>
  <si>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</si>
  <si>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</si>
  <si>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</si>
  <si>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</si>
  <si>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</si>
  <si>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</si>
  <si>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</si>
  <si>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</si>
  <si>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</si>
  <si>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</si>
  <si>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</si>
  <si>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</si>
  <si>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</si>
  <si>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</si>
  <si>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</si>
  <si>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</si>
  <si>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</si>
  <si>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</si>
  <si>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</si>
  <si>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</si>
  <si>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</si>
  <si>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</si>
  <si>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</si>
  <si>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</si>
  <si>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</si>
  <si>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</si>
  <si>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</si>
  <si>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</si>
  <si>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</si>
  <si>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</si>
  <si>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</si>
  <si>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</si>
  <si>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</si>
  <si>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</si>
  <si>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</si>
  <si>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</si>
  <si>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</si>
  <si>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</si>
  <si>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</si>
  <si>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</si>
  <si>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</si>
  <si>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</si>
  <si>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</si>
  <si>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</si>
  <si>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</si>
  <si>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</si>
  <si>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</si>
  <si>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</si>
  <si>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</si>
  <si>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</si>
  <si>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</si>
  <si>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</si>
  <si>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</si>
  <si>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</si>
  <si>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</si>
  <si>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</si>
  <si>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</si>
  <si>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</si>
  <si>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</si>
  <si>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</si>
  <si>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</si>
  <si>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</si>
  <si>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</si>
  <si>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</si>
  <si>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</si>
  <si>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</si>
  <si>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</si>
  <si>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</si>
  <si>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</si>
  <si>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</si>
  <si>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</si>
  <si>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</si>
  <si>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</si>
  <si>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</si>
  <si>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</si>
  <si>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</si>
  <si>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</si>
  <si>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</si>
  <si>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</si>
  <si>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</si>
  <si>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</si>
  <si>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</si>
  <si>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</si>
  <si>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</si>
  <si>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</si>
  <si>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</si>
  <si>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</si>
  <si>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</si>
  <si>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</si>
  <si>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</si>
  <si>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</si>
  <si>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</si>
  <si>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</si>
  <si>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</si>
  <si>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</si>
  <si>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</si>
  <si>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</si>
  <si>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</si>
  <si>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</si>
  <si>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</si>
  <si>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</si>
  <si>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</si>
  <si>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</si>
  <si>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</si>
  <si>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</si>
  <si>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</si>
  <si>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</si>
  <si>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</si>
  <si>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</si>
  <si>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</si>
  <si>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</si>
  <si>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</si>
  <si>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</si>
  <si>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</si>
  <si>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</si>
  <si>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</si>
  <si>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</si>
  <si>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</si>
  <si>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</si>
  <si>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</si>
  <si>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</si>
  <si>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</si>
  <si>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</si>
  <si>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</si>
  <si>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</si>
  <si>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</si>
  <si>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</si>
  <si>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</si>
  <si>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</si>
  <si>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</si>
  <si>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</si>
  <si>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</si>
  <si>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</si>
  <si>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</si>
  <si>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</si>
  <si>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</si>
  <si>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</si>
  <si>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</si>
  <si>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</si>
  <si>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</si>
  <si>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</si>
  <si>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</si>
  <si>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</si>
  <si>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</si>
  <si>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</si>
  <si>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</si>
  <si>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</si>
  <si>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</si>
  <si>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</si>
  <si>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</si>
  <si>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</si>
  <si>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</si>
  <si>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</si>
  <si>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</si>
  <si>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</si>
  <si>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</si>
  <si>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</si>
  <si>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</si>
  <si>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</si>
  <si>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</si>
  <si>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</si>
  <si>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</si>
  <si>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</si>
  <si>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</si>
  <si>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</si>
  <si>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</si>
  <si>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</si>
  <si>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</si>
  <si>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</si>
  <si>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</si>
  <si>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</si>
  <si>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</si>
  <si>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</si>
  <si>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</si>
  <si>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</si>
  <si>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</si>
  <si>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</si>
  <si>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</si>
  <si>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</si>
  <si>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</si>
  <si>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</si>
  <si>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</si>
  <si>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</si>
  <si>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</si>
  <si>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</si>
  <si>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</si>
  <si>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</si>
  <si>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</si>
  <si>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</si>
  <si>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</si>
  <si>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</si>
  <si>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</si>
  <si>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</si>
  <si>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</si>
  <si>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</si>
  <si>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</si>
  <si>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</si>
  <si>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</si>
  <si>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</si>
  <si>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</si>
  <si>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</si>
  <si>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</si>
  <si>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</si>
  <si>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</si>
  <si>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</si>
  <si>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</si>
  <si>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</si>
  <si>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</si>
  <si>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</si>
  <si>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</si>
  <si>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</si>
  <si>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</si>
  <si>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</si>
  <si>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</si>
  <si>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</si>
  <si>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</si>
  <si>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</si>
  <si>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</si>
  <si>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</si>
  <si>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</si>
  <si>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</si>
  <si>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</si>
  <si>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</si>
  <si>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</si>
  <si>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</si>
  <si>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</si>
  <si>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</si>
  <si>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</si>
  <si>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</si>
  <si>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</si>
  <si>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</si>
  <si>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</si>
  <si>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</si>
  <si>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</si>
  <si>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</si>
  <si>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</si>
  <si>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</si>
  <si>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</si>
  <si>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</si>
  <si>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</si>
  <si>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</si>
  <si>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</si>
  <si>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</si>
  <si>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</si>
  <si>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</si>
  <si>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</si>
  <si>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</si>
  <si>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</si>
  <si>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</si>
  <si>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</si>
  <si>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</si>
  <si>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</si>
  <si>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</si>
  <si>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</si>
  <si>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</si>
  <si>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</si>
  <si>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</si>
  <si>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</si>
  <si>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</si>
  <si>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</si>
  <si>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</si>
  <si>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</si>
  <si>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</si>
  <si>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</si>
  <si>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</si>
  <si>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</si>
  <si>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</si>
  <si>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</si>
  <si>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</si>
  <si>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</si>
  <si>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</si>
  <si>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</si>
  <si>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</si>
  <si>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</si>
  <si>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</si>
  <si>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</si>
  <si>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</si>
  <si>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</si>
  <si>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</si>
  <si>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</si>
  <si>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</si>
  <si>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</si>
  <si>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</si>
  <si>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</si>
  <si>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</si>
  <si>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</si>
  <si>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</si>
  <si>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</si>
  <si>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</si>
  <si>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</si>
  <si>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</si>
  <si>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</si>
  <si>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</si>
  <si>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</si>
  <si>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</si>
  <si>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</si>
  <si>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</si>
  <si>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</si>
  <si>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</si>
  <si>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</si>
  <si>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</si>
  <si>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</si>
  <si>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</si>
  <si>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</si>
  <si>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</si>
  <si>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</si>
  <si>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</si>
  <si>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</si>
  <si>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</si>
  <si>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</si>
  <si>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</si>
  <si>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</si>
  <si>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</si>
  <si>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</si>
  <si>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</si>
  <si>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</si>
  <si>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</si>
  <si>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</si>
  <si>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</si>
  <si>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</si>
  <si>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</si>
  <si>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</si>
  <si>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</si>
  <si>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</si>
  <si>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</si>
  <si>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</si>
  <si>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</si>
  <si>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</si>
  <si>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</si>
  <si>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</si>
  <si>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</si>
  <si>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</si>
  <si>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</si>
  <si>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</si>
  <si>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</si>
  <si>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</si>
  <si>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</si>
  <si>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</si>
  <si>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</si>
  <si>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</si>
  <si>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</si>
  <si>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</si>
  <si>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</si>
  <si>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</si>
  <si>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</si>
  <si>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</si>
  <si>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</si>
  <si>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</si>
  <si>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</si>
  <si>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</si>
  <si>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</si>
  <si>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</si>
  <si>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</si>
  <si>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</si>
  <si>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</si>
  <si>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</si>
  <si>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</si>
  <si>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</si>
  <si>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</si>
  <si>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</si>
  <si>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</si>
  <si>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</si>
  <si>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</si>
  <si>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</si>
  <si>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</si>
  <si>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</si>
  <si>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</si>
  <si>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</si>
  <si>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</si>
  <si>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</si>
  <si>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</si>
  <si>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</si>
  <si>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</si>
  <si>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</si>
  <si>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</si>
  <si>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</si>
  <si>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</si>
  <si>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</si>
  <si>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</si>
  <si>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</si>
  <si>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</si>
  <si>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</si>
  <si>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</si>
  <si>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</si>
  <si>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</si>
  <si>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</si>
  <si>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</si>
  <si>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</si>
  <si>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</si>
  <si>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</si>
  <si>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</si>
  <si>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</si>
  <si>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</si>
  <si>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</si>
  <si>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</si>
  <si>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</si>
  <si>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</si>
  <si>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</si>
  <si>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</si>
  <si>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</si>
  <si>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</si>
  <si>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</si>
  <si>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</si>
  <si>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</si>
  <si>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</si>
  <si>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</si>
  <si>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</si>
  <si>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</si>
  <si>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</si>
  <si>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</si>
  <si>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</si>
  <si>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</si>
  <si>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</si>
  <si>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</si>
  <si>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</si>
  <si>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</si>
  <si>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</si>
  <si>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</si>
  <si>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</si>
  <si>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</si>
  <si>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</si>
  <si>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</si>
  <si>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</si>
  <si>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</si>
  <si>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</si>
  <si>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</si>
  <si>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</si>
  <si>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</si>
  <si>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</si>
  <si>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</si>
  <si>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</si>
  <si>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</si>
  <si>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</si>
  <si>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</si>
  <si>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</si>
  <si>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</si>
  <si>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</si>
  <si>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</si>
  <si>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</si>
  <si>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</si>
  <si>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</si>
  <si>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</si>
  <si>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</si>
  <si>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</si>
  <si>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</si>
  <si>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</si>
  <si>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</si>
  <si>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</si>
  <si>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</si>
  <si>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</si>
  <si>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</si>
  <si>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</si>
  <si>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</si>
  <si>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</si>
  <si>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</si>
  <si>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</si>
  <si>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</si>
  <si>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</si>
  <si>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</si>
  <si>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</si>
  <si>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</si>
  <si>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</si>
  <si>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</si>
  <si>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</si>
  <si>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</si>
  <si>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</si>
  <si>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</si>
  <si>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</si>
  <si>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</si>
  <si>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</si>
  <si>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</si>
  <si>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</si>
  <si>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</si>
  <si>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</si>
  <si>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</si>
  <si>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</si>
  <si>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</si>
  <si>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</si>
  <si>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</si>
  <si>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</si>
  <si>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</si>
  <si>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</si>
  <si>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</si>
  <si>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</si>
  <si>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</si>
  <si>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</si>
  <si>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</si>
  <si>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</si>
  <si>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</si>
  <si>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</si>
  <si>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</si>
  <si>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</si>
  <si>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</si>
  <si>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</si>
  <si>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</si>
  <si>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</si>
  <si>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</si>
  <si>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</si>
  <si>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</si>
  <si>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</si>
  <si>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</si>
  <si>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</si>
  <si>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</si>
  <si>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</si>
  <si>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</si>
  <si>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</si>
  <si>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</si>
  <si>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</si>
  <si>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</si>
  <si>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</si>
  <si>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</si>
  <si>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</si>
  <si>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</si>
  <si>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</si>
  <si>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</si>
  <si>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</si>
  <si>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</si>
  <si>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</si>
  <si>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</si>
  <si>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</si>
  <si>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</si>
  <si>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</si>
  <si>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</si>
  <si>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</si>
  <si>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</si>
  <si>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</si>
  <si>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</si>
  <si>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</si>
  <si>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</si>
  <si>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</si>
  <si>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</si>
  <si>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</si>
  <si>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</si>
  <si>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</si>
  <si>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</si>
  <si>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</si>
  <si>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</si>
  <si>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</si>
  <si>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</si>
  <si>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</si>
  <si>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</si>
  <si>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</si>
  <si>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</si>
  <si>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</si>
  <si>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</si>
  <si>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</si>
  <si>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</si>
  <si>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</si>
  <si>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</si>
  <si>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</si>
  <si>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</si>
  <si>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</si>
  <si>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</si>
  <si>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</si>
  <si>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</si>
  <si>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</si>
  <si>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</si>
  <si>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</si>
  <si>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</si>
  <si>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</si>
  <si>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</si>
  <si>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</si>
  <si>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</si>
  <si>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</si>
  <si>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</si>
  <si>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</si>
  <si>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</si>
  <si>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</si>
  <si>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</si>
  <si>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</si>
  <si>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</si>
  <si>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</si>
  <si>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</si>
  <si>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</si>
  <si>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</si>
  <si>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</si>
  <si>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</si>
  <si>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</si>
  <si>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</si>
  <si>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</si>
  <si>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</si>
  <si>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</si>
  <si>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</si>
  <si>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</si>
  <si>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</si>
  <si>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</si>
  <si>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</si>
  <si>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</si>
  <si>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</si>
  <si>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</si>
  <si>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</si>
  <si>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</si>
  <si>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</si>
  <si>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</si>
  <si>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</si>
  <si>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</si>
  <si>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</si>
  <si>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</si>
  <si>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</si>
  <si>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</si>
  <si>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</si>
  <si>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</si>
  <si>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</si>
  <si>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</si>
  <si>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</si>
  <si>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</si>
  <si>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</si>
  <si>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</si>
  <si>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</si>
  <si>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</si>
  <si>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</si>
  <si>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</si>
  <si>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</si>
  <si>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</si>
  <si>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</si>
  <si>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</si>
  <si>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</si>
  <si>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</si>
  <si>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</si>
  <si>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</si>
  <si>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</si>
  <si>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</si>
  <si>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</si>
  <si>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</si>
  <si>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</si>
  <si>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</si>
  <si>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</si>
  <si>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</si>
  <si>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</si>
  <si>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</si>
  <si>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</si>
  <si>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</si>
  <si>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</si>
  <si>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</si>
  <si>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</si>
  <si>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</si>
  <si>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</si>
  <si>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</si>
  <si>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</si>
  <si>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</si>
  <si>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</si>
  <si>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</si>
  <si>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</si>
  <si>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</si>
  <si>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</si>
  <si>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</si>
  <si>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</si>
  <si>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</si>
  <si>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</si>
  <si>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</si>
  <si>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</si>
  <si>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</si>
  <si>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</si>
  <si>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</si>
  <si>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</si>
  <si>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</si>
  <si>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</si>
  <si>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</si>
  <si>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</si>
  <si>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</si>
  <si>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</si>
  <si>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</si>
  <si>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</si>
  <si>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</si>
  <si>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</si>
  <si>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</si>
  <si>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</si>
  <si>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</si>
  <si>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</si>
  <si>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</si>
  <si>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</si>
  <si>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</si>
  <si>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</si>
  <si>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</si>
  <si>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</si>
  <si>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</si>
  <si>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</si>
  <si>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</si>
  <si>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</si>
  <si>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</si>
  <si>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</si>
  <si>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</si>
  <si>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</si>
  <si>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</si>
  <si>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</si>
  <si>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</si>
  <si>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</si>
  <si>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</si>
  <si>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</si>
  <si>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</si>
  <si>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</si>
  <si>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</si>
  <si>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</si>
  <si>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</si>
  <si>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</si>
  <si>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</si>
  <si>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</si>
  <si>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</si>
  <si>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</si>
  <si>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</si>
  <si>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</si>
  <si>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</si>
  <si>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</si>
  <si>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</si>
  <si>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</si>
  <si>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</si>
  <si>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</si>
  <si>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</si>
  <si>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</si>
  <si>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</si>
  <si>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</si>
  <si>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</si>
  <si>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</si>
  <si>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</si>
  <si>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</si>
  <si>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</si>
  <si>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</si>
  <si>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</si>
  <si>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</si>
  <si>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</si>
  <si>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</si>
  <si>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</si>
  <si>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</si>
  <si>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</si>
  <si>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</si>
  <si>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</si>
  <si>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</si>
  <si>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</si>
  <si>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</si>
  <si>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</si>
  <si>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</si>
  <si>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</si>
  <si>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</si>
  <si>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</si>
  <si>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</si>
  <si>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</si>
  <si>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</si>
  <si>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</si>
  <si>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</si>
  <si>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</si>
  <si>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</si>
  <si>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</si>
  <si>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</si>
  <si>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</si>
  <si>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</si>
  <si>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</si>
  <si>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</si>
  <si>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</si>
  <si>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</si>
  <si>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</si>
  <si>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</si>
  <si>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</si>
  <si>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</si>
  <si>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</si>
  <si>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</si>
  <si>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</si>
  <si>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</si>
  <si>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</si>
  <si>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</si>
  <si>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</si>
  <si>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</si>
  <si>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</si>
  <si>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</si>
  <si>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</si>
  <si>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</si>
  <si>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</si>
  <si>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</si>
  <si>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</si>
  <si>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</si>
  <si>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</si>
  <si>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</si>
  <si>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</si>
  <si>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</si>
  <si>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</si>
  <si>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</si>
  <si>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</si>
  <si>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</si>
  <si>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</si>
  <si>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</si>
  <si>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</si>
  <si>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</si>
  <si>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</si>
  <si>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</si>
  <si>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</si>
  <si>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</si>
  <si>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</si>
  <si>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</si>
  <si>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</si>
  <si>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</si>
  <si>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</si>
  <si>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</si>
  <si>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</si>
  <si>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</si>
  <si>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</si>
  <si>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</si>
  <si>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</si>
  <si>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</si>
  <si>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</si>
  <si>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</si>
  <si>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</si>
  <si>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</si>
  <si>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</si>
  <si>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</si>
  <si>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</si>
  <si>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</si>
  <si>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</si>
  <si>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</si>
  <si>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</si>
  <si>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</si>
  <si>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</si>
  <si>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</si>
  <si>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</si>
  <si>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</si>
  <si>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</si>
  <si>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</si>
  <si>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</si>
  <si>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</si>
  <si>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</si>
  <si>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</si>
  <si>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</si>
  <si>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</si>
  <si>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</si>
  <si>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</si>
  <si>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</si>
  <si>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</si>
  <si>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</si>
  <si>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</si>
  <si>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</si>
  <si>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</si>
  <si>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</si>
  <si>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</si>
  <si>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</si>
  <si>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</si>
  <si>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</si>
  <si>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</si>
  <si>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</si>
  <si>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</si>
  <si>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</si>
  <si>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</si>
  <si>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</si>
  <si>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</si>
  <si>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</si>
  <si>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</si>
  <si>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</si>
  <si>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</si>
  <si>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</si>
  <si>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</si>
  <si>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</si>
  <si>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</si>
  <si>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</si>
  <si>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</si>
  <si>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</si>
  <si>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</si>
  <si>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</si>
  <si>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</si>
  <si>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</si>
  <si>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</si>
  <si>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</si>
  <si>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</si>
  <si>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</si>
  <si>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</si>
  <si>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</si>
  <si>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</si>
  <si>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</si>
  <si>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</si>
  <si>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</si>
  <si>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</si>
  <si>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</si>
  <si>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</si>
  <si>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</si>
  <si>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</si>
  <si>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</si>
  <si>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</si>
  <si>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</si>
  <si>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</si>
  <si>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</si>
  <si>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</si>
  <si>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</si>
  <si>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</si>
  <si>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</si>
  <si>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</si>
  <si>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</si>
  <si>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</si>
  <si>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</si>
  <si>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</si>
  <si>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</si>
  <si>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</si>
  <si>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</si>
  <si>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</si>
  <si>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</si>
  <si>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</si>
  <si>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</si>
  <si>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</si>
  <si>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</si>
  <si>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</si>
  <si>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</si>
  <si>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</si>
  <si>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</si>
  <si>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</si>
  <si>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</si>
  <si>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</si>
  <si>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</si>
  <si>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</si>
  <si>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</si>
  <si>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</si>
  <si>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</si>
  <si>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</si>
  <si>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</si>
  <si>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</si>
  <si>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</si>
  <si>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</si>
  <si>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</si>
  <si>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</si>
  <si>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</si>
  <si>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</si>
  <si>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</si>
  <si>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</si>
  <si>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</si>
  <si>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</si>
  <si>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</si>
  <si>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</si>
  <si>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</si>
  <si>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</si>
  <si>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</si>
  <si>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</si>
  <si>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</si>
  <si>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</si>
  <si>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</si>
  <si>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</si>
  <si>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</si>
  <si>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</si>
  <si>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</si>
  <si>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</si>
  <si>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</si>
  <si>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</si>
  <si>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</si>
  <si>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</si>
  <si>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</si>
  <si>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</si>
  <si>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</si>
  <si>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</si>
  <si>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</si>
  <si>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</si>
  <si>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</si>
  <si>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</si>
  <si>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</si>
  <si>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</si>
  <si>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</si>
  <si>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</si>
  <si>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</si>
  <si>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</si>
  <si>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</si>
  <si>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</si>
  <si>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</si>
  <si>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</si>
  <si>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</si>
  <si>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</si>
  <si>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</si>
  <si>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</si>
  <si>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</si>
  <si>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</si>
  <si>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</si>
  <si>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</si>
  <si>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</si>
  <si>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</si>
  <si>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</si>
  <si>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</si>
  <si>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</si>
  <si>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</si>
  <si>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</si>
  <si>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</si>
  <si>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</si>
  <si>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</si>
  <si>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</si>
  <si>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</si>
  <si>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</si>
  <si>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</si>
  <si>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</si>
  <si>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</si>
  <si>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</si>
  <si>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</si>
  <si>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</si>
  <si>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</si>
  <si>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</si>
  <si>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</si>
  <si>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</si>
  <si>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</si>
  <si>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</si>
  <si>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</si>
  <si>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</si>
  <si>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</si>
  <si>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</si>
  <si>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</si>
  <si>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</si>
  <si>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</si>
  <si>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</si>
  <si>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</si>
  <si>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</si>
  <si>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</si>
  <si>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</si>
  <si>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</si>
  <si>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</si>
  <si>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</si>
  <si>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</si>
  <si>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</si>
  <si>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</si>
  <si>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</si>
  <si>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</si>
  <si>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</si>
  <si>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</si>
  <si>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</si>
  <si>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</si>
  <si>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</si>
  <si>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</si>
  <si>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</si>
  <si>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</si>
  <si>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</si>
  <si>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</si>
  <si>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</si>
  <si>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</si>
  <si>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</si>
  <si>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</si>
  <si>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</si>
  <si>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</si>
  <si>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</si>
  <si>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</si>
  <si>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</si>
  <si>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</si>
  <si>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</si>
  <si>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</si>
  <si>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</si>
  <si>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</si>
  <si>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</si>
  <si>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</si>
  <si>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</si>
  <si>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</si>
  <si>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</si>
  <si>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</si>
  <si>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</si>
  <si>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</si>
  <si>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</si>
  <si>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</si>
  <si>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</si>
  <si>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</si>
  <si>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</si>
  <si>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</si>
  <si>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</si>
  <si>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</si>
  <si>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</si>
  <si>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</si>
  <si>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</si>
  <si>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</si>
  <si>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</si>
  <si>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</si>
  <si>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</si>
  <si>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</si>
  <si>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</si>
  <si>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</si>
  <si>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</si>
  <si>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</si>
  <si>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</si>
  <si>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</si>
  <si>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</si>
  <si>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</si>
  <si>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</si>
  <si>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</si>
  <si>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</si>
  <si>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</si>
  <si>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</si>
  <si>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</si>
  <si>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</si>
  <si>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</si>
  <si>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</si>
  <si>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</si>
  <si>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</si>
  <si>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</si>
  <si>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</si>
  <si>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</si>
  <si>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</si>
  <si>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</si>
  <si>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</si>
  <si>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</si>
  <si>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</si>
  <si>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</si>
  <si>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</si>
  <si>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</si>
  <si>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</si>
  <si>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</si>
  <si>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</si>
  <si>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</si>
  <si>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</si>
  <si>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</si>
  <si>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</si>
  <si>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</si>
  <si>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</si>
  <si>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</si>
  <si>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</si>
  <si>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</si>
  <si>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</si>
  <si>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</si>
  <si>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</si>
  <si>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</si>
  <si>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</si>
  <si>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</si>
  <si>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</si>
  <si>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</si>
  <si>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</si>
  <si>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</si>
  <si>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</si>
  <si>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</si>
  <si>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</si>
  <si>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</si>
  <si>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</si>
  <si>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</si>
  <si>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</si>
  <si>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</si>
  <si>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</si>
  <si>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</si>
  <si>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</si>
  <si>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</si>
  <si>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</si>
  <si>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</si>
  <si>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</si>
  <si>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</si>
  <si>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</si>
  <si>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</si>
  <si>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</si>
  <si>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</si>
  <si>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</si>
  <si>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</si>
  <si>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</si>
  <si>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</si>
  <si>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</si>
  <si>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</si>
  <si>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</si>
  <si>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</si>
  <si>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</si>
  <si>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</si>
  <si>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</si>
  <si>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</si>
  <si>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</si>
  <si>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</si>
  <si>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</si>
  <si>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</si>
  <si>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</si>
  <si>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</si>
  <si>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</si>
  <si>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</si>
  <si>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</si>
  <si>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</si>
  <si>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</si>
  <si>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</si>
  <si>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</si>
  <si>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</si>
  <si>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</si>
  <si>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</si>
  <si>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</si>
  <si>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</si>
  <si>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</si>
  <si>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</si>
  <si>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</si>
  <si>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</si>
  <si>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</si>
  <si>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</si>
  <si>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</si>
  <si>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</si>
  <si>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</si>
  <si>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</si>
  <si>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</si>
  <si>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</si>
  <si>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</si>
  <si>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</si>
  <si>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</si>
  <si>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</si>
  <si>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</si>
  <si>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</si>
  <si>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</si>
  <si>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</si>
  <si>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</si>
  <si>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</si>
  <si>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</si>
  <si>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</si>
  <si>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</si>
  <si>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</si>
  <si>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</si>
  <si>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</si>
  <si>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</si>
  <si>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</si>
  <si>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</si>
  <si>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</si>
  <si>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</si>
  <si>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</si>
  <si>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</si>
  <si>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</si>
  <si>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</si>
  <si>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</si>
  <si>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</si>
  <si>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</si>
  <si>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</si>
  <si>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</si>
  <si>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</si>
  <si>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</si>
  <si>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</si>
  <si>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</si>
  <si>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</si>
  <si>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</si>
  <si>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</si>
  <si>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</si>
  <si>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</si>
  <si>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</si>
  <si>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</si>
  <si>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</si>
  <si>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</si>
  <si>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</si>
  <si>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</si>
  <si>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</si>
  <si>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</si>
  <si>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</si>
  <si>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</si>
  <si>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</si>
  <si>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</si>
  <si>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</si>
  <si>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</si>
  <si>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</si>
  <si>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</si>
  <si>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</si>
  <si>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</si>
  <si>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</si>
  <si>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</si>
  <si>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</si>
  <si>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</si>
  <si>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</si>
  <si>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</si>
  <si>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</si>
  <si>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</si>
  <si>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</si>
  <si>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</si>
  <si>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</si>
  <si>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</si>
  <si>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</si>
  <si>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</si>
  <si>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</si>
  <si>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</si>
  <si>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</si>
  <si>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</si>
  <si>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</si>
  <si>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</si>
  <si>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</si>
  <si>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</si>
  <si>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</si>
  <si>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</si>
  <si>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</si>
  <si>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</si>
  <si>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</si>
  <si>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</si>
  <si>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</si>
  <si>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</si>
  <si>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</si>
  <si>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</si>
  <si>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</si>
  <si>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</si>
  <si>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</si>
  <si>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</si>
  <si>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</si>
  <si>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</si>
  <si>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</si>
  <si>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</si>
  <si>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</si>
  <si>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</si>
  <si>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</si>
  <si>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</si>
  <si>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</si>
  <si>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</si>
  <si>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</si>
  <si>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</si>
  <si>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</si>
  <si>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</si>
  <si>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</si>
  <si>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</si>
  <si>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</si>
  <si>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</si>
  <si>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</si>
  <si>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</si>
  <si>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</si>
  <si>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</si>
  <si>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</si>
  <si>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</si>
  <si>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</si>
  <si>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</si>
  <si>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</si>
  <si>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</si>
  <si>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</si>
  <si>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</si>
  <si>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</si>
  <si>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</si>
  <si>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</si>
  <si>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</si>
  <si>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</si>
  <si>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</si>
  <si>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</si>
  <si>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</si>
  <si>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</si>
  <si>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</si>
  <si>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</si>
  <si>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</si>
  <si>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</si>
  <si>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</si>
  <si>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</si>
  <si>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</si>
  <si>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</si>
  <si>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</si>
  <si>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</si>
  <si>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</si>
  <si>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</si>
  <si>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</si>
  <si>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</si>
  <si>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</si>
  <si>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</si>
  <si>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</si>
  <si>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</si>
  <si>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</si>
  <si>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</si>
  <si>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</si>
  <si>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</si>
  <si>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</si>
  <si>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</si>
  <si>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</si>
  <si>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</si>
  <si>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</si>
  <si>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</si>
  <si>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</si>
  <si>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</si>
  <si>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</si>
  <si>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</si>
  <si>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</si>
  <si>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</si>
  <si>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</si>
  <si>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</si>
  <si>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</si>
  <si>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</si>
  <si>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</si>
  <si>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</si>
  <si>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</si>
  <si>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</si>
  <si>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</si>
  <si>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</si>
  <si>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</si>
  <si>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</si>
  <si>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</si>
  <si>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</si>
  <si>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</si>
  <si>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</si>
  <si>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</si>
  <si>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</si>
  <si>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</si>
  <si>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</si>
  <si>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</si>
  <si>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</si>
  <si>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</si>
  <si>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</si>
  <si>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</si>
  <si>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</si>
  <si>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</si>
  <si>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</si>
  <si>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</si>
  <si>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</si>
  <si>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</si>
  <si>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</si>
  <si>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</si>
  <si>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</si>
  <si>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</si>
  <si>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</si>
  <si>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</si>
  <si>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</si>
  <si>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</si>
  <si>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</si>
  <si>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</si>
  <si>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</si>
  <si>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</si>
  <si>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</si>
  <si>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</si>
  <si>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</si>
  <si>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</si>
  <si>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</si>
  <si>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</si>
  <si>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</si>
  <si>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</si>
  <si>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</si>
  <si>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</si>
  <si>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</si>
  <si>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</si>
  <si>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</si>
  <si>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</si>
  <si>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</si>
  <si>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</si>
  <si>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</si>
  <si>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</si>
  <si>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</si>
  <si>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</si>
  <si>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</si>
  <si>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</si>
  <si>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</si>
  <si>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</si>
  <si>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</si>
  <si>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</si>
  <si>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</si>
  <si>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</si>
  <si>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</si>
  <si>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</si>
  <si>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</si>
  <si>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</si>
  <si>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</si>
  <si>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</si>
  <si>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</si>
  <si>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</si>
  <si>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</si>
  <si>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</si>
  <si>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</si>
  <si>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</si>
  <si>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</si>
  <si>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</si>
  <si>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</si>
  <si>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</si>
  <si>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</si>
  <si>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</si>
  <si>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</si>
  <si>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</si>
  <si>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</si>
  <si>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</si>
  <si>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</si>
  <si>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</si>
  <si>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</si>
  <si>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</si>
  <si>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</si>
  <si>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</si>
  <si>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</si>
  <si>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</si>
  <si>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</si>
  <si>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</si>
  <si>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</si>
  <si>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</si>
  <si>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</si>
  <si>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</si>
  <si>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</si>
  <si>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</si>
  <si>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</si>
  <si>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</si>
  <si>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</si>
  <si>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</si>
  <si>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</si>
  <si>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</si>
  <si>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</si>
  <si>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</si>
  <si>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</si>
  <si>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</si>
  <si>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</si>
  <si>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</si>
  <si>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</si>
  <si>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</si>
  <si>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</si>
  <si>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</si>
  <si>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</si>
  <si>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</si>
  <si>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</si>
  <si>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</si>
  <si>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</si>
  <si>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</si>
  <si>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</si>
  <si>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</si>
  <si>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</si>
  <si>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</si>
  <si>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</si>
  <si>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</si>
  <si>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</si>
  <si>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</si>
  <si>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</si>
  <si>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</si>
  <si>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</si>
  <si>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</si>
  <si>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</si>
  <si>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</si>
  <si>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</si>
  <si>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</si>
  <si>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</si>
  <si>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</si>
  <si>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</si>
  <si>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</si>
  <si>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</si>
  <si>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</si>
  <si>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</si>
  <si>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</si>
  <si>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</si>
  <si>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</si>
  <si>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</si>
  <si>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</si>
  <si>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</si>
  <si>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</si>
  <si>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</si>
  <si>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</si>
  <si>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</si>
  <si>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</si>
  <si>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</si>
  <si>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</si>
  <si>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</si>
  <si>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</si>
  <si>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</si>
  <si>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</si>
  <si>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</si>
  <si>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</si>
  <si>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</si>
  <si>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</si>
  <si>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</si>
  <si>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</si>
  <si>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</si>
  <si>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</si>
  <si>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</si>
  <si>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</si>
  <si>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</si>
  <si>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</si>
  <si>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</si>
  <si>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</si>
  <si>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</si>
  <si>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</si>
  <si>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</si>
  <si>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</si>
  <si>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</si>
  <si>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</si>
  <si>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</si>
  <si>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</si>
  <si>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</si>
  <si>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</si>
  <si>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</si>
  <si>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</si>
  <si>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</si>
  <si>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</si>
  <si>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</si>
  <si>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</si>
  <si>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</si>
  <si>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</si>
  <si>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</si>
  <si>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</si>
  <si>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</si>
  <si>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</si>
  <si>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</si>
  <si>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</si>
  <si>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</si>
  <si>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</si>
  <si>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</si>
  <si>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</si>
  <si>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</si>
  <si>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</si>
  <si>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</si>
  <si>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</si>
  <si>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</si>
  <si>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</si>
  <si>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</si>
  <si>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</si>
  <si>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</si>
  <si>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</si>
  <si>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</si>
  <si>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</si>
  <si>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</si>
  <si>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</si>
  <si>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</si>
  <si>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</si>
  <si>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</si>
  <si>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</si>
  <si>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</si>
  <si>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</si>
  <si>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</si>
  <si>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</si>
  <si>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</si>
  <si>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</si>
  <si>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</si>
  <si>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</si>
  <si>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</si>
  <si>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</si>
  <si>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</si>
  <si>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</si>
  <si>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</si>
  <si>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</si>
  <si>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</si>
  <si>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</si>
  <si>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</si>
  <si>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</si>
  <si>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</si>
  <si>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</si>
  <si>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</si>
  <si>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</si>
  <si>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</si>
  <si>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</si>
  <si>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</si>
  <si>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</si>
  <si>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</si>
  <si>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</si>
  <si>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</si>
  <si>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</si>
  <si>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</si>
  <si>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</si>
  <si>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</si>
  <si>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</si>
  <si>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</si>
  <si>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</si>
  <si>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</si>
  <si>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</si>
  <si>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</si>
  <si>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</si>
  <si>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</si>
  <si>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</si>
  <si>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</si>
  <si>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</si>
  <si>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</si>
  <si>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</si>
  <si>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</si>
  <si>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</si>
  <si>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</si>
  <si>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</si>
  <si>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</si>
  <si>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</si>
  <si>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</si>
  <si>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</si>
  <si>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</si>
  <si>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</si>
  <si>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</si>
  <si>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</si>
  <si>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</si>
  <si>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</si>
  <si>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</si>
  <si>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</si>
  <si>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</si>
  <si>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</si>
  <si>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</si>
  <si>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</si>
  <si>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</si>
  <si>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</si>
  <si>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</si>
  <si>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</si>
  <si>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</si>
  <si>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</si>
  <si>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</si>
  <si>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</si>
  <si>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</si>
  <si>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</si>
  <si>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</si>
  <si>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</si>
  <si>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</si>
  <si>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</si>
  <si>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</si>
  <si>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</si>
  <si>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</si>
  <si>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</si>
  <si>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</si>
  <si>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</si>
  <si>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</si>
  <si>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</si>
  <si>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</si>
  <si>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</si>
  <si>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</si>
  <si>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</si>
  <si>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</si>
  <si>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</si>
  <si>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</si>
  <si>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</si>
  <si>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</si>
  <si>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</si>
  <si>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</si>
  <si>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</si>
  <si>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</si>
  <si>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</si>
  <si>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</si>
  <si>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</si>
  <si>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</si>
  <si>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</si>
  <si>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</si>
  <si>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</si>
  <si>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</si>
  <si>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</si>
  <si>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</si>
  <si>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</si>
  <si>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</si>
  <si>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</si>
  <si>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</si>
  <si>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</si>
  <si>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</si>
  <si>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</si>
  <si>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</si>
  <si>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</si>
  <si>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</si>
  <si>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</si>
  <si>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</si>
  <si>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</si>
  <si>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</si>
  <si>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</si>
  <si>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</si>
  <si>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</si>
  <si>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</si>
  <si>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</si>
  <si>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</si>
  <si>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</si>
  <si>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</si>
  <si>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</si>
  <si>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</si>
  <si>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</si>
  <si>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</si>
  <si>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</si>
  <si>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</si>
  <si>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</si>
  <si>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</si>
  <si>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</si>
  <si>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</si>
  <si>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</si>
  <si>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</si>
  <si>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</si>
  <si>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</si>
  <si>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</si>
  <si>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</si>
  <si>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</si>
  <si>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</si>
  <si>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</si>
  <si>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</si>
  <si>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</si>
  <si>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</si>
  <si>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</si>
  <si>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</si>
  <si>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</si>
  <si>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</si>
  <si>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</si>
  <si>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</si>
  <si>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</si>
  <si>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</si>
  <si>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</si>
  <si>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</si>
  <si>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</si>
  <si>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</si>
  <si>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</si>
  <si>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</si>
  <si>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</si>
  <si>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</si>
  <si>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</si>
  <si>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</si>
  <si>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</si>
  <si>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</si>
  <si>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</si>
  <si>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</si>
  <si>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</si>
  <si>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</si>
  <si>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</si>
  <si>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</si>
  <si>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</si>
  <si>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</si>
  <si>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</si>
  <si>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</si>
  <si>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</si>
  <si>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</si>
  <si>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</si>
  <si>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</si>
  <si>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</si>
  <si>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</si>
  <si>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</si>
  <si>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</si>
  <si>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</si>
  <si>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</si>
  <si>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</si>
  <si>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</si>
  <si>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</si>
  <si>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</si>
  <si>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</si>
  <si>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</si>
  <si>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</si>
  <si>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</si>
  <si>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</si>
  <si>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</si>
  <si>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</si>
  <si>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</si>
  <si>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</si>
  <si>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</si>
  <si>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</si>
  <si>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</si>
  <si>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</si>
  <si>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</si>
  <si>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</si>
  <si>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</si>
  <si>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</si>
  <si>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</si>
  <si>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</si>
  <si>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</si>
  <si>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</si>
  <si>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</si>
  <si>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</si>
  <si>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</si>
  <si>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</si>
  <si>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</si>
  <si>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</si>
  <si>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</si>
  <si>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</si>
  <si>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</si>
  <si>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</si>
  <si>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</si>
  <si>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</si>
  <si>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</si>
  <si>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</si>
  <si>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</si>
  <si>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</si>
  <si>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</si>
  <si>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</si>
  <si>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</si>
  <si>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</si>
  <si>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</si>
  <si>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</si>
  <si>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</si>
  <si>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</si>
  <si>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</si>
  <si>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</si>
  <si>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Inadequate Treasurer's Bond Coverage</t>
  </si>
  <si>
    <t>2019-001</t>
  </si>
  <si>
    <t>Resolved</t>
  </si>
  <si>
    <t>The Illinois Complied Statutes, Chapter 105, Section 5, Paragraph 17-1, requires that a joint agreement shall adopt an annual budget by September 1 of each fiscal year.</t>
  </si>
  <si>
    <t>Year Ending June 30, 2020</t>
  </si>
  <si>
    <t>2020-</t>
  </si>
  <si>
    <t>The management of a joint agreement has a legal obligation to the State Board of Education of Illinois to file their annual budget by September 1.</t>
  </si>
  <si>
    <t>The joint agreement filed their annual budget on September 12, 2019, and exceeded the deadline to adopt their annual budget.</t>
  </si>
  <si>
    <t>Untimely adoption of the budget prevents proper planning for the joint agreement's financials and is noncompliant with Illinois State law.</t>
  </si>
  <si>
    <t>Due to staff turnover it was believed that the date for the adoption of the budget was the same as the deadline for their member school districts.</t>
  </si>
  <si>
    <t>Management should be mindful and current on the Illinois Complied Statutes in order to be in compliance in future fiscal years.</t>
  </si>
  <si>
    <t>The Association is currently reviewing procedures and plans to adopt their budget in a timely manner in the future.</t>
  </si>
  <si>
    <t xml:space="preserve">    sequence of findings.  For example, findings identified and reported in the audit of fiscal year 2019 would be assigned a reference </t>
  </si>
  <si>
    <t xml:space="preserve">    number of 2020-001, 2020-002, etc.  The sheet is formatted so that only the number need be entered (1, 2, etc.).</t>
  </si>
  <si>
    <r>
      <t>CORRECTIVE ACTION PLAN FOR CURRENT YEAR AUDIT FINDINGS</t>
    </r>
    <r>
      <rPr>
        <b/>
        <vertAlign val="superscript"/>
        <sz val="9"/>
        <rFont val="Arial"/>
        <family val="2"/>
      </rPr>
      <t>21</t>
    </r>
  </si>
  <si>
    <t>Corrective Action Plan</t>
  </si>
  <si>
    <t>Finding No.:</t>
  </si>
  <si>
    <t>Condition:</t>
  </si>
  <si>
    <t>Plan:</t>
  </si>
  <si>
    <t>The Association's management will meet regarding Illinois Complied Statutes, review their procedures regarding the budget planning and implementation, and finally adopt the budget in a timely manner. The Association will work to remain updated on future changes in the statutes.</t>
  </si>
  <si>
    <t>Anticipated Date of Completion:</t>
  </si>
  <si>
    <t>September 1, 2021</t>
  </si>
  <si>
    <t>Name of Contact Person:</t>
  </si>
  <si>
    <t>Eric Scroggs, Director</t>
  </si>
  <si>
    <t>Management Response:</t>
  </si>
  <si>
    <t>The Association is currently reviewing procedures and plans to adopt their budget in a</t>
  </si>
  <si>
    <t>timely manner in the future.</t>
  </si>
  <si>
    <r>
      <t>21</t>
    </r>
    <r>
      <rPr>
        <sz val="8"/>
        <rFont val="Arial"/>
        <family val="2"/>
      </rPr>
      <t xml:space="preserve">  Must address </t>
    </r>
    <r>
      <rPr>
        <b/>
        <sz val="8"/>
        <rFont val="Arial"/>
        <family val="2"/>
      </rPr>
      <t>each</t>
    </r>
    <r>
      <rPr>
        <sz val="8"/>
        <rFont val="Arial"/>
        <family val="2"/>
      </rPr>
      <t xml:space="preserve"> audit finding  - §200.511 ( c)</t>
    </r>
  </si>
  <si>
    <t>Woodford</t>
  </si>
  <si>
    <t>205 S. Engelwood Dr.</t>
  </si>
  <si>
    <t>Metamora</t>
  </si>
  <si>
    <t>escroggs@wcsea.us</t>
  </si>
  <si>
    <t>Eric Scroggs</t>
  </si>
  <si>
    <t>309-367-4905</t>
  </si>
  <si>
    <t>309-367-4901</t>
  </si>
  <si>
    <t>Tim C. Custis, CPA</t>
  </si>
  <si>
    <t>tcustis@gorenzcpa.com</t>
  </si>
  <si>
    <t>Part A - 14 - See Finding 2020-001.</t>
  </si>
  <si>
    <t>Ed-Support Services-Pupil-Purchased Services</t>
  </si>
  <si>
    <t>Advocate Hospital</t>
  </si>
  <si>
    <t>Page 10, Line 74 - Snack Revenue</t>
  </si>
  <si>
    <t>See PDF Version</t>
  </si>
  <si>
    <t xml:space="preserve">Woodford County Spec Educ Assn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</si>
</sst>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49" fontId="54" fillId="0" borderId="0" xfId="3" applyNumberFormat="1" applyFont="1" applyAlignment="1">
      <alignment horizontal="center" vertical="top"/>
    </xf>
    <xf numFmtId="165" fontId="54" fillId="0" borderId="0" xfId="3" applyNumberFormat="1" applyFont="1" applyAlignment="1">
      <alignment horizontal="center" vertical="center"/>
    </xf>
    <xf numFmtId="166" fontId="54" fillId="0" borderId="0" xfId="3" applyNumberFormat="1" applyFont="1" applyAlignment="1">
      <alignment horizontal="center" vertical="top"/>
    </xf>
    <xf numFmtId="0" fontId="54" fillId="0" borderId="0" xfId="3" applyFont="1"/>
    <xf numFmtId="0" fontId="55" fillId="0" borderId="0" xfId="3" applyFont="1" applyAlignment="1">
      <alignment horizontal="center"/>
    </xf>
    <xf numFmtId="0" fontId="54" fillId="0" borderId="142" xfId="3" applyFont="1" applyBorder="1"/>
    <xf numFmtId="0" fontId="55" fillId="0" borderId="142" xfId="3" applyFont="1" applyBorder="1"/>
    <xf numFmtId="0" fontId="55" fillId="0" borderId="142" xfId="3" applyFont="1" applyBorder="1" applyAlignment="1">
      <alignment horizontal="center"/>
    </xf>
    <xf numFmtId="0" fontId="54" fillId="0" borderId="0" xfId="3" applyFont="1" applyAlignment="1">
      <alignment horizontal="centerContinuous"/>
    </xf>
    <xf numFmtId="0" fontId="54" fillId="0" borderId="0" xfId="3" applyFont="1" applyAlignment="1">
      <alignment horizontal="right"/>
    </xf>
    <xf numFmtId="178" fontId="54" fillId="0" borderId="9" xfId="3" applyNumberFormat="1" applyFont="1" applyBorder="1" applyAlignment="1" applyProtection="1">
      <alignment horizontal="left"/>
      <protection locked="0"/>
    </xf>
    <xf numFmtId="0" fontId="55" fillId="0" borderId="22" xfId="3" applyFont="1" applyBorder="1" applyAlignment="1" applyProtection="1">
      <alignment horizontal="center" vertical="center"/>
      <protection locked="0"/>
    </xf>
    <xf numFmtId="0" fontId="55" fillId="0" borderId="0" xfId="3" applyFont="1" applyAlignment="1">
      <alignment horizontal="left" indent="1"/>
    </xf>
    <xf numFmtId="0" fontId="64" fillId="0" borderId="0" xfId="3" applyFont="1" applyAlignment="1">
      <alignment horizontal="left" indent="1"/>
    </xf>
    <xf numFmtId="0" fontId="54" fillId="0" borderId="0" xfId="3" applyFont="1" applyAlignment="1">
      <alignment horizontal="left"/>
    </xf>
    <xf numFmtId="0" fontId="55" fillId="0" borderId="9" xfId="3" applyFont="1" applyBorder="1" applyProtection="1">
      <protection locked="0"/>
    </xf>
    <xf numFmtId="0" fontId="64" fillId="0" borderId="142" xfId="3" quotePrefix="1" applyFont="1" applyBorder="1" applyAlignment="1">
      <alignment horizontal="left"/>
    </xf>
    <xf numFmtId="0" fontId="54" fillId="0" borderId="142" xfId="3" quotePrefix="1" applyFont="1" applyBorder="1" applyAlignment="1">
      <alignment horizontal="left"/>
    </xf>
    <xf numFmtId="0" fontId="55" fillId="0" borderId="0" xfId="3" applyFont="1" applyAlignment="1">
      <alignment horizontal="left"/>
    </xf>
    <xf numFmtId="8" fontId="55"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4" fillId="0" borderId="142" xfId="3" applyFont="1" applyBorder="1" applyAlignment="1">
      <alignment horizontal="left"/>
    </xf>
    <xf numFmtId="0" fontId="55" fillId="0" borderId="78" xfId="3" applyFont="1" applyBorder="1"/>
    <xf numFmtId="0" fontId="55" fillId="0" borderId="78" xfId="3" applyFont="1" applyBorder="1" applyAlignment="1">
      <alignment horizontal="center"/>
    </xf>
    <xf numFmtId="0" fontId="119" fillId="0" borderId="0" xfId="3" applyFont="1"/>
    <xf numFmtId="0" fontId="120" fillId="0" borderId="0" xfId="3" applyFont="1"/>
    <xf numFmtId="0" fontId="54" fillId="0" borderId="0" xfId="3" applyFont="1" applyAlignment="1">
      <alignment horizontal="center" vertical="top" textRotation="180"/>
    </xf>
    <xf numFmtId="0" fontId="10" fillId="0" borderId="0" xfId="3"/>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0" fillId="0" borderId="0" xfId="3" applyAlignment="1">
      <alignment horizontal="left"/>
    </xf>
    <xf numFmtId="0" fontId="11" fillId="0" borderId="0" xfId="3" applyFont="1" applyAlignment="1">
      <alignment horizontal="left"/>
    </xf>
    <xf numFmtId="0" fontId="10" fillId="0" borderId="78" xfId="3" applyBorder="1"/>
    <xf numFmtId="0" fontId="36" fillId="0" borderId="78" xfId="3" applyFont="1" applyBorder="1"/>
    <xf numFmtId="0" fontId="146" fillId="0" borderId="0" xfId="3" applyFont="1" applyAlignment="1">
      <alignment horizontal="left"/>
    </xf>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20"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0" fontId="10" fillId="0" borderId="0" xfId="3" quotePrefix="1" applyAlignment="1" applyProtection="1">
      <alignment horizontal="lef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7">
        <f>+'AFR20'!E4</f>
        <v>44119</v>
      </c>
      <c r="C1" s="2087"/>
      <c r="D1" s="2088"/>
      <c r="I1" s="2166" t="s">
        <v>402</v>
      </c>
      <c r="J1" s="2167"/>
      <c r="K1" s="2167"/>
      <c r="L1" s="2167"/>
      <c r="M1" s="2167"/>
      <c r="N1" s="2167"/>
      <c r="O1" s="2167"/>
      <c r="P1" s="2167"/>
      <c r="Q1" s="2167"/>
      <c r="R1" s="2167"/>
      <c r="S1" s="2167"/>
    </row>
    <row r="2" spans="1:32" ht="12" customHeight="1" x14ac:dyDescent="0.2">
      <c r="A2" s="1831" t="str">
        <f>"Due to ISBE on "</f>
        <v xml:space="preserve">Due to ISBE on </v>
      </c>
      <c r="B2" s="2089">
        <f>+'AFR20'!F4</f>
        <v>44151</v>
      </c>
      <c r="C2" s="2089"/>
      <c r="D2" s="2090"/>
      <c r="I2" s="2168" t="s">
        <v>2003</v>
      </c>
      <c r="J2" s="2167"/>
      <c r="K2" s="2167"/>
      <c r="L2" s="2167"/>
      <c r="M2" s="2167"/>
      <c r="N2" s="2167"/>
      <c r="O2" s="2167"/>
      <c r="P2" s="2167"/>
      <c r="Q2" s="2167"/>
      <c r="R2" s="2167"/>
      <c r="S2" s="2167"/>
    </row>
    <row r="3" spans="1:32" ht="12" customHeight="1" x14ac:dyDescent="0.2">
      <c r="A3" s="1834" t="str">
        <f>"SD/JA"&amp;MID('AFR20'!E2,3,2)</f>
        <v>SD/JA20</v>
      </c>
      <c r="B3" s="151"/>
      <c r="C3" s="151"/>
      <c r="D3" s="152"/>
      <c r="I3" s="2168" t="s">
        <v>52</v>
      </c>
      <c r="J3" s="2167"/>
      <c r="K3" s="2167"/>
      <c r="L3" s="2167"/>
      <c r="M3" s="2167"/>
      <c r="N3" s="2167"/>
      <c r="O3" s="2167"/>
      <c r="P3" s="2167"/>
      <c r="Q3" s="2167"/>
      <c r="R3" s="2167"/>
      <c r="S3" s="2167"/>
    </row>
    <row r="4" spans="1:32" ht="12" customHeight="1" x14ac:dyDescent="0.2">
      <c r="A4" s="37"/>
      <c r="I4" s="2168" t="s">
        <v>521</v>
      </c>
      <c r="J4" s="2167"/>
      <c r="K4" s="2167"/>
      <c r="L4" s="2167"/>
      <c r="M4" s="2167"/>
      <c r="N4" s="2167"/>
      <c r="O4" s="2167"/>
      <c r="P4" s="2167"/>
      <c r="Q4" s="2167"/>
      <c r="R4" s="2167"/>
      <c r="S4" s="2167"/>
    </row>
    <row r="5" spans="1:32" ht="14.1" customHeight="1" x14ac:dyDescent="0.2">
      <c r="B5" s="101"/>
      <c r="C5" s="26" t="s">
        <v>904</v>
      </c>
      <c r="D5" s="81"/>
      <c r="E5" s="81"/>
      <c r="H5" s="38"/>
      <c r="I5" s="2175" t="s">
        <v>675</v>
      </c>
      <c r="J5" s="2120"/>
      <c r="K5" s="2120"/>
      <c r="L5" s="2120"/>
      <c r="M5" s="2120"/>
      <c r="N5" s="2120"/>
      <c r="O5" s="2120"/>
      <c r="P5" s="2120"/>
      <c r="Q5" s="2120"/>
      <c r="R5" s="2120"/>
      <c r="S5" s="2120"/>
      <c r="AF5" s="1827"/>
    </row>
    <row r="6" spans="1:32" ht="14.1" customHeight="1" x14ac:dyDescent="0.2">
      <c r="B6" s="101" t="s">
        <v>2051</v>
      </c>
      <c r="C6" s="26" t="s">
        <v>905</v>
      </c>
      <c r="D6" s="81"/>
      <c r="E6" s="81"/>
      <c r="I6" s="2174" t="s">
        <v>877</v>
      </c>
      <c r="J6" s="2120"/>
      <c r="K6" s="2120"/>
      <c r="L6" s="2120"/>
      <c r="M6" s="2120"/>
      <c r="N6" s="2120"/>
      <c r="O6" s="2120"/>
      <c r="P6" s="2120"/>
      <c r="Q6" s="2120"/>
      <c r="R6" s="2120"/>
      <c r="S6" s="2120"/>
    </row>
    <row r="7" spans="1:32" ht="12.2" customHeight="1" x14ac:dyDescent="0.2">
      <c r="I7" s="2169" t="str">
        <f>"June 30, "&amp;'AFR20'!E2</f>
        <v>June 30, 2020</v>
      </c>
      <c r="J7" s="2170"/>
      <c r="K7" s="2170"/>
      <c r="L7" s="2170"/>
      <c r="M7" s="2170"/>
      <c r="N7" s="2170"/>
      <c r="O7" s="2170"/>
      <c r="P7" s="2170"/>
      <c r="Q7" s="2170"/>
      <c r="R7" s="2170"/>
      <c r="S7" s="217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1" t="s">
        <v>669</v>
      </c>
      <c r="J9" s="2172"/>
      <c r="K9" s="2172"/>
      <c r="L9" s="2172"/>
      <c r="M9" s="2172"/>
      <c r="N9" s="2172"/>
      <c r="O9" s="2172"/>
      <c r="P9" s="2172"/>
      <c r="Q9" s="2172"/>
      <c r="R9" s="2172"/>
      <c r="S9" s="2173"/>
      <c r="T9" s="2116" t="s">
        <v>530</v>
      </c>
      <c r="U9" s="2117"/>
      <c r="V9" s="2117"/>
      <c r="W9" s="2117"/>
      <c r="X9" s="2117"/>
      <c r="Y9" s="2117"/>
      <c r="Z9" s="2117"/>
      <c r="AA9" s="2118"/>
    </row>
    <row r="10" spans="1:32" ht="13.5" customHeight="1" x14ac:dyDescent="0.2">
      <c r="A10" s="2125" t="s">
        <v>670</v>
      </c>
      <c r="B10" s="2126"/>
      <c r="C10" s="2126"/>
      <c r="D10" s="2126"/>
      <c r="E10" s="2126"/>
      <c r="F10" s="2126"/>
      <c r="G10" s="2126"/>
      <c r="H10" s="2127"/>
      <c r="I10" s="29"/>
      <c r="J10" s="30"/>
      <c r="K10" s="28"/>
      <c r="R10" s="30"/>
      <c r="S10" s="30"/>
      <c r="T10" s="2119"/>
      <c r="U10" s="2120"/>
      <c r="V10" s="2120"/>
      <c r="W10" s="2120"/>
      <c r="X10" s="2120"/>
      <c r="Y10" s="2120"/>
      <c r="Z10" s="2120"/>
      <c r="AA10" s="2121"/>
    </row>
    <row r="11" spans="1:32" ht="14.25" customHeight="1" x14ac:dyDescent="0.2">
      <c r="A11" s="2128" t="s">
        <v>949</v>
      </c>
      <c r="B11" s="2129"/>
      <c r="C11" s="2129"/>
      <c r="D11" s="2129"/>
      <c r="E11" s="2129"/>
      <c r="F11" s="2129"/>
      <c r="G11" s="2129"/>
      <c r="H11" s="2130"/>
      <c r="I11" s="27"/>
      <c r="J11" s="71"/>
      <c r="K11" s="27"/>
      <c r="O11" s="144" t="s">
        <v>2051</v>
      </c>
      <c r="P11" s="97" t="s">
        <v>199</v>
      </c>
      <c r="Q11" s="30"/>
      <c r="R11" s="28"/>
      <c r="S11" s="27"/>
      <c r="T11" s="2122"/>
      <c r="U11" s="2123"/>
      <c r="V11" s="2123"/>
      <c r="W11" s="2123"/>
      <c r="X11" s="2123"/>
      <c r="Y11" s="2123"/>
      <c r="Z11" s="2123"/>
      <c r="AA11" s="212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6">
        <v>53102801060</v>
      </c>
      <c r="B13" s="2137"/>
      <c r="C13" s="2137"/>
      <c r="D13" s="2137"/>
      <c r="E13" s="2137"/>
      <c r="F13" s="2137"/>
      <c r="G13" s="2137"/>
      <c r="H13" s="2138"/>
      <c r="I13" s="31"/>
      <c r="J13" s="30"/>
      <c r="K13" s="28"/>
      <c r="L13" s="30"/>
      <c r="M13" s="30"/>
      <c r="N13" s="30"/>
      <c r="O13" s="30"/>
      <c r="P13" s="30"/>
      <c r="Q13" s="30"/>
      <c r="R13" s="30"/>
      <c r="S13" s="30"/>
      <c r="T13" s="2141" t="s">
        <v>2052</v>
      </c>
      <c r="U13" s="2142"/>
      <c r="V13" s="2142"/>
      <c r="W13" s="2142"/>
      <c r="X13" s="2142"/>
      <c r="Y13" s="2143"/>
      <c r="Z13" s="2143"/>
      <c r="AA13" s="214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4" t="s">
        <v>2088</v>
      </c>
      <c r="B15" s="2139"/>
      <c r="C15" s="2139"/>
      <c r="D15" s="2139"/>
      <c r="E15" s="2139"/>
      <c r="F15" s="2139"/>
      <c r="G15" s="2139"/>
      <c r="H15" s="2140"/>
      <c r="T15" s="2102" t="s">
        <v>2095</v>
      </c>
      <c r="U15" s="2103"/>
      <c r="V15" s="2103"/>
      <c r="W15" s="2103"/>
      <c r="X15" s="2103"/>
      <c r="Y15" s="2145"/>
      <c r="Z15" s="2145"/>
      <c r="AA15" s="214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4" t="s">
        <v>2102</v>
      </c>
      <c r="B17" s="2164"/>
      <c r="C17" s="2164"/>
      <c r="D17" s="2164"/>
      <c r="E17" s="2164"/>
      <c r="F17" s="2164"/>
      <c r="G17" s="2164"/>
      <c r="H17" s="2165"/>
      <c r="T17" s="2151" t="s">
        <v>2053</v>
      </c>
      <c r="U17" s="2152"/>
      <c r="V17" s="2152"/>
      <c r="W17" s="2152"/>
      <c r="X17" s="2152"/>
      <c r="Y17" s="2152"/>
      <c r="Z17" s="2152"/>
      <c r="AA17" s="2153"/>
    </row>
    <row r="18" spans="1:27" ht="13.5" customHeight="1" x14ac:dyDescent="0.2">
      <c r="A18" s="82" t="s">
        <v>527</v>
      </c>
      <c r="B18" s="73"/>
      <c r="C18" s="69"/>
      <c r="D18" s="73"/>
      <c r="E18" s="73"/>
      <c r="F18" s="73"/>
      <c r="G18" s="73"/>
      <c r="H18" s="53"/>
      <c r="I18" s="2161" t="s">
        <v>671</v>
      </c>
      <c r="J18" s="2162"/>
      <c r="K18" s="2162"/>
      <c r="L18" s="2162"/>
      <c r="M18" s="2162"/>
      <c r="N18" s="2162"/>
      <c r="O18" s="2162"/>
      <c r="P18" s="2162"/>
      <c r="Q18" s="2162"/>
      <c r="R18" s="2162"/>
      <c r="S18" s="2163"/>
      <c r="T18" s="82" t="s">
        <v>706</v>
      </c>
      <c r="U18" s="48"/>
      <c r="V18" s="69"/>
      <c r="W18" s="47"/>
      <c r="X18" s="82" t="s">
        <v>264</v>
      </c>
      <c r="Y18" s="78"/>
      <c r="Z18" s="154" t="s">
        <v>672</v>
      </c>
      <c r="AA18" s="44"/>
    </row>
    <row r="19" spans="1:27" ht="13.5" customHeight="1" x14ac:dyDescent="0.2">
      <c r="A19" s="2134" t="s">
        <v>2089</v>
      </c>
      <c r="B19" s="2135"/>
      <c r="C19" s="2135"/>
      <c r="D19" s="2135"/>
      <c r="E19" s="2135"/>
      <c r="F19" s="2135"/>
      <c r="G19" s="2135"/>
      <c r="H19" s="2133"/>
      <c r="I19" s="30"/>
      <c r="J19" s="96"/>
      <c r="K19" s="40"/>
      <c r="L19" s="38"/>
      <c r="M19" s="109" t="s">
        <v>312</v>
      </c>
      <c r="P19" s="27"/>
      <c r="Q19" s="27"/>
      <c r="R19" s="27"/>
      <c r="S19" s="31"/>
      <c r="T19" s="2134" t="s">
        <v>2054</v>
      </c>
      <c r="U19" s="2132"/>
      <c r="V19" s="2132"/>
      <c r="W19" s="2133"/>
      <c r="X19" s="2149" t="s">
        <v>2055</v>
      </c>
      <c r="Y19" s="2150"/>
      <c r="Z19" s="2147">
        <v>61614</v>
      </c>
      <c r="AA19" s="214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1" t="s">
        <v>2090</v>
      </c>
      <c r="B21" s="2132"/>
      <c r="C21" s="2132"/>
      <c r="D21" s="2132"/>
      <c r="E21" s="2132"/>
      <c r="F21" s="2132"/>
      <c r="G21" s="2132"/>
      <c r="H21" s="2133"/>
      <c r="I21" s="2157" t="s">
        <v>673</v>
      </c>
      <c r="J21" s="2120"/>
      <c r="K21" s="2120"/>
      <c r="L21" s="2120"/>
      <c r="M21" s="2120"/>
      <c r="N21" s="2120"/>
      <c r="O21" s="2120"/>
      <c r="P21" s="2120"/>
      <c r="Q21" s="2120"/>
      <c r="R21" s="2120"/>
      <c r="S21" s="2121"/>
      <c r="T21" s="2099" t="s">
        <v>2056</v>
      </c>
      <c r="U21" s="2100"/>
      <c r="V21" s="2100"/>
      <c r="W21" s="2100"/>
      <c r="X21" s="2113" t="s">
        <v>2057</v>
      </c>
      <c r="Y21" s="2114"/>
      <c r="Z21" s="2114"/>
      <c r="AA21" s="2115"/>
    </row>
    <row r="22" spans="1:27" ht="13.5" customHeight="1" x14ac:dyDescent="0.2">
      <c r="A22" s="84" t="s">
        <v>528</v>
      </c>
      <c r="B22" s="56"/>
      <c r="C22" s="56"/>
      <c r="D22" s="56"/>
      <c r="E22" s="56"/>
      <c r="F22" s="56"/>
      <c r="G22" s="56"/>
      <c r="H22" s="57"/>
      <c r="I22" s="2158" t="s">
        <v>1412</v>
      </c>
      <c r="J22" s="2159"/>
      <c r="K22" s="2159"/>
      <c r="L22" s="2159"/>
      <c r="M22" s="2159"/>
      <c r="N22" s="2159"/>
      <c r="O22" s="2159"/>
      <c r="P22" s="2159"/>
      <c r="Q22" s="2159"/>
      <c r="R22" s="2159"/>
      <c r="S22" s="2160"/>
      <c r="T22" s="82" t="s">
        <v>1499</v>
      </c>
      <c r="U22" s="48"/>
      <c r="V22" s="69"/>
      <c r="W22" s="48"/>
      <c r="X22" s="155" t="s">
        <v>1307</v>
      </c>
      <c r="Z22" s="43"/>
      <c r="AA22" s="44"/>
    </row>
    <row r="23" spans="1:27" ht="13.5" customHeight="1" x14ac:dyDescent="0.2">
      <c r="A23" s="2154" t="s">
        <v>2091</v>
      </c>
      <c r="B23" s="2155"/>
      <c r="C23" s="2155"/>
      <c r="D23" s="2155"/>
      <c r="E23" s="2155"/>
      <c r="F23" s="2155"/>
      <c r="G23" s="2155"/>
      <c r="H23" s="2156"/>
      <c r="T23" s="2094" t="s">
        <v>2058</v>
      </c>
      <c r="U23" s="2095"/>
      <c r="V23" s="2095"/>
      <c r="W23" s="2095"/>
      <c r="X23" s="2110">
        <v>44501</v>
      </c>
      <c r="Y23" s="2111"/>
      <c r="Z23" s="2111"/>
      <c r="AA23" s="2112"/>
    </row>
    <row r="24" spans="1:27" ht="14.1" customHeight="1" x14ac:dyDescent="0.2">
      <c r="A24" s="85" t="s">
        <v>672</v>
      </c>
      <c r="B24" s="46"/>
      <c r="C24" s="46"/>
      <c r="D24" s="46"/>
      <c r="E24" s="46"/>
      <c r="F24" s="46"/>
      <c r="G24" s="46"/>
      <c r="H24" s="58"/>
      <c r="J24" s="2196" t="str">
        <f>IF(B5="x",IF(AUDITCHECK!D29="AFR form Incomplete.","",IF(AUDITCHECK!D29="Deficit reduction plan is required.","School District must complete a deficit reduction plan in the 2020-2021 Budget",)),"")</f>
        <v/>
      </c>
      <c r="K24" s="2196"/>
      <c r="L24" s="2196"/>
      <c r="M24" s="2196"/>
      <c r="N24" s="2196"/>
      <c r="O24" s="2196"/>
      <c r="P24" s="2196"/>
      <c r="Q24" s="2196"/>
      <c r="R24" s="2196"/>
      <c r="S24" s="2197"/>
      <c r="T24" s="102" t="s">
        <v>528</v>
      </c>
      <c r="U24" s="103"/>
      <c r="V24" s="103"/>
      <c r="W24" s="103"/>
      <c r="X24" s="104"/>
      <c r="Y24" s="104"/>
      <c r="Z24" s="104"/>
      <c r="AA24" s="105"/>
    </row>
    <row r="25" spans="1:27" ht="14.1" customHeight="1" x14ac:dyDescent="0.2">
      <c r="A25" s="2131">
        <v>61548</v>
      </c>
      <c r="B25" s="2132"/>
      <c r="C25" s="2132"/>
      <c r="D25" s="2132"/>
      <c r="E25" s="2132"/>
      <c r="F25" s="2132"/>
      <c r="G25" s="2132"/>
      <c r="H25" s="2133"/>
      <c r="I25" s="110"/>
      <c r="J25" s="2198"/>
      <c r="K25" s="2198"/>
      <c r="L25" s="2198"/>
      <c r="M25" s="2198"/>
      <c r="N25" s="2198"/>
      <c r="O25" s="2198"/>
      <c r="P25" s="2198"/>
      <c r="Q25" s="2198"/>
      <c r="R25" s="2198"/>
      <c r="S25" s="2199"/>
      <c r="T25" s="2091" t="s">
        <v>2096</v>
      </c>
      <c r="U25" s="2092"/>
      <c r="V25" s="2092"/>
      <c r="W25" s="2092"/>
      <c r="X25" s="2092"/>
      <c r="Y25" s="2092"/>
      <c r="Z25" s="2092"/>
      <c r="AA25" s="209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9" t="s">
        <v>1494</v>
      </c>
      <c r="J27" s="2162"/>
      <c r="K27" s="2162"/>
      <c r="L27" s="2162"/>
      <c r="M27" s="2162"/>
      <c r="N27" s="2162"/>
      <c r="O27" s="2162"/>
      <c r="P27" s="2162"/>
      <c r="Q27" s="2162"/>
      <c r="R27" s="2162"/>
      <c r="S27" s="216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5"/>
      <c r="Q35" s="2132"/>
      <c r="R35" s="213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4" t="s">
        <v>2092</v>
      </c>
      <c r="B38" s="2164"/>
      <c r="C38" s="2164"/>
      <c r="D38" s="2164"/>
      <c r="E38" s="2164"/>
      <c r="F38" s="2132"/>
      <c r="G38" s="2132"/>
      <c r="H38" s="2133"/>
      <c r="I38" s="2183"/>
      <c r="J38" s="2103"/>
      <c r="K38" s="2103"/>
      <c r="L38" s="2103"/>
      <c r="M38" s="2103"/>
      <c r="N38" s="2103"/>
      <c r="O38" s="2103"/>
      <c r="P38" s="2104"/>
      <c r="Q38" s="2104"/>
      <c r="R38" s="2104"/>
      <c r="S38" s="2105"/>
      <c r="T38" s="2102"/>
      <c r="U38" s="2103"/>
      <c r="V38" s="2103"/>
      <c r="W38" s="2103"/>
      <c r="X38" s="2104"/>
      <c r="Y38" s="2104"/>
      <c r="Z38" s="2104"/>
      <c r="AA38" s="2105"/>
    </row>
    <row r="39" spans="1:27" ht="12" customHeight="1" x14ac:dyDescent="0.2">
      <c r="A39" s="2187" t="s">
        <v>528</v>
      </c>
      <c r="B39" s="2188"/>
      <c r="C39" s="69"/>
      <c r="D39" s="66"/>
      <c r="E39" s="66"/>
      <c r="F39" s="76"/>
      <c r="G39" s="66"/>
      <c r="H39" s="53"/>
      <c r="I39" s="2187" t="s">
        <v>528</v>
      </c>
      <c r="J39" s="2188"/>
      <c r="K39" s="2188"/>
      <c r="L39" s="2188"/>
      <c r="M39" s="2188"/>
      <c r="N39" s="64"/>
      <c r="O39" s="69"/>
      <c r="P39" s="69"/>
      <c r="Q39" s="75"/>
      <c r="R39" s="69"/>
      <c r="S39" s="53"/>
      <c r="T39" s="69" t="s">
        <v>528</v>
      </c>
      <c r="U39" s="48"/>
      <c r="V39" s="69"/>
      <c r="W39" s="47"/>
      <c r="X39" s="75"/>
      <c r="Y39" s="43"/>
      <c r="Z39" s="43"/>
      <c r="AA39" s="44"/>
    </row>
    <row r="40" spans="1:27" ht="13.5" customHeight="1" x14ac:dyDescent="0.2">
      <c r="A40" s="2190" t="s">
        <v>2091</v>
      </c>
      <c r="B40" s="2191"/>
      <c r="C40" s="2192"/>
      <c r="D40" s="2192"/>
      <c r="E40" s="2192"/>
      <c r="F40" s="2193"/>
      <c r="G40" s="2193"/>
      <c r="H40" s="2194"/>
      <c r="I40" s="2106"/>
      <c r="J40" s="2108"/>
      <c r="K40" s="2108"/>
      <c r="L40" s="2108"/>
      <c r="M40" s="2108"/>
      <c r="N40" s="2108"/>
      <c r="O40" s="2108"/>
      <c r="P40" s="2108"/>
      <c r="Q40" s="2108"/>
      <c r="R40" s="2108"/>
      <c r="S40" s="2109"/>
      <c r="T40" s="2106"/>
      <c r="U40" s="2107"/>
      <c r="V40" s="2108"/>
      <c r="W40" s="2108"/>
      <c r="X40" s="2108"/>
      <c r="Y40" s="2108"/>
      <c r="Z40" s="2108"/>
      <c r="AA40" s="210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80" t="s">
        <v>2094</v>
      </c>
      <c r="B42" s="2181"/>
      <c r="C42" s="2182"/>
      <c r="D42" s="2195" t="s">
        <v>2093</v>
      </c>
      <c r="E42" s="2181"/>
      <c r="F42" s="2181"/>
      <c r="G42" s="2181"/>
      <c r="H42" s="2182"/>
      <c r="I42" s="2101"/>
      <c r="J42" s="2097"/>
      <c r="K42" s="2097"/>
      <c r="L42" s="2097"/>
      <c r="M42" s="2097"/>
      <c r="N42" s="2097"/>
      <c r="O42" s="2098"/>
      <c r="P42" s="2096"/>
      <c r="Q42" s="2097"/>
      <c r="R42" s="2097"/>
      <c r="S42" s="2098"/>
      <c r="T42" s="2101"/>
      <c r="U42" s="2097"/>
      <c r="V42" s="2097"/>
      <c r="W42" s="2098"/>
      <c r="X42" s="2096"/>
      <c r="Y42" s="2097"/>
      <c r="Z42" s="2097"/>
      <c r="AA42" s="209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4"/>
      <c r="B44" s="2185"/>
      <c r="C44" s="2185"/>
      <c r="D44" s="2185"/>
      <c r="E44" s="2185"/>
      <c r="F44" s="2185"/>
      <c r="G44" s="2185"/>
      <c r="H44" s="2186"/>
      <c r="I44" s="2176"/>
      <c r="J44" s="2178"/>
      <c r="K44" s="2178"/>
      <c r="L44" s="2178"/>
      <c r="M44" s="2178"/>
      <c r="N44" s="2178"/>
      <c r="O44" s="2178"/>
      <c r="P44" s="2178"/>
      <c r="Q44" s="2178"/>
      <c r="R44" s="2178"/>
      <c r="S44" s="2179"/>
      <c r="T44" s="2176"/>
      <c r="U44" s="2177"/>
      <c r="V44" s="2177"/>
      <c r="W44" s="2177"/>
      <c r="X44" s="2177"/>
      <c r="Y44" s="2177"/>
      <c r="Z44" s="2178"/>
      <c r="AA44" s="217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4" t="s">
        <v>625</v>
      </c>
      <c r="B1" s="2345"/>
      <c r="C1" s="585"/>
    </row>
    <row r="2" spans="1:7" ht="33.75" x14ac:dyDescent="0.2">
      <c r="A2" s="2353" t="s">
        <v>1779</v>
      </c>
      <c r="B2" s="235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7" t="s">
        <v>1104</v>
      </c>
      <c r="B3" s="2358"/>
      <c r="C3" s="2346"/>
      <c r="D3" s="2347"/>
      <c r="E3" s="2347"/>
      <c r="F3" s="2348"/>
    </row>
    <row r="4" spans="1:7" ht="12.75" customHeight="1" thickBot="1" x14ac:dyDescent="0.25">
      <c r="A4" s="2355" t="s">
        <v>626</v>
      </c>
      <c r="B4" s="2356"/>
      <c r="C4" s="1656"/>
      <c r="D4" s="1656"/>
      <c r="E4" s="1656"/>
      <c r="F4" s="1732">
        <f>SUM(C4+D4)-E4</f>
        <v>0</v>
      </c>
    </row>
    <row r="5" spans="1:7" ht="15.75" customHeight="1" thickTop="1" x14ac:dyDescent="0.2">
      <c r="A5" s="2340" t="s">
        <v>1101</v>
      </c>
      <c r="B5" s="2341"/>
      <c r="C5" s="2349"/>
      <c r="D5" s="2350"/>
      <c r="E5" s="2350"/>
      <c r="F5" s="235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2" t="s">
        <v>627</v>
      </c>
      <c r="B15" s="2343"/>
      <c r="C15" s="1732">
        <f>SUM(C6:C14)</f>
        <v>0</v>
      </c>
      <c r="D15" s="1732">
        <f>SUM(D6:D14)</f>
        <v>0</v>
      </c>
      <c r="E15" s="1732">
        <f>SUM(E6:E14)</f>
        <v>0</v>
      </c>
      <c r="F15" s="1732">
        <f>SUM(F6:F14)</f>
        <v>0</v>
      </c>
      <c r="G15" s="473"/>
    </row>
    <row r="16" spans="1:7" s="197" customFormat="1" ht="15.75" customHeight="1" thickTop="1" x14ac:dyDescent="0.2">
      <c r="A16" s="2352" t="s">
        <v>1102</v>
      </c>
      <c r="B16" s="2341"/>
      <c r="C16" s="2349"/>
      <c r="D16" s="2350"/>
      <c r="E16" s="2350"/>
      <c r="F16" s="2351"/>
    </row>
    <row r="17" spans="1:11" ht="12.75" customHeight="1" thickBot="1" x14ac:dyDescent="0.25">
      <c r="A17" s="2365" t="s">
        <v>64</v>
      </c>
      <c r="B17" s="2366"/>
      <c r="C17" s="1733"/>
      <c r="D17" s="1664"/>
      <c r="E17" s="1733"/>
      <c r="F17" s="1732">
        <f>SUM(C17+D17)-E17</f>
        <v>0</v>
      </c>
    </row>
    <row r="18" spans="1:11" ht="12.75" customHeight="1" thickTop="1" thickBot="1" x14ac:dyDescent="0.25">
      <c r="A18" s="2365" t="s">
        <v>6</v>
      </c>
      <c r="B18" s="2366"/>
      <c r="C18" s="1733"/>
      <c r="D18" s="1664"/>
      <c r="E18" s="1733"/>
      <c r="F18" s="1732">
        <f>SUM(C18+D18)-E18</f>
        <v>0</v>
      </c>
    </row>
    <row r="19" spans="1:11" ht="12.75" customHeight="1" thickTop="1" thickBot="1" x14ac:dyDescent="0.25">
      <c r="A19" s="2365" t="s">
        <v>385</v>
      </c>
      <c r="B19" s="2366"/>
      <c r="C19" s="1733"/>
      <c r="D19" s="1664"/>
      <c r="E19" s="1733"/>
      <c r="F19" s="1732">
        <f>SUM(C19+D19)-E19</f>
        <v>0</v>
      </c>
    </row>
    <row r="20" spans="1:11" ht="12.75" customHeight="1" thickTop="1" thickBot="1" x14ac:dyDescent="0.25">
      <c r="A20" s="2365" t="s">
        <v>445</v>
      </c>
      <c r="B20" s="2366"/>
      <c r="C20" s="1733"/>
      <c r="D20" s="1664"/>
      <c r="E20" s="1733"/>
      <c r="F20" s="1732">
        <f>SUM(C20+D20)-E20</f>
        <v>0</v>
      </c>
    </row>
    <row r="21" spans="1:11" ht="14.25" thickTop="1" thickBot="1" x14ac:dyDescent="0.25">
      <c r="A21" s="2342" t="s">
        <v>628</v>
      </c>
      <c r="B21" s="2343"/>
      <c r="C21" s="1732">
        <f>SUM(C17:C20)</f>
        <v>0</v>
      </c>
      <c r="D21" s="1732">
        <f>SUM(D17:D20)</f>
        <v>0</v>
      </c>
      <c r="E21" s="1732">
        <f>SUM(E17:E20)</f>
        <v>0</v>
      </c>
      <c r="F21" s="1732">
        <f>SUM(F17:F20)</f>
        <v>0</v>
      </c>
      <c r="G21" s="473"/>
    </row>
    <row r="22" spans="1:11" ht="15.75" customHeight="1" thickTop="1" x14ac:dyDescent="0.2">
      <c r="A22" s="2367" t="s">
        <v>1103</v>
      </c>
      <c r="B22" s="2341"/>
      <c r="C22" s="2349"/>
      <c r="D22" s="2350"/>
      <c r="E22" s="2350"/>
      <c r="F22" s="2351"/>
    </row>
    <row r="23" spans="1:11" ht="13.5" thickBot="1" x14ac:dyDescent="0.25">
      <c r="A23" s="2355" t="s">
        <v>629</v>
      </c>
      <c r="B23" s="2356"/>
      <c r="C23" s="1656"/>
      <c r="D23" s="1656"/>
      <c r="E23" s="1656"/>
      <c r="F23" s="1732">
        <f>SUM(C23+D23)-E23</f>
        <v>0</v>
      </c>
      <c r="G23" s="473"/>
    </row>
    <row r="24" spans="1:11" ht="15.75" customHeight="1" thickTop="1" x14ac:dyDescent="0.2">
      <c r="A24" s="2367" t="s">
        <v>2006</v>
      </c>
      <c r="B24" s="2341"/>
      <c r="C24" s="2349"/>
      <c r="D24" s="2350"/>
      <c r="E24" s="2350"/>
      <c r="F24" s="2351"/>
    </row>
    <row r="25" spans="1:11" ht="13.5" thickBot="1" x14ac:dyDescent="0.25">
      <c r="A25" s="2355" t="s">
        <v>2007</v>
      </c>
      <c r="B25" s="2356"/>
      <c r="C25" s="1656"/>
      <c r="D25" s="1656"/>
      <c r="E25" s="1656"/>
      <c r="F25" s="1732">
        <f>SUM(C25+D25)-E25</f>
        <v>0</v>
      </c>
      <c r="G25" s="473"/>
    </row>
    <row r="26" spans="1:11" ht="15.75" customHeight="1" thickTop="1" x14ac:dyDescent="0.2">
      <c r="A26" s="2340" t="s">
        <v>652</v>
      </c>
      <c r="B26" s="2341"/>
      <c r="C26" s="589"/>
      <c r="D26" s="589"/>
      <c r="E26" s="589"/>
      <c r="F26" s="590"/>
    </row>
    <row r="27" spans="1:11" ht="13.5" thickBot="1" x14ac:dyDescent="0.25">
      <c r="A27" s="2342" t="s">
        <v>1061</v>
      </c>
      <c r="B27" s="2343"/>
      <c r="C27" s="1664"/>
      <c r="D27" s="1664"/>
      <c r="E27" s="1664"/>
      <c r="F27" s="1732">
        <f>SUM(C27+D27)-E27</f>
        <v>0</v>
      </c>
      <c r="G27" s="473"/>
    </row>
    <row r="28" spans="1:11" ht="7.5" customHeight="1" thickTop="1" x14ac:dyDescent="0.2">
      <c r="A28" s="489"/>
    </row>
    <row r="29" spans="1:11" ht="23.25" customHeight="1" x14ac:dyDescent="0.2">
      <c r="A29" s="2368" t="s">
        <v>578</v>
      </c>
      <c r="B29" s="234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9" t="s">
        <v>580</v>
      </c>
      <c r="C52" s="2360"/>
      <c r="D52" s="2360"/>
      <c r="E52" s="603" t="s">
        <v>840</v>
      </c>
      <c r="F52" s="2361"/>
      <c r="G52" s="2362"/>
      <c r="H52" s="596"/>
      <c r="I52" s="596"/>
      <c r="J52" s="600"/>
    </row>
    <row r="53" spans="1:11" ht="11.25" customHeight="1" x14ac:dyDescent="0.2">
      <c r="A53" s="604" t="s">
        <v>907</v>
      </c>
      <c r="B53" s="605" t="s">
        <v>945</v>
      </c>
      <c r="C53" s="600"/>
      <c r="D53" s="597"/>
      <c r="E53" s="603" t="s">
        <v>494</v>
      </c>
      <c r="F53" s="2363"/>
      <c r="G53" s="2364"/>
      <c r="H53" s="596"/>
      <c r="I53" s="596"/>
      <c r="J53" s="600"/>
    </row>
    <row r="54" spans="1:11" ht="11.25" customHeight="1" x14ac:dyDescent="0.2">
      <c r="A54" s="606" t="s">
        <v>908</v>
      </c>
      <c r="B54" s="601" t="s">
        <v>946</v>
      </c>
      <c r="C54" s="600"/>
      <c r="D54" s="597"/>
      <c r="E54" s="603" t="s">
        <v>495</v>
      </c>
      <c r="F54" s="2363"/>
      <c r="G54" s="23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5" t="s">
        <v>851</v>
      </c>
      <c r="B1" s="2396"/>
      <c r="C1" s="2396"/>
      <c r="D1" s="2396"/>
      <c r="E1" s="2396"/>
      <c r="F1" s="2396"/>
      <c r="G1" s="2397"/>
      <c r="H1" s="1298"/>
      <c r="I1" s="614"/>
      <c r="J1" s="400"/>
    </row>
    <row r="2" spans="1:11" ht="26.25" x14ac:dyDescent="0.2">
      <c r="A2" s="2372" t="s">
        <v>1658</v>
      </c>
      <c r="B2" s="2373"/>
      <c r="C2" s="2373"/>
      <c r="D2" s="2373"/>
      <c r="E2" s="2374"/>
      <c r="F2" s="615" t="s">
        <v>898</v>
      </c>
      <c r="G2" s="616" t="s">
        <v>1655</v>
      </c>
      <c r="H2" s="616" t="s">
        <v>407</v>
      </c>
      <c r="I2" s="616" t="s">
        <v>1148</v>
      </c>
      <c r="J2" s="616" t="s">
        <v>1789</v>
      </c>
      <c r="K2" s="616" t="s">
        <v>137</v>
      </c>
    </row>
    <row r="3" spans="1:11" x14ac:dyDescent="0.2">
      <c r="A3" s="2375" t="str">
        <f>"Cash Basis Fund Balance as of July 1, "&amp;'AFR20'!E2-1</f>
        <v>Cash Basis Fund Balance as of July 1, 2019</v>
      </c>
      <c r="B3" s="2376"/>
      <c r="C3" s="2376"/>
      <c r="D3" s="2376"/>
      <c r="E3" s="2377"/>
      <c r="F3" s="617"/>
      <c r="G3" s="1744"/>
      <c r="H3" s="1744"/>
      <c r="I3" s="1744"/>
      <c r="J3" s="1745"/>
      <c r="K3" s="1745"/>
    </row>
    <row r="4" spans="1:11" x14ac:dyDescent="0.2">
      <c r="A4" s="2378" t="s">
        <v>366</v>
      </c>
      <c r="B4" s="2379"/>
      <c r="C4" s="2379"/>
      <c r="D4" s="2379"/>
      <c r="E4" s="2360"/>
      <c r="F4" s="620"/>
      <c r="G4" s="1746"/>
      <c r="H4" s="1747"/>
      <c r="I4" s="1746"/>
      <c r="J4" s="1748"/>
      <c r="K4" s="1748"/>
    </row>
    <row r="5" spans="1:11" x14ac:dyDescent="0.2">
      <c r="A5" s="2398" t="s">
        <v>1060</v>
      </c>
      <c r="B5" s="2369"/>
      <c r="C5" s="2369"/>
      <c r="D5" s="2369"/>
      <c r="E5" s="239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98" t="s">
        <v>1790</v>
      </c>
      <c r="B10" s="2369"/>
      <c r="C10" s="2369"/>
      <c r="D10" s="2369"/>
      <c r="E10" s="2400"/>
      <c r="F10" s="633" t="s">
        <v>857</v>
      </c>
      <c r="G10" s="1753"/>
      <c r="H10" s="1754"/>
      <c r="I10" s="1744"/>
      <c r="J10" s="1745"/>
      <c r="K10" s="1745"/>
    </row>
    <row r="11" spans="1:11" x14ac:dyDescent="0.2">
      <c r="A11" s="2398" t="s">
        <v>159</v>
      </c>
      <c r="B11" s="2369"/>
      <c r="C11" s="2369"/>
      <c r="D11" s="2369"/>
      <c r="E11" s="2399"/>
      <c r="F11" s="622" t="s">
        <v>847</v>
      </c>
      <c r="G11" s="1749"/>
      <c r="H11" s="1744"/>
      <c r="I11" s="1744"/>
      <c r="J11" s="1745"/>
      <c r="K11" s="1751"/>
    </row>
    <row r="12" spans="1:11" ht="13.5" thickBot="1" x14ac:dyDescent="0.25">
      <c r="A12" s="2386" t="s">
        <v>899</v>
      </c>
      <c r="B12" s="2387"/>
      <c r="C12" s="2387"/>
      <c r="D12" s="2387"/>
      <c r="E12" s="2388"/>
      <c r="F12" s="1433"/>
      <c r="G12" s="1755">
        <f>SUM(G5:G11)</f>
        <v>0</v>
      </c>
      <c r="H12" s="1755">
        <f>SUM(H5:H11)</f>
        <v>0</v>
      </c>
      <c r="I12" s="1755">
        <f>SUM(I5:I11)</f>
        <v>0</v>
      </c>
      <c r="J12" s="1755">
        <f>SUM(J5:J11)</f>
        <v>0</v>
      </c>
      <c r="K12" s="1755">
        <f>SUM(K5:K11)</f>
        <v>0</v>
      </c>
    </row>
    <row r="13" spans="1:11" ht="13.5" thickTop="1" x14ac:dyDescent="0.2">
      <c r="A13" s="2380" t="s">
        <v>367</v>
      </c>
      <c r="B13" s="2381"/>
      <c r="C13" s="2381"/>
      <c r="D13" s="2381"/>
      <c r="E13" s="2382"/>
      <c r="F13" s="634"/>
      <c r="G13" s="1756"/>
      <c r="H13" s="1757"/>
      <c r="I13" s="1758"/>
      <c r="J13" s="1758"/>
      <c r="K13" s="1758"/>
    </row>
    <row r="14" spans="1:11" x14ac:dyDescent="0.2">
      <c r="A14" s="2404" t="s">
        <v>453</v>
      </c>
      <c r="B14" s="2404"/>
      <c r="C14" s="2404"/>
      <c r="D14" s="2404"/>
      <c r="E14" s="2405"/>
      <c r="F14" s="635" t="s">
        <v>849</v>
      </c>
      <c r="G14" s="1753"/>
      <c r="H14" s="1744"/>
      <c r="I14" s="1749"/>
      <c r="J14" s="1751"/>
      <c r="K14" s="1745"/>
    </row>
    <row r="15" spans="1:11" x14ac:dyDescent="0.2">
      <c r="A15" s="2369" t="s">
        <v>4</v>
      </c>
      <c r="B15" s="2369"/>
      <c r="C15" s="2369"/>
      <c r="D15" s="2369"/>
      <c r="E15" s="2399"/>
      <c r="F15" s="635" t="s">
        <v>850</v>
      </c>
      <c r="G15" s="1749"/>
      <c r="H15" s="1744"/>
      <c r="I15" s="1744"/>
      <c r="J15" s="1745"/>
      <c r="K15" s="1745"/>
    </row>
    <row r="16" spans="1:11" x14ac:dyDescent="0.2">
      <c r="A16" s="2369" t="s">
        <v>295</v>
      </c>
      <c r="B16" s="2369"/>
      <c r="C16" s="2369"/>
      <c r="D16" s="2369"/>
      <c r="E16" s="2399"/>
      <c r="F16" s="635" t="s">
        <v>917</v>
      </c>
      <c r="G16" s="1750"/>
      <c r="H16" s="1746"/>
      <c r="I16" s="1746"/>
      <c r="J16" s="1748"/>
      <c r="K16" s="1748"/>
    </row>
    <row r="17" spans="1:15" x14ac:dyDescent="0.2">
      <c r="A17" s="2393" t="s">
        <v>929</v>
      </c>
      <c r="B17" s="2393"/>
      <c r="C17" s="2393"/>
      <c r="D17" s="2393"/>
      <c r="E17" s="2394"/>
      <c r="F17" s="636"/>
      <c r="G17" s="1759"/>
      <c r="H17" s="1760"/>
      <c r="I17" s="1760"/>
      <c r="J17" s="1761"/>
      <c r="K17" s="1762"/>
    </row>
    <row r="18" spans="1:15" x14ac:dyDescent="0.2">
      <c r="A18" s="2383" t="s">
        <v>365</v>
      </c>
      <c r="B18" s="2384"/>
      <c r="C18" s="2384"/>
      <c r="D18" s="2384"/>
      <c r="E18" s="2385"/>
      <c r="F18" s="635" t="s">
        <v>926</v>
      </c>
      <c r="G18" s="1753"/>
      <c r="H18" s="1753"/>
      <c r="I18" s="1753"/>
      <c r="J18" s="1745"/>
      <c r="K18" s="1763"/>
    </row>
    <row r="19" spans="1:15" ht="21.75" customHeight="1" x14ac:dyDescent="0.2">
      <c r="A19" s="2406" t="s">
        <v>1786</v>
      </c>
      <c r="B19" s="2406"/>
      <c r="C19" s="2406"/>
      <c r="D19" s="2406"/>
      <c r="E19" s="2407"/>
      <c r="F19" s="635" t="s">
        <v>927</v>
      </c>
      <c r="G19" s="1753"/>
      <c r="H19" s="1753"/>
      <c r="I19" s="1753"/>
      <c r="J19" s="1745"/>
      <c r="K19" s="1763"/>
    </row>
    <row r="20" spans="1:15" x14ac:dyDescent="0.2">
      <c r="A20" s="2383" t="s">
        <v>1791</v>
      </c>
      <c r="B20" s="2384"/>
      <c r="C20" s="2384"/>
      <c r="D20" s="2384"/>
      <c r="E20" s="2385"/>
      <c r="F20" s="635" t="s">
        <v>928</v>
      </c>
      <c r="G20" s="1753"/>
      <c r="H20" s="1753"/>
      <c r="I20" s="1753"/>
      <c r="J20" s="1745"/>
      <c r="K20" s="1763"/>
    </row>
    <row r="21" spans="1:15" ht="13.5" thickBot="1" x14ac:dyDescent="0.25">
      <c r="A21" s="2389" t="s">
        <v>633</v>
      </c>
      <c r="B21" s="2389"/>
      <c r="C21" s="2389"/>
      <c r="D21" s="2389"/>
      <c r="E21" s="2389"/>
      <c r="F21" s="1434"/>
      <c r="G21" s="1760"/>
      <c r="H21" s="1764"/>
      <c r="I21" s="1764"/>
      <c r="J21" s="1765">
        <f>SUM(J18:J20)</f>
        <v>0</v>
      </c>
      <c r="K21" s="1761"/>
    </row>
    <row r="22" spans="1:15" ht="13.5" thickTop="1" x14ac:dyDescent="0.2">
      <c r="A22" s="2369" t="s">
        <v>1792</v>
      </c>
      <c r="B22" s="2369"/>
      <c r="C22" s="2369"/>
      <c r="D22" s="2369"/>
      <c r="E22" s="2399"/>
      <c r="F22" s="635" t="s">
        <v>857</v>
      </c>
      <c r="G22" s="1753"/>
      <c r="H22" s="1744"/>
      <c r="I22" s="1744"/>
      <c r="J22" s="1766"/>
      <c r="K22" s="1745"/>
    </row>
    <row r="23" spans="1:15" ht="13.5" thickBot="1" x14ac:dyDescent="0.25">
      <c r="A23" s="2390" t="s">
        <v>900</v>
      </c>
      <c r="B23" s="2389"/>
      <c r="C23" s="2389"/>
      <c r="D23" s="2389"/>
      <c r="E23" s="238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91" t="str">
        <f>"Ending Cash Basis Fund Balance as of June 30, "&amp;'AFR20'!E2</f>
        <v>Ending Cash Basis Fund Balance as of June 30, 2020</v>
      </c>
      <c r="B24" s="2392"/>
      <c r="C24" s="2392"/>
      <c r="D24" s="2392"/>
      <c r="E24" s="239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01"/>
      <c r="I31" s="2402"/>
      <c r="J31" s="2402"/>
      <c r="K31" s="2402"/>
    </row>
    <row r="32" spans="1:15" x14ac:dyDescent="0.2">
      <c r="A32" s="649"/>
      <c r="B32" s="232"/>
      <c r="C32" s="232"/>
      <c r="D32" s="232"/>
      <c r="E32" s="645"/>
      <c r="F32" s="651" t="s">
        <v>537</v>
      </c>
      <c r="G32" s="618"/>
      <c r="H32" s="2403"/>
      <c r="I32" s="2402"/>
      <c r="J32" s="2402"/>
      <c r="K32" s="2402"/>
    </row>
    <row r="33" spans="1:11" ht="1.5" customHeight="1" x14ac:dyDescent="0.2">
      <c r="A33" s="652" t="s">
        <v>1159</v>
      </c>
      <c r="B33" s="341"/>
      <c r="C33" s="341"/>
      <c r="D33" s="341"/>
      <c r="E33" s="341"/>
      <c r="F33" s="341"/>
      <c r="G33" s="653"/>
      <c r="H33" s="2403"/>
      <c r="I33" s="2402"/>
      <c r="J33" s="2402"/>
      <c r="K33" s="240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9" t="s">
        <v>538</v>
      </c>
      <c r="B41" s="2370"/>
      <c r="C41" s="2370"/>
      <c r="D41" s="2370"/>
      <c r="E41" s="2370"/>
      <c r="F41" s="237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0" t="s">
        <v>1875</v>
      </c>
      <c r="B1" s="2411"/>
      <c r="C1" s="2412"/>
      <c r="D1" s="666"/>
      <c r="E1" s="667"/>
      <c r="F1" s="667"/>
      <c r="G1" s="668"/>
      <c r="H1" s="669"/>
      <c r="I1" s="670"/>
      <c r="J1" s="2408"/>
      <c r="K1" s="2409"/>
      <c r="L1" s="240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0</v>
      </c>
      <c r="D5" s="1770"/>
      <c r="E5" s="1770"/>
      <c r="F5" s="1765">
        <f>(C5+D5)-E5</f>
        <v>0</v>
      </c>
      <c r="G5" s="676"/>
      <c r="H5" s="680"/>
      <c r="I5" s="680"/>
      <c r="J5" s="680"/>
      <c r="K5" s="637"/>
      <c r="L5" s="1442">
        <f>F5-K5</f>
        <v>0</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376836</v>
      </c>
      <c r="D8" s="1771"/>
      <c r="E8" s="1771"/>
      <c r="F8" s="1765">
        <f>(C8+D8)-E8</f>
        <v>376836</v>
      </c>
      <c r="G8" s="681">
        <v>50</v>
      </c>
      <c r="H8" s="619">
        <v>125280</v>
      </c>
      <c r="I8" s="619">
        <v>7537</v>
      </c>
      <c r="J8" s="619"/>
      <c r="K8" s="1442">
        <f>(H8+I8)-J8</f>
        <v>132817</v>
      </c>
      <c r="L8" s="1442">
        <f>F8-K8</f>
        <v>244019</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47853</v>
      </c>
      <c r="D10" s="1772">
        <v>64829</v>
      </c>
      <c r="E10" s="1772"/>
      <c r="F10" s="1773">
        <f>(C10+D10)-E10</f>
        <v>112682</v>
      </c>
      <c r="G10" s="681">
        <v>20</v>
      </c>
      <c r="H10" s="683">
        <v>2393</v>
      </c>
      <c r="I10" s="683">
        <v>5634</v>
      </c>
      <c r="J10" s="683"/>
      <c r="K10" s="1442">
        <f>(H10+I10)-J10</f>
        <v>8027</v>
      </c>
      <c r="L10" s="1442">
        <f>F10-K10</f>
        <v>104655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188731</v>
      </c>
      <c r="D12" s="1771">
        <v>7166</v>
      </c>
      <c r="E12" s="1771">
        <v>21701</v>
      </c>
      <c r="F12" s="1765">
        <f>(C12+D12)-E12</f>
        <v>174196</v>
      </c>
      <c r="G12" s="681">
        <v>10</v>
      </c>
      <c r="H12" s="619">
        <v>104563</v>
      </c>
      <c r="I12" s="619">
        <v>17417</v>
      </c>
      <c r="J12" s="619">
        <v>21701</v>
      </c>
      <c r="K12" s="1442">
        <f>(H12+I12)-J12</f>
        <v>100279</v>
      </c>
      <c r="L12" s="1442">
        <f>F12-K12</f>
        <v>73917</v>
      </c>
    </row>
    <row r="13" spans="1:14" ht="14.25" thickTop="1" thickBot="1" x14ac:dyDescent="0.25">
      <c r="A13" s="684" t="s">
        <v>1112</v>
      </c>
      <c r="B13" s="679">
        <v>252</v>
      </c>
      <c r="C13" s="1771">
        <v>0</v>
      </c>
      <c r="D13" s="1771"/>
      <c r="E13" s="1771"/>
      <c r="F13" s="1765">
        <f>(C13+D13)-E13</f>
        <v>0</v>
      </c>
      <c r="G13" s="681">
        <v>5</v>
      </c>
      <c r="H13" s="619">
        <v>0</v>
      </c>
      <c r="I13" s="619"/>
      <c r="J13" s="619"/>
      <c r="K13" s="1442">
        <f>(H13+I13)-J13</f>
        <v>0</v>
      </c>
      <c r="L13" s="1442">
        <f>F13-K13</f>
        <v>0</v>
      </c>
    </row>
    <row r="14" spans="1:14" ht="14.25" thickTop="1" thickBot="1" x14ac:dyDescent="0.25">
      <c r="A14" s="684" t="s">
        <v>1113</v>
      </c>
      <c r="B14" s="679">
        <v>253</v>
      </c>
      <c r="C14" s="1745">
        <v>0</v>
      </c>
      <c r="D14" s="1745"/>
      <c r="E14" s="1745"/>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v>0</v>
      </c>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613420</v>
      </c>
      <c r="D16" s="1765">
        <f>SUM(D3,D5:D6,D8:D10,D12:D15)</f>
        <v>71995</v>
      </c>
      <c r="E16" s="1765">
        <f>SUM(E3,E5:E6,E8:E10,E12:E15)</f>
        <v>21701</v>
      </c>
      <c r="F16" s="1765">
        <f>SUM(F3,F5:F6,F8:F10,F12:F15)</f>
        <v>663714</v>
      </c>
      <c r="G16" s="681"/>
      <c r="H16" s="1435">
        <f>SUM(H3,H6,H8:H10,H12:H14,)</f>
        <v>232236</v>
      </c>
      <c r="I16" s="1435">
        <f>SUM(I3,I6,I8:I10,I12:I14,)</f>
        <v>30588</v>
      </c>
      <c r="J16" s="1435">
        <f>SUM(J3,J6,J8:J10,J12:J14,)</f>
        <v>21701</v>
      </c>
      <c r="K16" s="1435">
        <f>(H16+I16)-J16</f>
        <v>241123</v>
      </c>
      <c r="L16" s="1435">
        <f>F16-K16</f>
        <v>422591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30588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6" t="str">
        <f>"ESTIMATED OPERATING EXPENSE PER PUPIL (OEPP)/PER CAPITA TUITION CHARGE (PCTC) COMPUTATIONS ("&amp;'AFR20'!E2-1&amp;" - "&amp;'AFR20'!E2&amp;")"</f>
        <v>ESTIMATED OPERATING EXPENSE PER PUPIL (OEPP)/PER CAPITA TUITION CHARGE (PCTC) COMPUTATIONS (2019 - 2020)</v>
      </c>
      <c r="B1" s="2417"/>
      <c r="C1" s="2417"/>
      <c r="D1" s="2417"/>
      <c r="E1" s="2417"/>
      <c r="F1" s="2418"/>
      <c r="G1" s="691"/>
      <c r="I1" s="701"/>
    </row>
    <row r="2" spans="1:9" ht="15" customHeight="1" thickBot="1" x14ac:dyDescent="0.25">
      <c r="A2" s="2419" t="s">
        <v>474</v>
      </c>
      <c r="B2" s="2420"/>
      <c r="C2" s="2420"/>
      <c r="D2" s="2420"/>
      <c r="E2" s="2420"/>
      <c r="F2" s="242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22"/>
      <c r="B5" s="2423"/>
      <c r="C5" s="2423"/>
      <c r="D5" s="2423"/>
      <c r="E5" s="2423"/>
      <c r="F5" s="2423"/>
    </row>
    <row r="6" spans="1:9" ht="13.5" customHeight="1" thickBot="1" x14ac:dyDescent="0.25">
      <c r="A6" s="2413" t="s">
        <v>1095</v>
      </c>
      <c r="B6" s="2414"/>
      <c r="C6" s="2414"/>
      <c r="D6" s="2414"/>
      <c r="E6" s="2414"/>
      <c r="F6" s="241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6547492</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6547492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78555</v>
      </c>
      <c r="G52" s="701"/>
    </row>
    <row r="53" spans="1:7" x14ac:dyDescent="0.2">
      <c r="A53" s="705" t="s">
        <v>456</v>
      </c>
      <c r="B53" s="705" t="s">
        <v>1458</v>
      </c>
      <c r="C53" s="724">
        <f>'Expenditures 15-22'!B102</f>
        <v>4000</v>
      </c>
      <c r="D53" s="723" t="str">
        <f>'Expenditures 15-22'!A102</f>
        <v>Total Payments to Other Govt Units</v>
      </c>
      <c r="E53" s="704"/>
      <c r="F53" s="1782">
        <f>'Expenditures 15-22'!K102</f>
        <v>839003</v>
      </c>
      <c r="G53" s="701"/>
    </row>
    <row r="54" spans="1:7" x14ac:dyDescent="0.2">
      <c r="A54" s="705" t="s">
        <v>456</v>
      </c>
      <c r="B54" s="705" t="s">
        <v>1459</v>
      </c>
      <c r="C54" s="724" t="s">
        <v>975</v>
      </c>
      <c r="D54" s="720" t="s">
        <v>1086</v>
      </c>
      <c r="E54" s="704"/>
      <c r="F54" s="1782">
        <f>'Expenditures 15-22'!G114</f>
        <v>71995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989553</v>
      </c>
      <c r="G77" s="701"/>
    </row>
    <row r="78" spans="1:9" s="728" customFormat="1" ht="12" customHeight="1" thickTop="1" thickBot="1" x14ac:dyDescent="0.25">
      <c r="A78" s="1450"/>
      <c r="B78" s="1448"/>
      <c r="C78" s="1445"/>
      <c r="D78" s="1449" t="s">
        <v>2012</v>
      </c>
      <c r="E78" s="1447"/>
      <c r="F78" s="1788">
        <f>(F14-F77)</f>
        <v>5557939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413" t="s">
        <v>1096</v>
      </c>
      <c r="B82" s="2414"/>
      <c r="C82" s="2414"/>
      <c r="D82" s="2414"/>
      <c r="E82" s="2414"/>
      <c r="F82" s="241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5983</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2629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75265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58368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194928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337173</v>
      </c>
    </row>
    <row r="176" spans="1:7" ht="12" customHeight="1" x14ac:dyDescent="0.2">
      <c r="A176" s="1443"/>
      <c r="B176" s="1453"/>
      <c r="C176" s="1454"/>
      <c r="D176" s="1455" t="s">
        <v>2014</v>
      </c>
      <c r="E176" s="1456"/>
      <c r="F176" s="1793">
        <f>'PCTC-OEPP 27-28'!F78-F175</f>
        <v>5220766</v>
      </c>
    </row>
    <row r="177" spans="1:9" ht="12" customHeight="1" x14ac:dyDescent="0.2">
      <c r="A177" s="1443"/>
      <c r="B177" s="1453"/>
      <c r="C177" s="1454"/>
      <c r="D177" s="1455" t="s">
        <v>1794</v>
      </c>
      <c r="E177" s="1456"/>
      <c r="F177" s="1793">
        <f>'Cap Outlay Deprec 26'!I18</f>
        <v>30588</v>
      </c>
    </row>
    <row r="178" spans="1:9" ht="12" customHeight="1" x14ac:dyDescent="0.2">
      <c r="A178" s="1443"/>
      <c r="B178" s="1453"/>
      <c r="C178" s="1454"/>
      <c r="D178" s="1455" t="s">
        <v>2015</v>
      </c>
      <c r="E178" s="1456"/>
      <c r="F178" s="1793">
        <f>F176+F177</f>
        <v>5251354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7" t="s">
        <v>1795</v>
      </c>
      <c r="B4" s="2428"/>
      <c r="C4" s="2428"/>
      <c r="D4" s="2428"/>
      <c r="E4" s="2428"/>
      <c r="F4" s="2429"/>
    </row>
    <row r="5" spans="1:6" x14ac:dyDescent="0.25">
      <c r="A5" s="2430"/>
      <c r="B5" s="2431"/>
      <c r="C5" s="2431"/>
      <c r="D5" s="2431"/>
      <c r="E5" s="2431"/>
      <c r="F5" s="2432"/>
    </row>
    <row r="6" spans="1:6" ht="18.75" x14ac:dyDescent="0.25">
      <c r="A6" s="1867" t="s">
        <v>1796</v>
      </c>
      <c r="B6" s="1868"/>
      <c r="C6" s="1869"/>
      <c r="D6" s="1869"/>
      <c r="E6" s="1869"/>
      <c r="F6" s="1870"/>
    </row>
    <row r="7" spans="1:6" ht="47.25" customHeight="1" x14ac:dyDescent="0.25">
      <c r="A7" s="2433" t="s">
        <v>1985</v>
      </c>
      <c r="B7" s="2434"/>
      <c r="C7" s="2434"/>
      <c r="D7" s="2434"/>
      <c r="E7" s="2434"/>
      <c r="F7" s="243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6" t="s">
        <v>1981</v>
      </c>
      <c r="B10" s="2437"/>
      <c r="C10" s="2437"/>
      <c r="D10" s="2437"/>
      <c r="E10" s="2437"/>
      <c r="F10" s="2438"/>
    </row>
    <row r="11" spans="1:6" ht="33" customHeight="1" x14ac:dyDescent="0.25">
      <c r="A11" s="2433" t="s">
        <v>1986</v>
      </c>
      <c r="B11" s="2434"/>
      <c r="C11" s="2434"/>
      <c r="D11" s="2434"/>
      <c r="E11" s="2434"/>
      <c r="F11" s="2435"/>
    </row>
    <row r="12" spans="1:6" ht="15" customHeight="1" x14ac:dyDescent="0.25">
      <c r="A12" s="1873" t="s">
        <v>1982</v>
      </c>
      <c r="B12" s="1874"/>
      <c r="C12" s="1875"/>
      <c r="D12" s="1875"/>
      <c r="E12" s="1875"/>
      <c r="F12" s="1876"/>
    </row>
    <row r="13" spans="1:6" ht="17.25" customHeight="1" x14ac:dyDescent="0.25">
      <c r="A13" s="2433" t="s">
        <v>1983</v>
      </c>
      <c r="B13" s="2434"/>
      <c r="C13" s="2434"/>
      <c r="D13" s="2434"/>
      <c r="E13" s="2434"/>
      <c r="F13" s="2435"/>
    </row>
    <row r="14" spans="1:6" ht="15" customHeight="1" x14ac:dyDescent="0.25">
      <c r="A14" s="1873" t="s">
        <v>1800</v>
      </c>
      <c r="B14" s="1874"/>
      <c r="C14" s="1875"/>
      <c r="D14" s="1875"/>
      <c r="E14" s="1875"/>
      <c r="F14" s="1876"/>
    </row>
    <row r="15" spans="1:6" ht="32.25" customHeight="1" x14ac:dyDescent="0.25">
      <c r="A15" s="242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5"/>
      <c r="C15" s="2425"/>
      <c r="D15" s="2425"/>
      <c r="E15" s="2425"/>
      <c r="F15" s="242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5" t="s">
        <v>2098</v>
      </c>
      <c r="B18" s="1908">
        <v>102100300</v>
      </c>
      <c r="C18" s="2086" t="s">
        <v>2099</v>
      </c>
      <c r="D18" s="1886">
        <v>44966</v>
      </c>
      <c r="E18" s="1906" t="str">
        <f t="shared" ref="E18:E81" si="0">IF(D18&lt;25000,D18,"25,000")</f>
        <v>25,000</v>
      </c>
      <c r="F18" s="1906">
        <f t="shared" ref="F18:F81" si="1">IF(D18&gt;=25000,(D18-E18),"0")</f>
        <v>19966</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44966</v>
      </c>
      <c r="E142" s="1893">
        <f>SUM(E18:E141)</f>
        <v>0</v>
      </c>
      <c r="F142" s="1894">
        <f>SUM(F18:F141)</f>
        <v>19966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9" t="s">
        <v>1660</v>
      </c>
      <c r="B5" s="2440"/>
      <c r="C5" s="2440"/>
      <c r="D5" s="2440"/>
      <c r="E5" s="2440"/>
      <c r="F5" s="2440"/>
      <c r="G5" s="244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4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5"/>
      <c r="C11" s="2445"/>
      <c r="D11" s="244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1893591</v>
      </c>
      <c r="F19" s="1802"/>
      <c r="G19" s="1804">
        <f>'Expenditures 15-22'!K33-SUM('Expenditures 15-22'!G33,'Expenditures 15-22'!I33)+'Expenditures 15-22'!D229</f>
        <v>1893591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2149627</v>
      </c>
      <c r="F21" s="1805"/>
      <c r="G21" s="1808">
        <f>'Expenditures 15-22'!K42-SUM('Expenditures 15-22'!G42,'Expenditures 15-22'!I42)+'Expenditures 15-22'!K120-SUM('Expenditures 15-22'!G120,'Expenditures 15-22'!I120)+'Expenditures 15-22'!K180-SUM('Expenditures 15-22'!G180,'Expenditures 15-22'!I180)+'Expenditures 15-22'!D238</f>
        <v>2149627</v>
      </c>
      <c r="H21" s="817"/>
      <c r="I21" s="157"/>
    </row>
    <row r="22" spans="1:9" s="542" customFormat="1" ht="12" customHeight="1" x14ac:dyDescent="0.2">
      <c r="A22" s="824" t="s">
        <v>560</v>
      </c>
      <c r="B22" s="825"/>
      <c r="C22" s="823">
        <v>2200</v>
      </c>
      <c r="D22" s="1805"/>
      <c r="E22" s="1807">
        <f>'Expenditures 15-22'!K47-SUM('Expenditures 15-22'!G47,'Expenditures 15-22'!I47)+'Expenditures 15-22'!D243</f>
        <v>153877</v>
      </c>
      <c r="F22" s="1805"/>
      <c r="G22" s="1808">
        <f>'Expenditures 15-22'!K47-SUM('Expenditures 15-22'!G47,'Expenditures 15-22'!I47)+'Expenditures 15-22'!D243</f>
        <v>153877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1146648</v>
      </c>
      <c r="F23" s="1805"/>
      <c r="G23" s="1807">
        <f>'Expenditures 15-22'!K53-SUM('Expenditures 15-22'!G53,'Expenditures 15-22'!I53)+'Expenditures 15-22'!D257+'Expenditures 15-22'!K330-SUM('Expenditures 15-22'!G330,'Expenditures 15-22'!I330)</f>
        <v>1146648</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14079</v>
      </c>
      <c r="E27" s="1807">
        <f>E8</f>
        <v>0</v>
      </c>
      <c r="F27" s="1807">
        <f>'Expenditures 15-22'!K60-SUM('Expenditures 15-22'!G60,'Expenditures 15-22'!I60)+'Expenditures 15-22'!D264-E8</f>
        <v>14079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185613</v>
      </c>
      <c r="F28" s="1809">
        <f>'Expenditures 15-22'!K61-SUM('Expenditures 15-22'!G61,'Expenditures 15-22'!I61)+'Expenditures 15-22'!K124-SUM('Expenditures 15-22'!G124,'Expenditures 15-22'!I124)+'Expenditures 15-22'!D266-E9</f>
        <v>185613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14504</v>
      </c>
      <c r="F30" s="1805"/>
      <c r="G30" s="1807">
        <f>'Expenditures 15-22'!K63-SUM('Expenditures 15-22'!G63,'Expenditures 15-22'!I63)+'Expenditures 15-22'!D268-E10</f>
        <v>14504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78555</v>
      </c>
      <c r="F39" s="1805"/>
      <c r="G39" s="1807">
        <f>'Expenditures 15-22'!K75-SUM('Expenditures 15-22'!G75,'Expenditures 15-22'!I75)+'Expenditures 15-22'!K130-SUM('Expenditures 15-22'!G130,'Expenditures 15-22'!I130)+'Expenditures 15-22'!K185-SUM('Expenditures 15-22'!G185,'Expenditures 15-22'!I185)+'Expenditures 15-22'!D280</f>
        <v>78555</v>
      </c>
    </row>
    <row r="40" spans="1:7" ht="12" customHeight="1" x14ac:dyDescent="0.2">
      <c r="A40" s="820" t="s">
        <v>1798</v>
      </c>
      <c r="B40" s="821"/>
      <c r="C40" s="823"/>
      <c r="D40" s="1805"/>
      <c r="E40" s="1809">
        <f>-'Contracts Paid in CY 29'!F142</f>
        <v>-19966</v>
      </c>
      <c r="F40" s="1805"/>
      <c r="G40" s="1809">
        <f>-'Contracts Paid in CY 29'!F142</f>
        <v>-19966</v>
      </c>
    </row>
    <row r="41" spans="1:7" ht="12" customHeight="1" x14ac:dyDescent="0.2">
      <c r="A41" s="828" t="s">
        <v>155</v>
      </c>
      <c r="B41" s="829"/>
      <c r="C41" s="830"/>
      <c r="D41" s="1809">
        <f>SUM(D19:D39)</f>
        <v>14079</v>
      </c>
      <c r="E41" s="1809">
        <f>SUM(E19:E40)</f>
        <v>5602449</v>
      </c>
      <c r="F41" s="1809">
        <f>SUM(F19:F39)</f>
        <v>199692</v>
      </c>
      <c r="G41" s="1809">
        <f>SUM(G19:G40)</f>
        <v>5416836</v>
      </c>
    </row>
    <row r="42" spans="1:7" x14ac:dyDescent="0.2">
      <c r="A42" s="817"/>
      <c r="B42" s="157"/>
      <c r="C42" s="831"/>
      <c r="D42" s="2442" t="s">
        <v>519</v>
      </c>
      <c r="E42" s="2443"/>
      <c r="F42" s="832" t="s">
        <v>520</v>
      </c>
      <c r="G42" s="833"/>
    </row>
    <row r="43" spans="1:7" ht="12" customHeight="1" x14ac:dyDescent="0.2">
      <c r="A43" s="817"/>
      <c r="B43" s="157"/>
      <c r="C43" s="831"/>
      <c r="D43" s="1458" t="s">
        <v>470</v>
      </c>
      <c r="E43" s="1810">
        <f>D41</f>
        <v>14079</v>
      </c>
      <c r="F43" s="1458" t="s">
        <v>470</v>
      </c>
      <c r="G43" s="1810">
        <f>F41</f>
        <v>199692</v>
      </c>
    </row>
    <row r="44" spans="1:7" ht="12" customHeight="1" x14ac:dyDescent="0.2">
      <c r="A44" s="817"/>
      <c r="B44" s="157"/>
      <c r="C44" s="831"/>
      <c r="D44" s="1458" t="s">
        <v>471</v>
      </c>
      <c r="E44" s="1810">
        <f>E41</f>
        <v>5602449</v>
      </c>
      <c r="F44" s="1458" t="s">
        <v>471</v>
      </c>
      <c r="G44" s="1810">
        <f>G41</f>
        <v>5416836</v>
      </c>
    </row>
    <row r="45" spans="1:7" ht="12" customHeight="1" x14ac:dyDescent="0.2">
      <c r="A45" s="817"/>
      <c r="B45" s="157"/>
      <c r="C45" s="157"/>
      <c r="D45" s="1459" t="s">
        <v>999</v>
      </c>
      <c r="E45" s="1811">
        <f>(E43/E44)</f>
        <v>2.513008150542736E-3</v>
      </c>
      <c r="F45" s="1459" t="s">
        <v>999</v>
      </c>
      <c r="G45" s="1811">
        <f>(G43/G44)</f>
        <v>3.6865062926032838E-2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50" t="s">
        <v>1363</v>
      </c>
      <c r="B1" s="2450"/>
      <c r="C1" s="2450"/>
      <c r="D1" s="2450"/>
      <c r="E1" s="2450"/>
      <c r="F1" s="245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1" t="s">
        <v>1529</v>
      </c>
      <c r="B5" s="2452"/>
      <c r="C5" s="2453"/>
      <c r="D5" s="2453"/>
      <c r="E5" s="2453"/>
      <c r="F5" s="2453"/>
      <c r="G5" s="1507"/>
      <c r="L5" s="1507"/>
      <c r="M5" s="1855"/>
      <c r="N5" s="1855"/>
      <c r="O5" s="1855"/>
    </row>
    <row r="6" spans="1:15" ht="12" customHeight="1" x14ac:dyDescent="0.25">
      <c r="A6" s="1480"/>
      <c r="B6" s="1481"/>
      <c r="C6" s="2454" t="str">
        <f>COVER!A17</f>
        <v xml:space="preserve">Woodford County Spec Educ Assn </v>
      </c>
      <c r="D6" s="2454"/>
      <c r="E6" s="2454"/>
      <c r="F6" s="1482"/>
      <c r="G6" s="1507"/>
      <c r="L6" s="1507"/>
      <c r="M6" s="1855"/>
      <c r="N6" s="1855"/>
      <c r="O6" s="1855"/>
    </row>
    <row r="7" spans="1:15" ht="11.25" customHeight="1" thickBot="1" x14ac:dyDescent="0.3">
      <c r="A7" s="1480"/>
      <c r="B7" s="1481"/>
      <c r="C7" s="2455">
        <f>COVER!A13</f>
        <v>53102801060</v>
      </c>
      <c r="D7" s="2455"/>
      <c r="E7" s="2455"/>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56"/>
      <c r="D35" s="2456"/>
      <c r="E35" s="2456"/>
      <c r="F35" s="2457"/>
    </row>
    <row r="36" spans="1:15" ht="12" customHeight="1" x14ac:dyDescent="0.2">
      <c r="A36" s="2447"/>
      <c r="B36" s="2448"/>
      <c r="C36" s="2448"/>
      <c r="D36" s="2448"/>
      <c r="E36" s="2448"/>
      <c r="F36" s="2449"/>
    </row>
    <row r="37" spans="1:15" ht="12" customHeight="1" x14ac:dyDescent="0.2">
      <c r="A37" s="2447"/>
      <c r="B37" s="2448"/>
      <c r="C37" s="2448"/>
      <c r="D37" s="2448"/>
      <c r="E37" s="2448"/>
      <c r="F37" s="2449"/>
    </row>
    <row r="38" spans="1:15" ht="12" customHeight="1" x14ac:dyDescent="0.2">
      <c r="A38" s="2461"/>
      <c r="B38" s="2462"/>
      <c r="C38" s="2462"/>
      <c r="D38" s="2462"/>
      <c r="E38" s="2462"/>
      <c r="F38" s="2463"/>
    </row>
    <row r="39" spans="1:15" ht="4.5" hidden="1" customHeight="1" x14ac:dyDescent="0.2">
      <c r="A39" s="1502"/>
      <c r="B39" s="1502"/>
      <c r="C39" s="1502"/>
      <c r="D39" s="1502"/>
      <c r="E39" s="1502"/>
      <c r="F39" s="1502"/>
    </row>
    <row r="40" spans="1:15" s="1499" customFormat="1" ht="12" customHeight="1" x14ac:dyDescent="0.25">
      <c r="A40" s="1503" t="s">
        <v>1375</v>
      </c>
      <c r="B40" s="1504"/>
      <c r="C40" s="2464"/>
      <c r="D40" s="2464"/>
      <c r="E40" s="2464"/>
      <c r="F40" s="2465"/>
      <c r="H40" s="1508"/>
      <c r="I40" s="1508"/>
      <c r="J40" s="1508"/>
      <c r="K40" s="1508"/>
    </row>
    <row r="41" spans="1:15" s="1499" customFormat="1" ht="12" customHeight="1" x14ac:dyDescent="0.25">
      <c r="A41" s="2466"/>
      <c r="B41" s="2467"/>
      <c r="C41" s="2467"/>
      <c r="D41" s="2467"/>
      <c r="E41" s="2467"/>
      <c r="F41" s="2468"/>
      <c r="H41" s="1508"/>
      <c r="I41" s="1508"/>
      <c r="J41" s="1508"/>
      <c r="K41" s="1508"/>
    </row>
    <row r="42" spans="1:15" s="1499" customFormat="1" ht="12" customHeight="1" x14ac:dyDescent="0.25">
      <c r="A42" s="2466"/>
      <c r="B42" s="2467"/>
      <c r="C42" s="2467"/>
      <c r="D42" s="2467"/>
      <c r="E42" s="2467"/>
      <c r="F42" s="2468"/>
      <c r="H42" s="1508"/>
      <c r="I42" s="1508"/>
      <c r="J42" s="1508"/>
      <c r="K42" s="1508"/>
    </row>
    <row r="43" spans="1:15" s="1499" customFormat="1" ht="15" x14ac:dyDescent="0.25">
      <c r="A43" s="2458"/>
      <c r="B43" s="2459"/>
      <c r="C43" s="2459"/>
      <c r="D43" s="2459"/>
      <c r="E43" s="2459"/>
      <c r="F43" s="2460"/>
      <c r="H43" s="1508"/>
      <c r="I43" s="1508"/>
      <c r="J43" s="1508"/>
      <c r="K43" s="1508"/>
    </row>
    <row r="44" spans="1:15" s="1499" customFormat="1" ht="12" hidden="1" customHeight="1" x14ac:dyDescent="0.25">
      <c r="A44" s="2458"/>
      <c r="B44" s="2459"/>
      <c r="C44" s="2459"/>
      <c r="D44" s="2459"/>
      <c r="E44" s="2459"/>
      <c r="F44" s="246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fitToWidth="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70" t="str">
        <f>COVER!A17</f>
        <v xml:space="preserve">Woodford County Spec Educ Assn </v>
      </c>
      <c r="K6" s="2470"/>
      <c r="L6" s="2471"/>
      <c r="M6" s="838"/>
      <c r="N6" s="1998"/>
    </row>
    <row r="7" spans="1:14" x14ac:dyDescent="0.2">
      <c r="A7" s="2472" t="s">
        <v>864</v>
      </c>
      <c r="B7" s="2473"/>
      <c r="C7" s="2473"/>
      <c r="D7" s="2473"/>
      <c r="E7" s="2474"/>
      <c r="F7" s="839"/>
      <c r="G7" s="838"/>
      <c r="H7" s="838"/>
      <c r="I7" s="1924" t="s">
        <v>369</v>
      </c>
      <c r="J7" s="2475">
        <f>COVER!A13</f>
        <v>53102801060</v>
      </c>
      <c r="K7" s="2475"/>
      <c r="L7" s="247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6" t="s">
        <v>478</v>
      </c>
      <c r="B11" s="2477"/>
      <c r="C11" s="247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1150565</v>
      </c>
      <c r="F13" s="1942"/>
      <c r="G13" s="1968">
        <f>H68</f>
        <v>0</v>
      </c>
      <c r="H13" s="1944">
        <f t="shared" si="0"/>
        <v>1150565</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9" t="s">
        <v>7</v>
      </c>
      <c r="C18" s="2480"/>
      <c r="D18" s="248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1150565</v>
      </c>
      <c r="F19" s="1950">
        <f t="shared" si="2"/>
        <v>0</v>
      </c>
      <c r="G19" s="1950">
        <f t="shared" ref="G19" si="3">SUM(G12:G17)-G18</f>
        <v>0</v>
      </c>
      <c r="H19" s="1950">
        <f t="shared" si="2"/>
        <v>1150565</v>
      </c>
      <c r="I19" s="1950">
        <f t="shared" si="2"/>
        <v>0</v>
      </c>
      <c r="J19" s="1950">
        <f t="shared" si="2"/>
        <v>0</v>
      </c>
      <c r="K19" s="1950">
        <f t="shared" si="2"/>
        <v>0</v>
      </c>
      <c r="L19" s="1950">
        <f t="shared" si="2"/>
        <v>0</v>
      </c>
      <c r="M19" s="838"/>
      <c r="N19" s="1998"/>
    </row>
    <row r="20" spans="1:14" ht="13.5" thickTop="1" x14ac:dyDescent="0.2">
      <c r="A20" s="2003">
        <v>9</v>
      </c>
      <c r="B20" s="2482" t="s">
        <v>2021</v>
      </c>
      <c r="C20" s="2482"/>
      <c r="D20" s="248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4"/>
      <c r="D27" s="2484"/>
      <c r="E27" s="843"/>
      <c r="F27" s="2485"/>
      <c r="G27" s="2485"/>
      <c r="H27" s="2485"/>
      <c r="I27" s="838"/>
      <c r="J27" s="838"/>
      <c r="K27" s="838"/>
      <c r="L27" s="838"/>
      <c r="M27" s="838"/>
      <c r="N27" s="1998"/>
    </row>
    <row r="28" spans="1:14" x14ac:dyDescent="0.2">
      <c r="A28" s="1997"/>
      <c r="B28" s="2007"/>
      <c r="C28" s="1957" t="s">
        <v>1026</v>
      </c>
      <c r="D28" s="844"/>
      <c r="E28" s="1958"/>
      <c r="F28" s="2486" t="s">
        <v>1492</v>
      </c>
      <c r="G28" s="2486"/>
      <c r="H28" s="2486"/>
      <c r="I28" s="838"/>
      <c r="J28" s="838"/>
      <c r="K28" s="838"/>
      <c r="L28" s="838"/>
      <c r="M28" s="838"/>
      <c r="N28" s="1998"/>
    </row>
    <row r="29" spans="1:14" x14ac:dyDescent="0.2">
      <c r="A29" s="1997"/>
      <c r="B29" s="2007"/>
      <c r="C29" s="2487"/>
      <c r="D29" s="2487"/>
      <c r="E29" s="845"/>
      <c r="F29" s="2487"/>
      <c r="G29" s="2487"/>
      <c r="H29" s="2487"/>
      <c r="I29" s="838"/>
      <c r="J29" s="838"/>
      <c r="K29" s="838"/>
      <c r="L29" s="838"/>
      <c r="M29" s="838"/>
      <c r="N29" s="1998"/>
    </row>
    <row r="30" spans="1:14" x14ac:dyDescent="0.2">
      <c r="A30" s="1997"/>
      <c r="B30" s="2007"/>
      <c r="C30" s="1960" t="s">
        <v>1544</v>
      </c>
      <c r="D30" s="838"/>
      <c r="E30" s="1959"/>
      <c r="F30" s="2469" t="s">
        <v>1493</v>
      </c>
      <c r="G30" s="2469"/>
      <c r="H30" s="246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90" t="s">
        <v>2024</v>
      </c>
      <c r="D34" s="2491"/>
      <c r="E34" s="2491"/>
      <c r="F34" s="2491"/>
      <c r="G34" s="2491"/>
      <c r="H34" s="2491"/>
      <c r="I34" s="2491"/>
      <c r="J34" s="2491"/>
      <c r="K34" s="2016"/>
      <c r="L34" s="838"/>
      <c r="M34" s="838"/>
      <c r="N34" s="1998"/>
    </row>
    <row r="35" spans="1:14" x14ac:dyDescent="0.2">
      <c r="A35" s="1997"/>
      <c r="B35" s="838"/>
      <c r="C35" s="2491"/>
      <c r="D35" s="2491"/>
      <c r="E35" s="2491"/>
      <c r="F35" s="2491"/>
      <c r="G35" s="2491"/>
      <c r="H35" s="2491"/>
      <c r="I35" s="2491"/>
      <c r="J35" s="249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90" t="s">
        <v>2025</v>
      </c>
      <c r="D37" s="2491"/>
      <c r="E37" s="2491"/>
      <c r="F37" s="2491"/>
      <c r="G37" s="2491"/>
      <c r="H37" s="2491"/>
      <c r="I37" s="2491"/>
      <c r="J37" s="2491"/>
      <c r="K37" s="2016"/>
      <c r="L37" s="2018"/>
      <c r="M37" s="838"/>
      <c r="N37" s="1998"/>
    </row>
    <row r="38" spans="1:14" x14ac:dyDescent="0.2">
      <c r="A38" s="1997"/>
      <c r="B38" s="838"/>
      <c r="C38" s="2491"/>
      <c r="D38" s="2491"/>
      <c r="E38" s="2491"/>
      <c r="F38" s="2491"/>
      <c r="G38" s="2491"/>
      <c r="H38" s="2491"/>
      <c r="I38" s="2491"/>
      <c r="J38" s="249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92" t="s">
        <v>2026</v>
      </c>
      <c r="D40" s="2493"/>
      <c r="E40" s="2493"/>
      <c r="F40" s="2493"/>
      <c r="G40" s="2493"/>
      <c r="H40" s="2493"/>
      <c r="I40" s="2493"/>
      <c r="J40" s="249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94" t="s">
        <v>2027</v>
      </c>
      <c r="B43" s="2495"/>
      <c r="C43" s="2495"/>
      <c r="D43" s="2495"/>
      <c r="E43" s="2495"/>
      <c r="F43" s="2495"/>
      <c r="G43" s="2495"/>
      <c r="H43" s="2495"/>
      <c r="I43" s="2495"/>
      <c r="J43" s="2495"/>
      <c r="K43" s="2495"/>
      <c r="L43" s="2495"/>
      <c r="M43" s="2495"/>
      <c r="N43" s="249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97" t="s">
        <v>2029</v>
      </c>
      <c r="B46" s="2498"/>
      <c r="C46" s="2498"/>
      <c r="D46" s="2498"/>
      <c r="E46" s="2498"/>
      <c r="F46" s="2498"/>
      <c r="G46" s="2498"/>
      <c r="H46" s="2498"/>
      <c r="I46" s="2498"/>
      <c r="J46" s="2498"/>
      <c r="K46" s="2498"/>
      <c r="L46" s="2498"/>
      <c r="M46" s="2498"/>
      <c r="N46" s="2499"/>
    </row>
    <row r="47" spans="1:14" x14ac:dyDescent="0.2">
      <c r="A47" s="2497"/>
      <c r="B47" s="2498"/>
      <c r="C47" s="2498"/>
      <c r="D47" s="2498"/>
      <c r="E47" s="2498"/>
      <c r="F47" s="2498"/>
      <c r="G47" s="2498"/>
      <c r="H47" s="2498"/>
      <c r="I47" s="2498"/>
      <c r="J47" s="2498"/>
      <c r="K47" s="2498"/>
      <c r="L47" s="2498"/>
      <c r="M47" s="2498"/>
      <c r="N47" s="249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70" t="str">
        <f>J6</f>
        <v xml:space="preserve">Woodford County Spec Educ Assn </v>
      </c>
      <c r="M52" s="2470"/>
      <c r="N52" s="2500"/>
    </row>
    <row r="53" spans="1:14" x14ac:dyDescent="0.2">
      <c r="A53" s="1982"/>
      <c r="B53" s="1983"/>
      <c r="C53" s="1983"/>
      <c r="D53" s="1983"/>
      <c r="E53" s="1983"/>
      <c r="F53" s="1983"/>
      <c r="G53" s="1983"/>
      <c r="H53" s="1983"/>
      <c r="I53" s="1983"/>
      <c r="J53" s="1983"/>
      <c r="K53" s="1924" t="s">
        <v>369</v>
      </c>
      <c r="L53" s="2475">
        <f>J7</f>
        <v>53102801060</v>
      </c>
      <c r="M53" s="2475"/>
      <c r="N53" s="250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02"/>
      <c r="B55" s="2503"/>
      <c r="C55" s="2503"/>
      <c r="D55" s="1970"/>
      <c r="E55" s="1970"/>
      <c r="F55" s="1970"/>
      <c r="G55" s="2504" t="s">
        <v>2030</v>
      </c>
      <c r="H55" s="2504"/>
      <c r="I55" s="2504"/>
      <c r="J55" s="2504"/>
      <c r="K55" s="2504"/>
      <c r="L55" s="2504"/>
      <c r="M55" s="2504"/>
      <c r="N55" s="2505"/>
    </row>
    <row r="56" spans="1:14" ht="63.75" x14ac:dyDescent="0.2">
      <c r="A56" s="2506" t="s">
        <v>2031</v>
      </c>
      <c r="B56" s="2507"/>
      <c r="C56" s="250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09" t="s">
        <v>296</v>
      </c>
      <c r="B57" s="2510"/>
      <c r="C57" s="251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88" t="s">
        <v>2041</v>
      </c>
      <c r="B58" s="2489"/>
      <c r="C58" s="248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511" t="s">
        <v>297</v>
      </c>
      <c r="B59" s="2512"/>
      <c r="C59" s="251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11" t="s">
        <v>236</v>
      </c>
      <c r="B60" s="2512"/>
      <c r="C60" s="251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511" t="s">
        <v>697</v>
      </c>
      <c r="B61" s="2512"/>
      <c r="C61" s="2512"/>
      <c r="D61" s="1967">
        <v>2365</v>
      </c>
      <c r="E61" s="1977">
        <f>'Expenditures 15-22'!K323</f>
        <v>0</v>
      </c>
      <c r="F61" s="1972"/>
      <c r="G61" s="2031"/>
      <c r="H61" s="2032"/>
      <c r="I61" s="2032"/>
      <c r="J61" s="2032"/>
      <c r="K61" s="2032"/>
      <c r="L61" s="2032"/>
      <c r="M61" s="2032"/>
      <c r="N61" s="1975">
        <f t="shared" si="4"/>
        <v>0</v>
      </c>
    </row>
    <row r="62" spans="1:14" ht="24" customHeight="1" x14ac:dyDescent="0.2">
      <c r="A62" s="2511" t="s">
        <v>237</v>
      </c>
      <c r="B62" s="2512"/>
      <c r="C62" s="2512"/>
      <c r="D62" s="1967">
        <v>2366</v>
      </c>
      <c r="E62" s="1977">
        <f>'Expenditures 15-22'!K324</f>
        <v>0</v>
      </c>
      <c r="F62" s="1972"/>
      <c r="G62" s="2031"/>
      <c r="H62" s="2032"/>
      <c r="I62" s="2032"/>
      <c r="J62" s="2032"/>
      <c r="K62" s="2032"/>
      <c r="L62" s="2032"/>
      <c r="M62" s="2032"/>
      <c r="N62" s="1975">
        <f t="shared" si="4"/>
        <v>0</v>
      </c>
    </row>
    <row r="63" spans="1:14" ht="24" customHeight="1" x14ac:dyDescent="0.2">
      <c r="A63" s="2488" t="s">
        <v>1022</v>
      </c>
      <c r="B63" s="2489"/>
      <c r="C63" s="2489"/>
      <c r="D63" s="1967">
        <v>2367</v>
      </c>
      <c r="E63" s="1977">
        <f>'Expenditures 15-22'!K325</f>
        <v>0</v>
      </c>
      <c r="F63" s="1972"/>
      <c r="G63" s="2031"/>
      <c r="H63" s="2032"/>
      <c r="I63" s="2032"/>
      <c r="J63" s="2032"/>
      <c r="K63" s="2032"/>
      <c r="L63" s="2032"/>
      <c r="M63" s="2032"/>
      <c r="N63" s="1975">
        <f t="shared" si="4"/>
        <v>0</v>
      </c>
    </row>
    <row r="64" spans="1:14" ht="24" customHeight="1" x14ac:dyDescent="0.2">
      <c r="A64" s="2511" t="s">
        <v>1023</v>
      </c>
      <c r="B64" s="2512"/>
      <c r="C64" s="2512"/>
      <c r="D64" s="1967">
        <v>2368</v>
      </c>
      <c r="E64" s="1977">
        <f>'Expenditures 15-22'!K326</f>
        <v>0</v>
      </c>
      <c r="F64" s="1972"/>
      <c r="G64" s="2031"/>
      <c r="H64" s="2032"/>
      <c r="I64" s="2032"/>
      <c r="J64" s="2032"/>
      <c r="K64" s="2032"/>
      <c r="L64" s="2032"/>
      <c r="M64" s="2032"/>
      <c r="N64" s="1975">
        <f t="shared" si="4"/>
        <v>0</v>
      </c>
    </row>
    <row r="65" spans="1:14" ht="24" customHeight="1" x14ac:dyDescent="0.2">
      <c r="A65" s="2511" t="s">
        <v>965</v>
      </c>
      <c r="B65" s="2512"/>
      <c r="C65" s="2512"/>
      <c r="D65" s="1967">
        <v>2369</v>
      </c>
      <c r="E65" s="1977">
        <f>'Expenditures 15-22'!K327</f>
        <v>0</v>
      </c>
      <c r="F65" s="1972"/>
      <c r="G65" s="2031"/>
      <c r="H65" s="2032"/>
      <c r="I65" s="2032"/>
      <c r="J65" s="2032"/>
      <c r="K65" s="2032"/>
      <c r="L65" s="2032"/>
      <c r="M65" s="2032"/>
      <c r="N65" s="1975">
        <f t="shared" si="4"/>
        <v>0</v>
      </c>
    </row>
    <row r="66" spans="1:14" ht="24" customHeight="1" x14ac:dyDescent="0.2">
      <c r="A66" s="2511" t="s">
        <v>469</v>
      </c>
      <c r="B66" s="2512"/>
      <c r="C66" s="2512"/>
      <c r="D66" s="1967">
        <v>2371</v>
      </c>
      <c r="E66" s="1977">
        <f>'Expenditures 15-22'!K328</f>
        <v>0</v>
      </c>
      <c r="F66" s="1972"/>
      <c r="G66" s="2031"/>
      <c r="H66" s="2032"/>
      <c r="I66" s="2032"/>
      <c r="J66" s="2032"/>
      <c r="K66" s="2032"/>
      <c r="L66" s="2032"/>
      <c r="M66" s="2032"/>
      <c r="N66" s="1975">
        <f t="shared" si="4"/>
        <v>0</v>
      </c>
    </row>
    <row r="67" spans="1:14" ht="24.75" customHeight="1" x14ac:dyDescent="0.2">
      <c r="A67" s="2513" t="s">
        <v>2042</v>
      </c>
      <c r="B67" s="2514"/>
      <c r="C67" s="2514"/>
      <c r="D67" s="1969">
        <v>2372</v>
      </c>
      <c r="E67" s="1978">
        <f>'Expenditures 15-22'!K329</f>
        <v>0</v>
      </c>
      <c r="F67" s="1972"/>
      <c r="G67" s="2033"/>
      <c r="H67" s="2034"/>
      <c r="I67" s="2034"/>
      <c r="J67" s="2034"/>
      <c r="K67" s="2034"/>
      <c r="L67" s="2034"/>
      <c r="M67" s="2034"/>
      <c r="N67" s="1975">
        <f t="shared" si="4"/>
        <v>0</v>
      </c>
    </row>
    <row r="68" spans="1:14" x14ac:dyDescent="0.2">
      <c r="A68" s="2515" t="s">
        <v>1151</v>
      </c>
      <c r="B68" s="2516"/>
      <c r="C68" s="251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2100</v>
      </c>
    </row>
    <row r="6" spans="1:2" x14ac:dyDescent="0.2">
      <c r="A6" s="847"/>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Woodford County Spec Educ Assn </v>
      </c>
    </row>
    <row r="65" spans="2:2" x14ac:dyDescent="0.2">
      <c r="B65" s="849">
        <f>COVER!A13</f>
        <v>53102801060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3" t="s">
        <v>1056</v>
      </c>
      <c r="B35" s="2203"/>
      <c r="C35" s="2203"/>
      <c r="D35" s="2203"/>
      <c r="E35" s="220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0" t="s">
        <v>686</v>
      </c>
      <c r="B40" s="2200"/>
      <c r="C40" s="2200"/>
      <c r="D40" s="2200"/>
      <c r="E40" s="2200"/>
    </row>
    <row r="41" spans="1:5" x14ac:dyDescent="0.2">
      <c r="A41" s="2201" t="s">
        <v>1591</v>
      </c>
      <c r="B41" s="2201"/>
      <c r="C41" s="2201"/>
      <c r="D41" s="2201"/>
      <c r="E41" s="2201"/>
    </row>
    <row r="42" spans="1:5" ht="12.75" customHeight="1" x14ac:dyDescent="0.2">
      <c r="A42" s="2202" t="s">
        <v>1015</v>
      </c>
      <c r="B42" s="2202"/>
      <c r="C42" s="2202"/>
      <c r="D42" s="2202"/>
      <c r="E42" s="220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7" t="s">
        <v>1665</v>
      </c>
      <c r="B18" s="251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8" t="s">
        <v>1669</v>
      </c>
      <c r="B1" s="2519"/>
      <c r="C1" s="2519"/>
      <c r="D1" s="2519"/>
      <c r="E1" s="2519"/>
      <c r="F1" s="2520"/>
    </row>
    <row r="2" spans="1:8" ht="45" customHeight="1" x14ac:dyDescent="0.2">
      <c r="A2" s="25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9"/>
      <c r="C2" s="2529"/>
      <c r="D2" s="2529"/>
      <c r="E2" s="2529"/>
      <c r="F2" s="2530"/>
      <c r="G2" s="853"/>
      <c r="H2" s="853"/>
    </row>
    <row r="3" spans="1:8" ht="57" customHeight="1" x14ac:dyDescent="0.2">
      <c r="A3" s="2531" t="s">
        <v>1972</v>
      </c>
      <c r="B3" s="2532"/>
      <c r="C3" s="2532"/>
      <c r="D3" s="2532"/>
      <c r="E3" s="2532"/>
      <c r="F3" s="2533"/>
      <c r="G3" s="853"/>
      <c r="H3" s="853"/>
    </row>
    <row r="4" spans="1:8" ht="14.25" customHeight="1" x14ac:dyDescent="0.2">
      <c r="A4" s="25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8"/>
      <c r="C4" s="2538"/>
      <c r="D4" s="2538"/>
      <c r="E4" s="2538"/>
      <c r="F4" s="2539"/>
      <c r="G4" s="853"/>
      <c r="H4" s="853"/>
    </row>
    <row r="5" spans="1:8" ht="14.25" customHeight="1" x14ac:dyDescent="0.2">
      <c r="A5" s="25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1"/>
      <c r="C5" s="2541"/>
      <c r="D5" s="2541"/>
      <c r="E5" s="2541"/>
      <c r="F5" s="2542"/>
      <c r="G5" s="853"/>
      <c r="H5" s="853"/>
    </row>
    <row r="6" spans="1:8" s="854" customFormat="1" ht="41.25" customHeight="1" x14ac:dyDescent="0.2">
      <c r="A6" s="2534" t="s">
        <v>1670</v>
      </c>
      <c r="B6" s="2535"/>
      <c r="C6" s="2535"/>
      <c r="D6" s="2535"/>
      <c r="E6" s="2535"/>
      <c r="F6" s="253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6818255</v>
      </c>
      <c r="C8" s="1813">
        <f>'Acct Summary 7-8'!D8</f>
        <v>0</v>
      </c>
      <c r="D8" s="1813">
        <f>'Acct Summary 7-8'!F8</f>
        <v>0</v>
      </c>
      <c r="E8" s="1813">
        <f>'Acct Summary 7-8'!I8</f>
        <v>0</v>
      </c>
      <c r="F8" s="1813">
        <f>SUM(B8:E8)</f>
        <v>6818255</v>
      </c>
    </row>
    <row r="9" spans="1:8" s="858" customFormat="1" ht="14.25" customHeight="1" thickBot="1" x14ac:dyDescent="0.25">
      <c r="A9" s="857" t="s">
        <v>1353</v>
      </c>
      <c r="B9" s="1814">
        <f>'Acct Summary 7-8'!C17</f>
        <v>6547492</v>
      </c>
      <c r="C9" s="1814">
        <f>'Acct Summary 7-8'!D17</f>
        <v>0</v>
      </c>
      <c r="D9" s="1814">
        <f>'Acct Summary 7-8'!F17</f>
        <v>0</v>
      </c>
      <c r="E9" s="1813"/>
      <c r="F9" s="1813">
        <f>SUM(B9:E9)</f>
        <v>6547492</v>
      </c>
    </row>
    <row r="10" spans="1:8" s="858" customFormat="1" ht="14.25" thickTop="1" thickBot="1" x14ac:dyDescent="0.25">
      <c r="A10" s="859" t="s">
        <v>1354</v>
      </c>
      <c r="B10" s="1815">
        <f>(B8-B9)</f>
        <v>270763</v>
      </c>
      <c r="C10" s="1815">
        <f>(C8-C9)</f>
        <v>0</v>
      </c>
      <c r="D10" s="1815">
        <f>(D8-D9)</f>
        <v>0</v>
      </c>
      <c r="E10" s="1814">
        <f>(E8-E9)</f>
        <v>0</v>
      </c>
      <c r="F10" s="1816">
        <f>SUM(F8-F9)</f>
        <v>270763</v>
      </c>
    </row>
    <row r="11" spans="1:8" s="858" customFormat="1" ht="14.25" thickTop="1" thickBot="1" x14ac:dyDescent="0.25">
      <c r="A11" s="860" t="s">
        <v>1903</v>
      </c>
      <c r="B11" s="1817">
        <f>'Acct Summary 7-8'!C81</f>
        <v>1644702</v>
      </c>
      <c r="C11" s="1817">
        <f>'Acct Summary 7-8'!D81</f>
        <v>0</v>
      </c>
      <c r="D11" s="1817">
        <f>'Acct Summary 7-8'!F81</f>
        <v>0</v>
      </c>
      <c r="E11" s="1817">
        <f>'Acct Summary 7-8'!I81</f>
        <v>0</v>
      </c>
      <c r="F11" s="1818">
        <f>SUM(B11:E11)</f>
        <v>1644702</v>
      </c>
    </row>
    <row r="12" spans="1:8" ht="16.5" customHeight="1" thickTop="1" x14ac:dyDescent="0.2">
      <c r="A12" s="861"/>
      <c r="B12" s="862"/>
      <c r="C12" s="2522" t="str">
        <f>IF(AND(F10&lt;0,F11&gt;=0,ABS(F10*3)&gt;ABS(F11)),A16,IF(AND(F10&lt;0,F11&gt;0,ABS(F10*3)&lt;=ABS(F11)),A17,IF(AND(F10&lt;0,F11&lt;0),A16,IF(F11=0,A19,A18))))</f>
        <v>Balanced - no deficit reduction plan is required.</v>
      </c>
      <c r="D12" s="2523"/>
      <c r="E12" s="2523"/>
      <c r="F12" s="2524"/>
    </row>
    <row r="13" spans="1:8" ht="19.5" customHeight="1" x14ac:dyDescent="0.2">
      <c r="A13" s="863"/>
      <c r="B13" s="864"/>
      <c r="C13" s="2522"/>
      <c r="D13" s="2523"/>
      <c r="E13" s="2523"/>
      <c r="F13" s="2524"/>
      <c r="H13" s="853"/>
    </row>
    <row r="14" spans="1:8" ht="19.5" customHeight="1" x14ac:dyDescent="0.2">
      <c r="A14" s="863"/>
      <c r="B14" s="864"/>
      <c r="C14" s="2522"/>
      <c r="D14" s="2523"/>
      <c r="E14" s="2523"/>
      <c r="F14" s="2524"/>
      <c r="H14" s="853"/>
    </row>
    <row r="15" spans="1:8" ht="17.25" customHeight="1" x14ac:dyDescent="0.2">
      <c r="A15" s="863"/>
      <c r="B15" s="864"/>
      <c r="C15" s="2525"/>
      <c r="D15" s="2526"/>
      <c r="E15" s="2526"/>
      <c r="F15" s="2527"/>
      <c r="H15" s="853"/>
    </row>
    <row r="16" spans="1:8" s="288" customFormat="1" ht="51.75" hidden="1" customHeight="1" x14ac:dyDescent="0.2">
      <c r="A16" s="2521" t="s">
        <v>1666</v>
      </c>
      <c r="B16" s="2521"/>
      <c r="C16" s="2521"/>
      <c r="D16" s="2521"/>
      <c r="E16" s="252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3" t="s">
        <v>660</v>
      </c>
      <c r="B3" s="2544"/>
      <c r="C3" s="2544"/>
      <c r="D3" s="254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4" t="s">
        <v>1487</v>
      </c>
      <c r="D7" s="255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6" t="s">
        <v>1001</v>
      </c>
      <c r="B15" s="2547"/>
      <c r="C15" s="2547"/>
      <c r="D15" s="2548"/>
    </row>
    <row r="16" spans="1:4" s="542" customFormat="1" ht="24" customHeight="1" x14ac:dyDescent="0.2">
      <c r="A16" s="2549" t="s">
        <v>658</v>
      </c>
      <c r="B16" s="2550"/>
      <c r="C16" s="2550"/>
      <c r="D16" s="255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8" t="s">
        <v>311</v>
      </c>
      <c r="D21" s="2559"/>
    </row>
    <row r="22" spans="1:10" ht="12.75" x14ac:dyDescent="0.2">
      <c r="A22" s="918"/>
      <c r="B22" s="919">
        <v>2</v>
      </c>
      <c r="C22" s="2556" t="s">
        <v>1507</v>
      </c>
      <c r="D22" s="255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60" t="s">
        <v>533</v>
      </c>
      <c r="D43" s="256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52" t="s">
        <v>779</v>
      </c>
      <c r="D56" s="255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52" t="s">
        <v>1674</v>
      </c>
      <c r="D70" s="255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53102801060</v>
      </c>
      <c r="E2" s="1542">
        <v>2020</v>
      </c>
      <c r="F2" s="1542">
        <v>1</v>
      </c>
      <c r="G2" s="1899">
        <v>101000300</v>
      </c>
    </row>
    <row r="3" spans="1:7" ht="15" x14ac:dyDescent="0.25">
      <c r="A3" t="s">
        <v>950</v>
      </c>
      <c r="B3" s="135" t="str">
        <f>COVER!A15</f>
        <v>Woodford</v>
      </c>
      <c r="E3" s="1830" t="s">
        <v>1971</v>
      </c>
      <c r="F3" s="1830" t="s">
        <v>1970</v>
      </c>
      <c r="G3" s="1899">
        <v>101000400</v>
      </c>
    </row>
    <row r="4" spans="1:7" ht="15" x14ac:dyDescent="0.25">
      <c r="A4" t="s">
        <v>1000</v>
      </c>
      <c r="B4" s="135" t="str">
        <f>COVER!A17</f>
        <v xml:space="preserve">Woodford County Spec Educ Assn </v>
      </c>
      <c r="E4" s="1828">
        <v>44119</v>
      </c>
      <c r="F4" s="1829">
        <v>44151</v>
      </c>
      <c r="G4" s="1899">
        <v>101000600</v>
      </c>
    </row>
    <row r="5" spans="1:7" ht="15" x14ac:dyDescent="0.25">
      <c r="A5" t="s">
        <v>699</v>
      </c>
      <c r="B5" s="135" t="str">
        <f>COVER!A38</f>
        <v>Eric Scroggs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1644702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1631026</v>
      </c>
      <c r="D92" s="2" t="str">
        <f t="shared" si="0"/>
        <v>Error?</v>
      </c>
      <c r="G92" s="1899">
        <v>102640600</v>
      </c>
    </row>
    <row r="93" spans="1:7" ht="15" x14ac:dyDescent="0.25">
      <c r="A93" s="5">
        <v>32</v>
      </c>
      <c r="B93" s="1832">
        <f>'Assets-Liab 5-6'!C41</f>
        <v>1644702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376836</v>
      </c>
      <c r="D274" s="2" t="str">
        <f t="shared" si="3"/>
        <v>Error?</v>
      </c>
    </row>
    <row r="275" spans="1:4" x14ac:dyDescent="0.2">
      <c r="A275" s="5">
        <v>214</v>
      </c>
      <c r="B275" s="1832">
        <f>'Assets-Liab 5-6'!M18</f>
        <v>112682</v>
      </c>
      <c r="D275" s="2" t="str">
        <f t="shared" si="3"/>
        <v>Error?</v>
      </c>
    </row>
    <row r="276" spans="1:4" x14ac:dyDescent="0.2">
      <c r="A276" s="5">
        <v>215</v>
      </c>
      <c r="B276" s="1832">
        <f>'Assets-Liab 5-6'!M19</f>
        <v>174196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663714</v>
      </c>
      <c r="C279" s="2" t="s">
        <v>569</v>
      </c>
      <c r="D279" s="2" t="str">
        <f t="shared" si="3"/>
        <v>Error?</v>
      </c>
    </row>
    <row r="280" spans="1:4" x14ac:dyDescent="0.2">
      <c r="A280" s="5">
        <v>219</v>
      </c>
      <c r="B280" s="1832">
        <f>'Assets-Liab 5-6'!M40</f>
        <v>663714</v>
      </c>
      <c r="D280" s="2" t="str">
        <f t="shared" si="3"/>
        <v>Error?</v>
      </c>
    </row>
    <row r="281" spans="1:4" x14ac:dyDescent="0.2">
      <c r="A281" s="5">
        <v>220</v>
      </c>
      <c r="B281" s="1832">
        <f>'Assets-Liab 5-6'!M41</f>
        <v>663714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226975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1532448</v>
      </c>
      <c r="C720" s="2" t="s">
        <v>569</v>
      </c>
      <c r="D720" s="2" t="str">
        <f t="shared" si="10"/>
        <v>Error?</v>
      </c>
    </row>
    <row r="721" spans="1:4" x14ac:dyDescent="0.2">
      <c r="A721" s="5">
        <v>660</v>
      </c>
      <c r="B721" s="1832">
        <f>'Expenditures 15-22'!C36</f>
        <v>634732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267492</v>
      </c>
      <c r="D723" s="2" t="str">
        <f t="shared" si="10"/>
        <v>Error?</v>
      </c>
    </row>
    <row r="724" spans="1:4" x14ac:dyDescent="0.2">
      <c r="A724" s="5">
        <v>663</v>
      </c>
      <c r="B724" s="1832">
        <f>'Expenditures 15-22'!C39</f>
        <v>487252</v>
      </c>
      <c r="D724" s="2" t="str">
        <f t="shared" si="10"/>
        <v>Error?</v>
      </c>
    </row>
    <row r="725" spans="1:4" x14ac:dyDescent="0.2">
      <c r="A725" s="5">
        <v>664</v>
      </c>
      <c r="B725" s="1832">
        <f>'Expenditures 15-22'!C40</f>
        <v>396712</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1786188</v>
      </c>
      <c r="C727" s="2" t="s">
        <v>569</v>
      </c>
      <c r="D727" s="2" t="str">
        <f t="shared" si="10"/>
        <v>Error?</v>
      </c>
    </row>
    <row r="728" spans="1:4" x14ac:dyDescent="0.2">
      <c r="A728" s="5">
        <v>667</v>
      </c>
      <c r="B728" s="1832">
        <f>'Expenditures 15-22'!C44</f>
        <v>100484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100484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699645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49661</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49661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2635978</v>
      </c>
      <c r="C755" s="2" t="s">
        <v>569</v>
      </c>
      <c r="D755" s="2" t="str">
        <f t="shared" si="10"/>
        <v>Error?</v>
      </c>
    </row>
    <row r="756" spans="1:4" x14ac:dyDescent="0.2">
      <c r="A756" s="5">
        <v>695</v>
      </c>
      <c r="B756" s="1832">
        <f>'Expenditures 15-22'!C75</f>
        <v>59105</v>
      </c>
      <c r="D756" s="2" t="str">
        <f t="shared" si="10"/>
        <v>Error?</v>
      </c>
    </row>
    <row r="757" spans="1:4" x14ac:dyDescent="0.2">
      <c r="A757" s="5">
        <v>696</v>
      </c>
      <c r="B757" s="1832">
        <f>'Expenditures 15-22'!C114</f>
        <v>4227531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24190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286741</v>
      </c>
      <c r="C778" s="2" t="s">
        <v>569</v>
      </c>
      <c r="D778" s="2" t="str">
        <f t="shared" si="11"/>
        <v>Error?</v>
      </c>
    </row>
    <row r="779" spans="1:4" x14ac:dyDescent="0.2">
      <c r="A779" s="5">
        <v>718</v>
      </c>
      <c r="B779" s="1832">
        <f>'Expenditures 15-22'!D36</f>
        <v>86086</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55851</v>
      </c>
      <c r="D781" s="2" t="str">
        <f t="shared" si="11"/>
        <v>Error?</v>
      </c>
    </row>
    <row r="782" spans="1:4" x14ac:dyDescent="0.2">
      <c r="A782" s="5">
        <v>721</v>
      </c>
      <c r="B782" s="1832">
        <f>'Expenditures 15-22'!D39</f>
        <v>35885</v>
      </c>
      <c r="D782" s="2" t="str">
        <f t="shared" si="11"/>
        <v>Error?</v>
      </c>
    </row>
    <row r="783" spans="1:4" x14ac:dyDescent="0.2">
      <c r="A783" s="5">
        <v>722</v>
      </c>
      <c r="B783" s="1832">
        <f>'Expenditures 15-22'!D40</f>
        <v>42650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220472</v>
      </c>
      <c r="C785" s="2" t="s">
        <v>569</v>
      </c>
      <c r="D785" s="2" t="str">
        <f t="shared" si="11"/>
        <v>Error?</v>
      </c>
    </row>
    <row r="786" spans="1:4" x14ac:dyDescent="0.2">
      <c r="A786" s="5">
        <v>725</v>
      </c>
      <c r="B786" s="1832">
        <f>'Expenditures 15-22'!D44</f>
        <v>14889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14889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222875</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14646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14646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472882</v>
      </c>
      <c r="C813" s="2" t="s">
        <v>569</v>
      </c>
      <c r="D813" s="2" t="str">
        <f t="shared" si="11"/>
        <v>Error?</v>
      </c>
    </row>
    <row r="814" spans="1:4" x14ac:dyDescent="0.2">
      <c r="A814" s="5">
        <v>753</v>
      </c>
      <c r="B814" s="1832">
        <f>'Expenditures 15-22'!D75</f>
        <v>13540</v>
      </c>
      <c r="D814" s="2" t="str">
        <f t="shared" si="11"/>
        <v>Error?</v>
      </c>
    </row>
    <row r="815" spans="1:4" x14ac:dyDescent="0.2">
      <c r="A815" s="5">
        <v>754</v>
      </c>
      <c r="B815" s="1832">
        <f>'Expenditures 15-22'!D114</f>
        <v>773163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1028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17167</v>
      </c>
      <c r="C836" s="2" t="s">
        <v>569</v>
      </c>
      <c r="D836" s="2" t="str">
        <f t="shared" si="12"/>
        <v>Error?</v>
      </c>
    </row>
    <row r="837" spans="1:4" x14ac:dyDescent="0.2">
      <c r="A837" s="5">
        <v>776</v>
      </c>
      <c r="B837" s="1832">
        <f>'Expenditures 15-22'!E36</f>
        <v>6889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74412</v>
      </c>
      <c r="D839" s="2" t="str">
        <f t="shared" si="12"/>
        <v>Error?</v>
      </c>
    </row>
    <row r="840" spans="1:4" x14ac:dyDescent="0.2">
      <c r="A840" s="5">
        <v>779</v>
      </c>
      <c r="B840" s="1832">
        <f>'Expenditures 15-22'!E39</f>
        <v>33526</v>
      </c>
      <c r="D840" s="2" t="str">
        <f t="shared" si="12"/>
        <v>Error?</v>
      </c>
    </row>
    <row r="841" spans="1:4" x14ac:dyDescent="0.2">
      <c r="A841" s="5">
        <v>780</v>
      </c>
      <c r="B841" s="1832">
        <f>'Expenditures 15-22'!E40</f>
        <v>5332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120159</v>
      </c>
      <c r="C843" s="2" t="s">
        <v>569</v>
      </c>
      <c r="D843" s="2" t="str">
        <f t="shared" si="12"/>
        <v>Error?</v>
      </c>
    </row>
    <row r="844" spans="1:4" x14ac:dyDescent="0.2">
      <c r="A844" s="5">
        <v>783</v>
      </c>
      <c r="B844" s="1832">
        <f>'Expenditures 15-22'!E44</f>
        <v>37028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37028</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154940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14079</v>
      </c>
      <c r="D855" s="2" t="str">
        <f t="shared" si="12"/>
        <v>Error?</v>
      </c>
    </row>
    <row r="856" spans="1:4" x14ac:dyDescent="0.2">
      <c r="A856" s="5">
        <v>795</v>
      </c>
      <c r="B856" s="1832">
        <f>'Expenditures 15-22'!E61</f>
        <v>73974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8278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96331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408458</v>
      </c>
      <c r="C871" s="2" t="s">
        <v>569</v>
      </c>
      <c r="D871" s="2" t="str">
        <f t="shared" si="12"/>
        <v>Error?</v>
      </c>
    </row>
    <row r="872" spans="1:4" x14ac:dyDescent="0.2">
      <c r="A872" s="5">
        <v>811</v>
      </c>
      <c r="B872" s="1832">
        <f>'Expenditures 15-22'!E75</f>
        <v>4883</v>
      </c>
      <c r="D872" s="2" t="str">
        <f t="shared" si="12"/>
        <v>Error?</v>
      </c>
    </row>
    <row r="873" spans="1:4" x14ac:dyDescent="0.2">
      <c r="A873" s="5">
        <v>812</v>
      </c>
      <c r="B873" s="1832">
        <f>'Expenditures 15-22'!E114</f>
        <v>430508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14142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57235</v>
      </c>
      <c r="C894" s="2" t="s">
        <v>569</v>
      </c>
      <c r="D894" s="2" t="str">
        <f t="shared" si="12"/>
        <v>Error?</v>
      </c>
    </row>
    <row r="895" spans="1:4" x14ac:dyDescent="0.2">
      <c r="A895" s="5">
        <v>834</v>
      </c>
      <c r="B895" s="1832">
        <f>'Expenditures 15-22'!F36</f>
        <v>2908</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2625</v>
      </c>
      <c r="D897" s="2" t="str">
        <f t="shared" si="13"/>
        <v>Error?</v>
      </c>
    </row>
    <row r="898" spans="1:4" x14ac:dyDescent="0.2">
      <c r="A898" s="5">
        <v>837</v>
      </c>
      <c r="B898" s="1832">
        <f>'Expenditures 15-22'!F39</f>
        <v>15695</v>
      </c>
      <c r="D898" s="2" t="str">
        <f t="shared" si="13"/>
        <v>Error?</v>
      </c>
    </row>
    <row r="899" spans="1:4" x14ac:dyDescent="0.2">
      <c r="A899" s="5">
        <v>838</v>
      </c>
      <c r="B899" s="1832">
        <f>'Expenditures 15-22'!F40</f>
        <v>1580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22808</v>
      </c>
      <c r="C901" s="2" t="s">
        <v>569</v>
      </c>
      <c r="D901" s="2" t="str">
        <f t="shared" si="13"/>
        <v>Error?</v>
      </c>
    </row>
    <row r="902" spans="1:4" x14ac:dyDescent="0.2">
      <c r="A902" s="5">
        <v>841</v>
      </c>
      <c r="B902" s="1832">
        <f>'Expenditures 15-22'!F44</f>
        <v>1476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1476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60806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47332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6226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53558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138648</v>
      </c>
      <c r="C929" s="2" t="s">
        <v>569</v>
      </c>
      <c r="D929" s="2" t="str">
        <f t="shared" si="13"/>
        <v>Error?</v>
      </c>
    </row>
    <row r="930" spans="1:4" x14ac:dyDescent="0.2">
      <c r="A930" s="5">
        <v>869</v>
      </c>
      <c r="B930" s="1832">
        <f>'Expenditures 15-22'!F75</f>
        <v>1027</v>
      </c>
      <c r="D930" s="2" t="str">
        <f t="shared" si="13"/>
        <v>Error?</v>
      </c>
    </row>
    <row r="931" spans="1:4" x14ac:dyDescent="0.2">
      <c r="A931" s="5">
        <v>870</v>
      </c>
      <c r="B931" s="1832">
        <f>'Expenditures 15-22'!F114</f>
        <v>196910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3249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3249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3917</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64829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64829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68746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71995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8382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8382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839003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847385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269584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1896840</v>
      </c>
      <c r="C1108" s="2" t="s">
        <v>569</v>
      </c>
      <c r="D1108" s="2" t="str">
        <f t="shared" si="16"/>
        <v>Error?</v>
      </c>
    </row>
    <row r="1109" spans="1:4" x14ac:dyDescent="0.2">
      <c r="A1109" s="5">
        <v>1048</v>
      </c>
      <c r="B1109" s="1832">
        <f>'Expenditures 15-22'!K36</f>
        <v>730615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400380</v>
      </c>
      <c r="C1111" s="2" t="s">
        <v>569</v>
      </c>
      <c r="D1111" s="2" t="str">
        <f t="shared" si="16"/>
        <v>Error?</v>
      </c>
    </row>
    <row r="1112" spans="1:4" x14ac:dyDescent="0.2">
      <c r="A1112" s="5">
        <v>1051</v>
      </c>
      <c r="B1112" s="1832">
        <f>'Expenditures 15-22'!K39</f>
        <v>572358</v>
      </c>
      <c r="C1112" s="2" t="s">
        <v>569</v>
      </c>
      <c r="D1112" s="2" t="str">
        <f t="shared" si="16"/>
        <v>Error?</v>
      </c>
    </row>
    <row r="1113" spans="1:4" x14ac:dyDescent="0.2">
      <c r="A1113" s="5">
        <v>1052</v>
      </c>
      <c r="B1113" s="1832">
        <f>'Expenditures 15-22'!K40</f>
        <v>446274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2149627</v>
      </c>
      <c r="C1115" s="2" t="s">
        <v>569</v>
      </c>
      <c r="D1115" s="2" t="str">
        <f t="shared" si="16"/>
        <v>Error?</v>
      </c>
    </row>
    <row r="1116" spans="1:4" x14ac:dyDescent="0.2">
      <c r="A1116" s="5">
        <v>1055</v>
      </c>
      <c r="B1116" s="1832">
        <f>'Expenditures 15-22'!K44</f>
        <v>153877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153877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1150565</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14079</v>
      </c>
      <c r="C1127" s="2" t="s">
        <v>569</v>
      </c>
      <c r="D1127" s="2" t="str">
        <f t="shared" si="16"/>
        <v>Error?</v>
      </c>
    </row>
    <row r="1128" spans="1:4" x14ac:dyDescent="0.2">
      <c r="A1128" s="5">
        <v>1067</v>
      </c>
      <c r="B1128" s="1832">
        <f>'Expenditures 15-22'!K61</f>
        <v>250442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14504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279025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3733094</v>
      </c>
      <c r="C1143" s="2" t="s">
        <v>569</v>
      </c>
      <c r="D1143" s="2" t="str">
        <f t="shared" si="16"/>
        <v>Error?</v>
      </c>
    </row>
    <row r="1144" spans="1:4" x14ac:dyDescent="0.2">
      <c r="A1144" s="5">
        <v>1083</v>
      </c>
      <c r="B1144" s="1832">
        <f>'Expenditures 15-22'!K75</f>
        <v>78555</v>
      </c>
      <c r="C1144" s="2" t="s">
        <v>569</v>
      </c>
      <c r="D1144" s="2" t="str">
        <f t="shared" si="16"/>
        <v>Error?</v>
      </c>
    </row>
    <row r="1145" spans="1:4" x14ac:dyDescent="0.2">
      <c r="A1145" s="5">
        <v>1084</v>
      </c>
      <c r="B1145" s="1832">
        <f>'Expenditures 15-22'!K102</f>
        <v>839003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6547492</v>
      </c>
      <c r="C1152" s="2" t="s">
        <v>569</v>
      </c>
      <c r="D1152" s="2" t="str">
        <f t="shared" si="17"/>
        <v>Error?</v>
      </c>
    </row>
    <row r="1153" spans="1:4" x14ac:dyDescent="0.2">
      <c r="A1153" s="5">
        <v>1092</v>
      </c>
      <c r="B1153" s="1832">
        <f>'Expenditures 15-22'!K115</f>
        <v>270763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1373939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1644702</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376836</v>
      </c>
      <c r="D2009" s="2" t="str">
        <f t="shared" si="30"/>
        <v>Error?</v>
      </c>
    </row>
    <row r="2010" spans="1:4" x14ac:dyDescent="0.2">
      <c r="A2010" s="5">
        <v>1949</v>
      </c>
      <c r="B2010" s="1832">
        <f>'Cap Outlay Deprec 26'!C10</f>
        <v>47853</v>
      </c>
      <c r="D2010" s="2" t="str">
        <f t="shared" si="30"/>
        <v>Error?</v>
      </c>
    </row>
    <row r="2011" spans="1:4" x14ac:dyDescent="0.2">
      <c r="A2011" s="5">
        <v>1950</v>
      </c>
      <c r="B2011" s="1832">
        <f>'Cap Outlay Deprec 26'!C12</f>
        <v>188731</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613420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64829</v>
      </c>
      <c r="D2016" s="2" t="str">
        <f t="shared" si="30"/>
        <v>Error?</v>
      </c>
    </row>
    <row r="2017" spans="1:4" x14ac:dyDescent="0.2">
      <c r="A2017" s="5">
        <v>1956</v>
      </c>
      <c r="B2017" s="1832">
        <f>'Cap Outlay Deprec 26'!D12</f>
        <v>7166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71995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21701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21701</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376836</v>
      </c>
      <c r="C2027" s="2" t="s">
        <v>569</v>
      </c>
      <c r="D2027" s="2" t="str">
        <f t="shared" si="30"/>
        <v>Error?</v>
      </c>
    </row>
    <row r="2028" spans="1:4" x14ac:dyDescent="0.2">
      <c r="A2028" s="5">
        <v>1967</v>
      </c>
      <c r="B2028" s="1832">
        <f>'Cap Outlay Deprec 26'!F10</f>
        <v>112682</v>
      </c>
      <c r="C2028" s="2" t="s">
        <v>569</v>
      </c>
      <c r="D2028" s="2" t="str">
        <f t="shared" si="30"/>
        <v>Error?</v>
      </c>
    </row>
    <row r="2029" spans="1:4" x14ac:dyDescent="0.2">
      <c r="A2029" s="5">
        <v>1968</v>
      </c>
      <c r="B2029" s="1832">
        <f>'Cap Outlay Deprec 26'!F12</f>
        <v>174196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663714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125280</v>
      </c>
      <c r="D2033" s="2" t="str">
        <f t="shared" si="30"/>
        <v>Error?</v>
      </c>
    </row>
    <row r="2034" spans="1:4" x14ac:dyDescent="0.2">
      <c r="A2034" s="5">
        <v>1973</v>
      </c>
      <c r="B2034" s="1832">
        <f>'Cap Outlay Deprec 26'!H10</f>
        <v>2393</v>
      </c>
      <c r="D2034" s="2" t="str">
        <f t="shared" si="30"/>
        <v>Error?</v>
      </c>
    </row>
    <row r="2035" spans="1:4" x14ac:dyDescent="0.2">
      <c r="A2035" s="5">
        <v>1974</v>
      </c>
      <c r="B2035" s="1832">
        <f>'Cap Outlay Deprec 26'!H12</f>
        <v>104563</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232236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7537</v>
      </c>
      <c r="D2039" s="2" t="str">
        <f t="shared" si="30"/>
        <v>Error?</v>
      </c>
    </row>
    <row r="2040" spans="1:4" x14ac:dyDescent="0.2">
      <c r="A2040" s="5">
        <v>1979</v>
      </c>
      <c r="B2040" s="1832">
        <f>'Cap Outlay Deprec 26'!I10</f>
        <v>5634</v>
      </c>
      <c r="D2040" s="2" t="str">
        <f t="shared" si="30"/>
        <v>Error?</v>
      </c>
    </row>
    <row r="2041" spans="1:4" x14ac:dyDescent="0.2">
      <c r="A2041" s="5">
        <v>1980</v>
      </c>
      <c r="B2041" s="1832">
        <f>'Cap Outlay Deprec 26'!I12</f>
        <v>17417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30588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21701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21701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132817</v>
      </c>
      <c r="C2051" s="2" t="s">
        <v>569</v>
      </c>
      <c r="D2051" s="2" t="str">
        <f t="shared" si="31"/>
        <v>Error?</v>
      </c>
    </row>
    <row r="2052" spans="1:4" x14ac:dyDescent="0.2">
      <c r="A2052" s="5">
        <v>1991</v>
      </c>
      <c r="B2052" s="1832">
        <f>'Cap Outlay Deprec 26'!K10</f>
        <v>8027</v>
      </c>
      <c r="C2052" s="2" t="s">
        <v>569</v>
      </c>
      <c r="D2052" s="2" t="str">
        <f t="shared" si="31"/>
        <v>Error?</v>
      </c>
    </row>
    <row r="2053" spans="1:4" x14ac:dyDescent="0.2">
      <c r="A2053" s="5">
        <v>1992</v>
      </c>
      <c r="B2053" s="1832">
        <f>'Cap Outlay Deprec 26'!K12</f>
        <v>100279</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241123</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244019</v>
      </c>
      <c r="C2057" s="2" t="s">
        <v>569</v>
      </c>
      <c r="D2057" s="2" t="str">
        <f t="shared" si="31"/>
        <v>Error?</v>
      </c>
    </row>
    <row r="2058" spans="1:4" x14ac:dyDescent="0.2">
      <c r="A2058" s="5">
        <v>1997</v>
      </c>
      <c r="B2058" s="1832">
        <f>'Cap Outlay Deprec 26'!L10</f>
        <v>104655</v>
      </c>
      <c r="C2058" s="2" t="s">
        <v>569</v>
      </c>
      <c r="D2058" s="2" t="str">
        <f t="shared" si="31"/>
        <v>Error?</v>
      </c>
    </row>
    <row r="2059" spans="1:4" x14ac:dyDescent="0.2">
      <c r="A2059" s="5">
        <v>1998</v>
      </c>
      <c r="B2059" s="1832">
        <f>'Cap Outlay Deprec 26'!L12</f>
        <v>73917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422591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13676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5584609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837027</v>
      </c>
      <c r="C2553" s="2" t="s">
        <v>569</v>
      </c>
      <c r="D2553" s="2" t="str">
        <f t="shared" si="38"/>
        <v>Error?</v>
      </c>
    </row>
    <row r="2554" spans="1:4" x14ac:dyDescent="0.2">
      <c r="A2554" s="5">
        <v>2493</v>
      </c>
      <c r="B2554" s="1832">
        <f>'Acct Summary 7-8'!C7</f>
        <v>355646</v>
      </c>
      <c r="C2554" s="2" t="s">
        <v>569</v>
      </c>
      <c r="D2554" s="2" t="str">
        <f t="shared" si="38"/>
        <v>Error?</v>
      </c>
    </row>
    <row r="2555" spans="1:4" x14ac:dyDescent="0.2">
      <c r="A2555" s="5">
        <v>2494</v>
      </c>
      <c r="B2555" s="1832">
        <f>'Acct Summary 7-8'!C8</f>
        <v>6818255</v>
      </c>
      <c r="C2555" s="2" t="s">
        <v>569</v>
      </c>
      <c r="D2555" s="2" t="str">
        <f t="shared" si="38"/>
        <v>Error?</v>
      </c>
    </row>
    <row r="2556" spans="1:4" x14ac:dyDescent="0.2">
      <c r="A2556" s="5">
        <v>2495</v>
      </c>
      <c r="B2556" s="1832">
        <f>'Acct Summary 7-8'!C12</f>
        <v>1896840</v>
      </c>
      <c r="C2556" s="2" t="s">
        <v>569</v>
      </c>
      <c r="D2556" s="2" t="str">
        <f t="shared" si="38"/>
        <v>Error?</v>
      </c>
    </row>
    <row r="2557" spans="1:4" x14ac:dyDescent="0.2">
      <c r="A2557" s="5">
        <v>2496</v>
      </c>
      <c r="B2557" s="1832">
        <f>'Acct Summary 7-8'!C13</f>
        <v>3733094</v>
      </c>
      <c r="C2557" s="2" t="s">
        <v>569</v>
      </c>
      <c r="D2557" s="2" t="str">
        <f t="shared" si="38"/>
        <v>Error?</v>
      </c>
    </row>
    <row r="2558" spans="1:4" x14ac:dyDescent="0.2">
      <c r="A2558" s="5">
        <v>2497</v>
      </c>
      <c r="B2558" s="1832">
        <f>'Acct Summary 7-8'!C14</f>
        <v>78555</v>
      </c>
      <c r="C2558" s="2" t="s">
        <v>569</v>
      </c>
      <c r="D2558" s="2" t="str">
        <f t="shared" si="38"/>
        <v>Error?</v>
      </c>
    </row>
    <row r="2559" spans="1:4" x14ac:dyDescent="0.2">
      <c r="A2559" s="5">
        <v>2498</v>
      </c>
      <c r="B2559" s="1832">
        <f>'Acct Summary 7-8'!C15</f>
        <v>839003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6547492</v>
      </c>
      <c r="C2561" s="2" t="s">
        <v>569</v>
      </c>
      <c r="D2561" s="2" t="str">
        <f t="shared" si="39"/>
        <v>Error?</v>
      </c>
    </row>
    <row r="2562" spans="1:4" x14ac:dyDescent="0.2">
      <c r="A2562" s="5">
        <v>2501</v>
      </c>
      <c r="B2562" s="1832">
        <f>'Acct Summary 7-8'!C20</f>
        <v>270763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699645</v>
      </c>
      <c r="D2718" s="2" t="str">
        <f t="shared" si="41"/>
        <v>Error?</v>
      </c>
    </row>
    <row r="2719" spans="1:4" x14ac:dyDescent="0.2">
      <c r="A2719" s="5">
        <v>2658</v>
      </c>
      <c r="B2719" s="1832">
        <f>'Expenditures 15-22'!D51</f>
        <v>222875</v>
      </c>
      <c r="D2719" s="2" t="str">
        <f t="shared" si="41"/>
        <v>Error?</v>
      </c>
    </row>
    <row r="2720" spans="1:4" x14ac:dyDescent="0.2">
      <c r="A2720" s="5">
        <v>2659</v>
      </c>
      <c r="B2720" s="1832">
        <f>'Expenditures 15-22'!E51</f>
        <v>154940</v>
      </c>
      <c r="D2720" s="2" t="str">
        <f t="shared" si="41"/>
        <v>Error?</v>
      </c>
    </row>
    <row r="2721" spans="1:4" x14ac:dyDescent="0.2">
      <c r="A2721" s="5">
        <v>2660</v>
      </c>
      <c r="B2721" s="1832">
        <f>'Expenditures 15-22'!F51</f>
        <v>60806</v>
      </c>
      <c r="D2721" s="2" t="str">
        <f t="shared" si="41"/>
        <v>Error?</v>
      </c>
    </row>
    <row r="2722" spans="1:4" x14ac:dyDescent="0.2">
      <c r="A2722" s="5">
        <v>2661</v>
      </c>
      <c r="B2722" s="1832">
        <f>'Expenditures 15-22'!G51</f>
        <v>3917</v>
      </c>
      <c r="D2722" s="2" t="str">
        <f t="shared" si="41"/>
        <v>Error?</v>
      </c>
    </row>
    <row r="2723" spans="1:4" x14ac:dyDescent="0.2">
      <c r="A2723" s="5">
        <v>2662</v>
      </c>
      <c r="B2723" s="1832">
        <f>'Expenditures 15-22'!H51</f>
        <v>8382</v>
      </c>
      <c r="D2723" s="2" t="str">
        <f t="shared" si="41"/>
        <v>Error?</v>
      </c>
    </row>
    <row r="2724" spans="1:4" x14ac:dyDescent="0.2">
      <c r="A2724" s="5">
        <v>2663</v>
      </c>
      <c r="B2724" s="1832">
        <f>'Expenditures 15-22'!K51</f>
        <v>1150565</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2130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2130</v>
      </c>
      <c r="D2914" s="2" t="str">
        <f t="shared" si="44"/>
        <v>Error?</v>
      </c>
    </row>
    <row r="2915" spans="1:4" x14ac:dyDescent="0.2">
      <c r="A2915" s="10">
        <v>2854</v>
      </c>
      <c r="B2915" s="1832"/>
      <c r="D2915" s="2" t="str">
        <f t="shared" si="44"/>
        <v>OK</v>
      </c>
    </row>
    <row r="2916" spans="1:4" x14ac:dyDescent="0.2">
      <c r="A2916" s="5">
        <v>2855</v>
      </c>
      <c r="B2916" s="1832">
        <f>'Assets-Liab 5-6'!L34</f>
        <v>2130</v>
      </c>
      <c r="C2916" s="2" t="s">
        <v>569</v>
      </c>
      <c r="D2916" s="2" t="str">
        <f t="shared" si="44"/>
        <v>Error?</v>
      </c>
    </row>
    <row r="2917" spans="1:4" x14ac:dyDescent="0.2">
      <c r="A2917" s="5">
        <v>2856</v>
      </c>
      <c r="B2917" s="1832">
        <f>'Assets-Liab 5-6'!L41</f>
        <v>2130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270763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1305473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262551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16139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43093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1627256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40973</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1644702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2130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2418421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9236676</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2418421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8965913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1644702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58368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194928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5508535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5508535</v>
      </c>
      <c r="C5087" s="2" t="s">
        <v>569</v>
      </c>
      <c r="D5087" s="2" t="str">
        <f t="shared" si="78"/>
        <v>Error?</v>
      </c>
    </row>
    <row r="5088" spans="1:4" x14ac:dyDescent="0.2">
      <c r="A5088" s="5">
        <v>5027</v>
      </c>
      <c r="B5088" s="1832">
        <f>'Revenues 9-14'!C65</f>
        <v>4679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4679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1546</v>
      </c>
      <c r="D5094" s="2" t="str">
        <f t="shared" si="78"/>
        <v>Error?</v>
      </c>
    </row>
    <row r="5095" spans="1:4" x14ac:dyDescent="0.2">
      <c r="A5095" s="5">
        <v>5034</v>
      </c>
      <c r="B5095" s="1832">
        <f>'Revenues 9-14'!C74</f>
        <v>2750</v>
      </c>
      <c r="D5095" s="2" t="str">
        <f t="shared" si="78"/>
        <v>Error?</v>
      </c>
    </row>
    <row r="5096" spans="1:4" x14ac:dyDescent="0.2">
      <c r="A5096" s="5">
        <v>5035</v>
      </c>
      <c r="B5096" s="1832">
        <f>'Revenues 9-14'!C75</f>
        <v>5983</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31463</v>
      </c>
      <c r="D5114" s="2" t="str">
        <f t="shared" si="78"/>
        <v>Error?</v>
      </c>
    </row>
    <row r="5115" spans="1:4" x14ac:dyDescent="0.2">
      <c r="A5115" s="5">
        <v>5054</v>
      </c>
      <c r="B5115" s="1832">
        <f>'Revenues 9-14'!C98</f>
        <v>2629</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1145</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65412</v>
      </c>
      <c r="C5120" s="2" t="s">
        <v>569</v>
      </c>
      <c r="D5120" s="2" t="str">
        <f t="shared" si="79"/>
        <v>Error?</v>
      </c>
    </row>
    <row r="5121" spans="1:4" x14ac:dyDescent="0.2">
      <c r="A5121" s="5">
        <v>5060</v>
      </c>
      <c r="B5121" s="1832">
        <f>'Revenues 9-14'!C109</f>
        <v>5584609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40973</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40973</v>
      </c>
      <c r="C5125" s="2" t="s">
        <v>569</v>
      </c>
      <c r="D5125" s="2" t="str">
        <f t="shared" si="79"/>
        <v>Error?</v>
      </c>
    </row>
    <row r="5126" spans="1:4" x14ac:dyDescent="0.2">
      <c r="A5126" s="5">
        <v>5065</v>
      </c>
      <c r="B5126" s="1832">
        <f>'Revenues 9-14'!C117</f>
        <v>497776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497776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339251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339251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837027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27085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75265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102350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355646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355646</v>
      </c>
      <c r="C5326" s="2" t="s">
        <v>569</v>
      </c>
      <c r="D5326" s="2" t="str">
        <f t="shared" si="82"/>
        <v>Error?</v>
      </c>
    </row>
    <row r="5327" spans="1:5" x14ac:dyDescent="0.2">
      <c r="A5327" s="5">
        <v>5266</v>
      </c>
      <c r="B5327" s="1832">
        <f>'Revenues 9-14'!C268</f>
        <v>6818255</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1687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270763</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0.16462739146666083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30175</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839003</v>
      </c>
      <c r="D6998" s="2" t="str">
        <f t="shared" si="108"/>
        <v>Error?</v>
      </c>
    </row>
    <row r="6999" spans="1:4" x14ac:dyDescent="0.2">
      <c r="A6999">
        <v>6938</v>
      </c>
      <c r="B6999" s="1832">
        <f>'Expenditures 15-22'!K94</f>
        <v>839003</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839003</v>
      </c>
      <c r="D7012" s="2" t="str">
        <f t="shared" si="108"/>
        <v>Error?</v>
      </c>
    </row>
    <row r="7013" spans="1:4" x14ac:dyDescent="0.2">
      <c r="A7013">
        <v>6952</v>
      </c>
      <c r="B7013" s="1832">
        <f>'Expenditures 15-22'!K100</f>
        <v>839003</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30588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-19966</v>
      </c>
      <c r="D7820" s="2" t="str">
        <f t="shared" si="128"/>
        <v>Error?</v>
      </c>
    </row>
    <row r="7821" spans="1:5" x14ac:dyDescent="0.2">
      <c r="A7821">
        <v>7760</v>
      </c>
      <c r="B7821" s="1832">
        <f>'ICR Computation 30'!G40</f>
        <v>-19966</v>
      </c>
      <c r="D7821" s="2" t="str">
        <f t="shared" si="128"/>
        <v>Error?</v>
      </c>
    </row>
    <row r="7822" spans="1:5" x14ac:dyDescent="0.2">
      <c r="A7822" s="1">
        <v>7761</v>
      </c>
      <c r="B7822" s="1832">
        <f>'PCTC-OEPP 27-28'!F14</f>
        <v>6547492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78555</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989553</v>
      </c>
      <c r="D7834" s="2" t="str">
        <f t="shared" si="129"/>
        <v>Error?</v>
      </c>
      <c r="E7834" s="4" t="s">
        <v>1998</v>
      </c>
    </row>
    <row r="7835" spans="1:5" x14ac:dyDescent="0.2">
      <c r="A7835">
        <v>7774</v>
      </c>
      <c r="B7835" s="1832">
        <f>'PCTC-OEPP 27-28'!F78</f>
        <v>5557939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2629</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75265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58368</v>
      </c>
      <c r="D7874" s="2" t="str">
        <f t="shared" si="129"/>
        <v>Error?</v>
      </c>
      <c r="E7874" s="4" t="s">
        <v>1998</v>
      </c>
    </row>
    <row r="7875" spans="1:5" x14ac:dyDescent="0.2">
      <c r="A7875">
        <v>7814</v>
      </c>
      <c r="B7875" s="1832">
        <f>'PCTC-OEPP 27-28'!F170</f>
        <v>194928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337173</v>
      </c>
      <c r="D7877" s="2" t="str">
        <f t="shared" si="129"/>
        <v>Error?</v>
      </c>
      <c r="E7877" s="4" t="s">
        <v>1998</v>
      </c>
    </row>
    <row r="7878" spans="1:5" x14ac:dyDescent="0.2">
      <c r="A7878">
        <v>7817</v>
      </c>
      <c r="B7878" s="1832">
        <f>'PCTC-OEPP 27-28'!F176</f>
        <v>5220766</v>
      </c>
      <c r="D7878" s="2" t="str">
        <f t="shared" si="129"/>
        <v>Error?</v>
      </c>
      <c r="E7878" s="4" t="s">
        <v>1998</v>
      </c>
    </row>
    <row r="7879" spans="1:5" x14ac:dyDescent="0.2">
      <c r="A7879">
        <v>7818</v>
      </c>
      <c r="B7879" s="1832">
        <f>'PCTC-OEPP 27-28'!F178</f>
        <v>5251354</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2" t="s">
        <v>1181</v>
      </c>
      <c r="B2" s="2562"/>
      <c r="C2" s="2562"/>
      <c r="D2" s="2562"/>
      <c r="E2" s="2562"/>
      <c r="F2" s="2562"/>
      <c r="G2" s="2562"/>
      <c r="H2" s="2562"/>
      <c r="I2" s="2562"/>
      <c r="J2" s="2562"/>
      <c r="K2" s="2562"/>
      <c r="L2" s="2562"/>
    </row>
    <row r="3" spans="1:29" ht="13.5" customHeight="1" x14ac:dyDescent="0.2">
      <c r="A3" s="2594" t="s">
        <v>1180</v>
      </c>
      <c r="B3" s="2594"/>
      <c r="C3" s="2594"/>
      <c r="D3" s="2594"/>
      <c r="E3" s="2594"/>
      <c r="F3" s="2594"/>
      <c r="G3" s="2594"/>
      <c r="H3" s="2594"/>
      <c r="I3" s="2594"/>
      <c r="J3" s="2594"/>
      <c r="K3" s="2594"/>
      <c r="L3" s="2594"/>
    </row>
    <row r="4" spans="1:29" ht="13.5" customHeight="1" x14ac:dyDescent="0.2">
      <c r="A4" s="2583" t="str">
        <f>"Year Ending June 30, "&amp;'AFR20'!E2</f>
        <v>Year Ending June 30, 2020</v>
      </c>
      <c r="B4" s="2584"/>
      <c r="C4" s="2584"/>
      <c r="D4" s="2584"/>
      <c r="E4" s="2584"/>
      <c r="F4" s="2584"/>
      <c r="G4" s="2584"/>
      <c r="H4" s="2584"/>
      <c r="I4" s="2584"/>
      <c r="J4" s="2584"/>
      <c r="K4" s="2584"/>
      <c r="L4" s="258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5" t="str">
        <f>COVER!A17</f>
        <v xml:space="preserve">Woodford County Spec Educ Assn </v>
      </c>
      <c r="B7" s="2586"/>
      <c r="C7" s="2586"/>
      <c r="D7" s="2587"/>
      <c r="E7" s="2588">
        <f>COVER!A13</f>
        <v>53102801060</v>
      </c>
      <c r="F7" s="2589"/>
      <c r="G7" s="2595" t="str">
        <f>COVER!T23</f>
        <v>066-005027</v>
      </c>
      <c r="H7" s="2596"/>
      <c r="I7" s="2596"/>
      <c r="J7" s="2596"/>
      <c r="K7" s="2596"/>
      <c r="L7" s="259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8"/>
      <c r="B9" s="2599"/>
      <c r="C9" s="2599"/>
      <c r="D9" s="2599"/>
      <c r="E9" s="2599"/>
      <c r="F9" s="2600"/>
      <c r="G9" s="2568" t="str">
        <f>COVER!T13</f>
        <v>Gorenz and Associates, Ltd.</v>
      </c>
      <c r="H9" s="2601"/>
      <c r="I9" s="2601"/>
      <c r="J9" s="2601"/>
      <c r="K9" s="2601"/>
      <c r="L9" s="2602"/>
    </row>
    <row r="10" spans="1:29" ht="13.5" customHeight="1" x14ac:dyDescent="0.2">
      <c r="A10" s="2574" t="str">
        <f>COVER!A38</f>
        <v>Eric Scroggs</v>
      </c>
      <c r="B10" s="2575"/>
      <c r="C10" s="2575"/>
      <c r="D10" s="2575"/>
      <c r="E10" s="2575"/>
      <c r="F10" s="2576"/>
      <c r="G10" s="2568" t="str">
        <f>COVER!T17</f>
        <v>4200 N Knoxville Ave.</v>
      </c>
      <c r="H10" s="2569"/>
      <c r="I10" s="2569"/>
      <c r="J10" s="2569"/>
      <c r="K10" s="2569"/>
      <c r="L10" s="2570"/>
    </row>
    <row r="11" spans="1:29" ht="13.5" customHeight="1" x14ac:dyDescent="0.2">
      <c r="A11" s="963" t="s">
        <v>1502</v>
      </c>
      <c r="B11" s="964"/>
      <c r="C11" s="965"/>
      <c r="D11" s="970"/>
      <c r="E11" s="965"/>
      <c r="F11" s="969"/>
      <c r="G11" s="2568" t="str">
        <f>COVER!T19</f>
        <v>Peoria</v>
      </c>
      <c r="H11" s="2569"/>
      <c r="I11" s="2569"/>
      <c r="J11" s="2569"/>
      <c r="K11" s="2569"/>
      <c r="L11" s="2570"/>
    </row>
    <row r="12" spans="1:29" ht="13.5" customHeight="1" x14ac:dyDescent="0.2">
      <c r="A12" s="2577" t="s">
        <v>1501</v>
      </c>
      <c r="B12" s="2578"/>
      <c r="C12" s="2578"/>
      <c r="D12" s="2578"/>
      <c r="E12" s="2578"/>
      <c r="F12" s="2579"/>
      <c r="G12" s="2571"/>
      <c r="H12" s="2572"/>
      <c r="I12" s="2572"/>
      <c r="J12" s="2572"/>
      <c r="K12" s="2572"/>
      <c r="L12" s="2573"/>
    </row>
    <row r="13" spans="1:29" ht="13.5" customHeight="1" x14ac:dyDescent="0.2">
      <c r="A13" s="2568"/>
      <c r="B13" s="2569"/>
      <c r="C13" s="2569"/>
      <c r="D13" s="2569"/>
      <c r="E13" s="2569"/>
      <c r="F13" s="2570"/>
      <c r="G13" s="2563" t="s">
        <v>1503</v>
      </c>
      <c r="H13" s="2564"/>
      <c r="I13" s="2580" t="str">
        <f>COVER!T25</f>
        <v>tcustis@gorenzcpa.com</v>
      </c>
      <c r="J13" s="2581"/>
      <c r="K13" s="2581"/>
      <c r="L13" s="2582"/>
    </row>
    <row r="14" spans="1:29" ht="13.5" customHeight="1" x14ac:dyDescent="0.2">
      <c r="A14" s="2568" t="str">
        <f>COVER!A19</f>
        <v>205 S. Engelwood Dr.</v>
      </c>
      <c r="B14" s="2569"/>
      <c r="C14" s="2569"/>
      <c r="D14" s="2569"/>
      <c r="E14" s="2569"/>
      <c r="F14" s="2570"/>
      <c r="G14" s="974" t="s">
        <v>1175</v>
      </c>
      <c r="H14" s="972"/>
      <c r="I14" s="972"/>
      <c r="J14" s="972"/>
      <c r="K14" s="972"/>
      <c r="L14" s="973"/>
    </row>
    <row r="15" spans="1:29" ht="13.5" customHeight="1" x14ac:dyDescent="0.2">
      <c r="A15" s="2568" t="str">
        <f>COVER!A21</f>
        <v>Metamora</v>
      </c>
      <c r="B15" s="2569"/>
      <c r="C15" s="2569"/>
      <c r="D15" s="2569"/>
      <c r="E15" s="2569"/>
      <c r="F15" s="2570"/>
      <c r="G15" s="2565" t="str">
        <f>COVER!T15</f>
        <v>Tim C. Custis, CPA</v>
      </c>
      <c r="H15" s="2566"/>
      <c r="I15" s="2566"/>
      <c r="J15" s="2566"/>
      <c r="K15" s="2566"/>
      <c r="L15" s="2567"/>
    </row>
    <row r="16" spans="1:29" ht="12.2" customHeight="1" x14ac:dyDescent="0.2">
      <c r="A16" s="2591">
        <f>COVER!A25</f>
        <v>61548</v>
      </c>
      <c r="B16" s="2592"/>
      <c r="C16" s="2592"/>
      <c r="D16" s="2592"/>
      <c r="E16" s="2592"/>
      <c r="F16" s="2593"/>
      <c r="G16" s="2603"/>
      <c r="H16" s="2604"/>
      <c r="I16" s="2604"/>
      <c r="J16" s="2604"/>
      <c r="K16" s="2604"/>
      <c r="L16" s="2605"/>
    </row>
    <row r="17" spans="1:13" ht="12.2" customHeight="1" x14ac:dyDescent="0.2">
      <c r="A17" s="2606"/>
      <c r="B17" s="2592"/>
      <c r="C17" s="2592"/>
      <c r="D17" s="2592"/>
      <c r="E17" s="2592"/>
      <c r="F17" s="2593"/>
      <c r="G17" s="974" t="s">
        <v>1174</v>
      </c>
      <c r="H17" s="972"/>
      <c r="I17" s="972"/>
      <c r="J17" s="972"/>
      <c r="K17" s="976" t="s">
        <v>1173</v>
      </c>
      <c r="L17" s="969"/>
      <c r="M17" s="962"/>
    </row>
    <row r="18" spans="1:13" ht="12.2" customHeight="1" x14ac:dyDescent="0.2">
      <c r="A18" s="2574"/>
      <c r="B18" s="2575"/>
      <c r="C18" s="2575"/>
      <c r="D18" s="2575"/>
      <c r="E18" s="2575"/>
      <c r="F18" s="2576"/>
      <c r="G18" s="2585" t="str">
        <f>COVER!T21</f>
        <v>309-685-7621</v>
      </c>
      <c r="H18" s="2586"/>
      <c r="I18" s="2586"/>
      <c r="J18" s="2586"/>
      <c r="K18" s="2585" t="str">
        <f>COVER!X21</f>
        <v>309-685-4758</v>
      </c>
      <c r="L18" s="259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7" t="str">
        <f>'Single Audit Cover'!A7</f>
        <v xml:space="preserve">Woodford County Spec Educ Assn </v>
      </c>
      <c r="B1" s="2608"/>
      <c r="C1" s="2608"/>
      <c r="D1" s="2608"/>
    </row>
    <row r="2" spans="1:11" s="991" customFormat="1" ht="12.75" x14ac:dyDescent="0.2">
      <c r="A2" s="2609">
        <f>'Single Audit Cover'!E7</f>
        <v>53102801060</v>
      </c>
      <c r="B2" s="2610"/>
      <c r="C2" s="2610"/>
      <c r="D2" s="2610"/>
    </row>
    <row r="3" spans="1:11" s="991" customFormat="1" ht="12.75" x14ac:dyDescent="0.2">
      <c r="A3" s="2607" t="s">
        <v>1496</v>
      </c>
      <c r="B3" s="2608"/>
      <c r="C3" s="2608"/>
      <c r="D3" s="260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12" t="str">
        <f>'Single Audit Cover'!A7</f>
        <v xml:space="preserve">Woodford County Spec Educ Assn </v>
      </c>
      <c r="B1" s="2612"/>
      <c r="C1" s="2612"/>
      <c r="D1" s="2612"/>
      <c r="E1" s="2612"/>
    </row>
    <row r="2" spans="1:5" x14ac:dyDescent="0.2">
      <c r="A2" s="2613">
        <f>'Single Audit Cover'!E7</f>
        <v>53102801060</v>
      </c>
      <c r="B2" s="2613"/>
      <c r="C2" s="2613"/>
      <c r="D2" s="2613"/>
      <c r="E2" s="2613"/>
    </row>
    <row r="3" spans="1:5" ht="4.5" customHeight="1" x14ac:dyDescent="0.2"/>
    <row r="4" spans="1:5" x14ac:dyDescent="0.2">
      <c r="A4" s="2612" t="s">
        <v>1234</v>
      </c>
      <c r="B4" s="2612"/>
      <c r="C4" s="2612"/>
      <c r="D4" s="2612"/>
      <c r="E4" s="2612"/>
    </row>
    <row r="5" spans="1:5" x14ac:dyDescent="0.2">
      <c r="A5" s="2615" t="str">
        <f>'Single Audit Cover'!A4</f>
        <v>Year Ending June 30, 2020</v>
      </c>
      <c r="B5" s="2615"/>
      <c r="C5" s="2615"/>
      <c r="D5" s="2615"/>
      <c r="E5" s="2615"/>
    </row>
    <row r="6" spans="1:5" x14ac:dyDescent="0.2">
      <c r="A6" s="2612" t="s">
        <v>1233</v>
      </c>
      <c r="B6" s="2612"/>
      <c r="C6" s="2612"/>
      <c r="D6" s="2612"/>
      <c r="E6" s="2612"/>
    </row>
    <row r="8" spans="1:5" x14ac:dyDescent="0.2">
      <c r="A8" s="1036" t="s">
        <v>1232</v>
      </c>
    </row>
    <row r="10" spans="1:5" x14ac:dyDescent="0.2">
      <c r="A10" s="1037" t="s">
        <v>1231</v>
      </c>
      <c r="B10" s="1038" t="s">
        <v>1230</v>
      </c>
      <c r="C10" s="1038"/>
      <c r="D10" s="1039">
        <f>SUM('Acct Summary 7-8'!C7:K7)</f>
        <v>355646</v>
      </c>
    </row>
    <row r="11" spans="1:5" ht="18" customHeight="1" x14ac:dyDescent="0.2">
      <c r="A11" s="1037" t="s">
        <v>1229</v>
      </c>
      <c r="B11" s="1038"/>
      <c r="C11" s="1038"/>
    </row>
    <row r="12" spans="1:5" x14ac:dyDescent="0.2">
      <c r="A12" s="1037" t="s">
        <v>1228</v>
      </c>
      <c r="B12" s="1038" t="s">
        <v>1227</v>
      </c>
      <c r="C12" s="1038"/>
      <c r="D12" s="1040">
        <f>SUM('Revenues 9-14'!C112:D112,'Revenues 9-14'!F112:G112)</f>
        <v>40973</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-194928</v>
      </c>
    </row>
    <row r="19" spans="1:4" ht="13.5" thickBot="1" x14ac:dyDescent="0.25">
      <c r="A19" s="1041" t="s">
        <v>1224</v>
      </c>
      <c r="D19" s="1042">
        <f>SUM(D10:D17)</f>
        <v>201691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4"/>
      <c r="B24" s="2614"/>
      <c r="D24" s="1044"/>
    </row>
    <row r="25" spans="1:4" x14ac:dyDescent="0.2">
      <c r="A25" s="2611"/>
      <c r="B25" s="2611"/>
      <c r="D25" s="1044"/>
    </row>
    <row r="26" spans="1:4" x14ac:dyDescent="0.2">
      <c r="A26" s="2611"/>
      <c r="B26" s="2611"/>
      <c r="D26" s="1044"/>
    </row>
    <row r="27" spans="1:4" x14ac:dyDescent="0.2">
      <c r="A27" s="2611"/>
      <c r="B27" s="2611"/>
      <c r="D27" s="1044"/>
    </row>
    <row r="28" spans="1:4" x14ac:dyDescent="0.2">
      <c r="A28" s="2611"/>
      <c r="B28" s="2611"/>
      <c r="D28" s="1044"/>
    </row>
    <row r="29" spans="1:4" x14ac:dyDescent="0.2">
      <c r="A29" s="2611"/>
      <c r="B29" s="2611"/>
      <c r="D29" s="1044"/>
    </row>
    <row r="30" spans="1:4" x14ac:dyDescent="0.2">
      <c r="A30" s="2611"/>
      <c r="B30" s="2611"/>
      <c r="D30" s="1044"/>
    </row>
    <row r="32" spans="1:4" x14ac:dyDescent="0.2">
      <c r="A32" s="1036" t="s">
        <v>1222</v>
      </c>
      <c r="D32" s="1039">
        <f>SUM(D19:D30)</f>
        <v>201691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11"/>
      <c r="B40" s="2611"/>
      <c r="D40" s="1044"/>
    </row>
    <row r="41" spans="1:4" x14ac:dyDescent="0.2">
      <c r="A41" s="2611"/>
      <c r="B41" s="2611"/>
      <c r="D41" s="1047"/>
    </row>
    <row r="42" spans="1:4" x14ac:dyDescent="0.2">
      <c r="A42" s="2611"/>
      <c r="B42" s="2611"/>
      <c r="D42" s="1047"/>
    </row>
    <row r="43" spans="1:4" x14ac:dyDescent="0.2">
      <c r="A43" s="2611"/>
      <c r="B43" s="2611"/>
      <c r="D43" s="1047"/>
    </row>
    <row r="44" spans="1:4" x14ac:dyDescent="0.2">
      <c r="A44" s="2611"/>
      <c r="B44" s="2611"/>
      <c r="D44" s="1047"/>
    </row>
    <row r="45" spans="1:4" x14ac:dyDescent="0.2">
      <c r="A45" s="2611"/>
      <c r="B45" s="2611"/>
      <c r="D45" s="1047"/>
    </row>
    <row r="47" spans="1:4" x14ac:dyDescent="0.2">
      <c r="B47" s="1048" t="s">
        <v>1216</v>
      </c>
      <c r="C47" s="1048"/>
      <c r="D47" s="1049">
        <f>SUM(D35:D45)</f>
        <v>0</v>
      </c>
    </row>
    <row r="49" spans="2:4" x14ac:dyDescent="0.2">
      <c r="B49" s="1048" t="s">
        <v>1215</v>
      </c>
      <c r="C49" s="1048"/>
      <c r="D49" s="1049">
        <f>D32-D47</f>
        <v>201691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4" t="str">
        <f>'Single Audit Cover'!A7</f>
        <v xml:space="preserve">Woodford County Spec Educ Assn </v>
      </c>
      <c r="C1" s="2616"/>
      <c r="D1" s="2616"/>
      <c r="E1" s="2616"/>
      <c r="F1" s="2616"/>
      <c r="G1" s="2616"/>
      <c r="H1" s="2616"/>
      <c r="I1" s="2616"/>
      <c r="J1" s="2616"/>
      <c r="K1" s="2616"/>
      <c r="L1" s="2616"/>
      <c r="M1" s="2616"/>
    </row>
    <row r="2" spans="2:14" ht="15" x14ac:dyDescent="0.2">
      <c r="B2" s="2617">
        <f>'Single Audit Cover'!E7</f>
        <v>53102801060</v>
      </c>
      <c r="C2" s="2617"/>
      <c r="D2" s="2617"/>
      <c r="E2" s="2617"/>
      <c r="F2" s="2617"/>
      <c r="G2" s="2617"/>
      <c r="H2" s="2617"/>
      <c r="I2" s="2617"/>
      <c r="J2" s="2617"/>
      <c r="K2" s="2617"/>
      <c r="L2" s="2617"/>
      <c r="M2" s="2617"/>
      <c r="N2" s="1078"/>
    </row>
    <row r="3" spans="2:14" ht="15" x14ac:dyDescent="0.2">
      <c r="B3" s="2618" t="s">
        <v>1208</v>
      </c>
      <c r="C3" s="2618"/>
      <c r="D3" s="2618"/>
      <c r="E3" s="2618"/>
      <c r="F3" s="2618"/>
      <c r="G3" s="2618"/>
      <c r="H3" s="2618"/>
      <c r="I3" s="2618"/>
      <c r="J3" s="2618"/>
      <c r="K3" s="2618"/>
      <c r="L3" s="2618"/>
      <c r="M3" s="2618"/>
      <c r="N3" s="1078"/>
    </row>
    <row r="4" spans="2:14" ht="15" x14ac:dyDescent="0.2">
      <c r="B4" s="2619" t="str">
        <f>'Single Audit Cover'!A4</f>
        <v>Year Ending June 30, 2020</v>
      </c>
      <c r="C4" s="2619"/>
      <c r="D4" s="2619"/>
      <c r="E4" s="2619"/>
      <c r="F4" s="2619"/>
      <c r="G4" s="2619"/>
      <c r="H4" s="2619"/>
      <c r="I4" s="2619"/>
      <c r="J4" s="2619"/>
      <c r="K4" s="2619"/>
      <c r="L4" s="2619"/>
      <c r="M4" s="261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9" t="str">
        <f>'Single Audit Cover'!A7</f>
        <v xml:space="preserve">Woodford County Spec Educ Assn </v>
      </c>
      <c r="B1" s="2629"/>
      <c r="C1" s="2629"/>
      <c r="D1" s="2629"/>
      <c r="E1" s="2629"/>
      <c r="F1" s="2629"/>
    </row>
    <row r="2" spans="1:7" ht="13.5" customHeight="1" x14ac:dyDescent="0.2">
      <c r="A2" s="2617">
        <f>'Single Audit Cover'!E7</f>
        <v>53102801060</v>
      </c>
      <c r="B2" s="2617"/>
      <c r="C2" s="2617"/>
      <c r="D2" s="2617"/>
      <c r="E2" s="2617"/>
      <c r="F2" s="2617"/>
      <c r="G2" s="1051"/>
    </row>
    <row r="3" spans="1:7" ht="15.75" customHeight="1" x14ac:dyDescent="0.2">
      <c r="A3" s="2630" t="s">
        <v>1260</v>
      </c>
      <c r="B3" s="2630"/>
      <c r="C3" s="2630"/>
      <c r="D3" s="2630"/>
      <c r="E3" s="2630"/>
      <c r="F3" s="2630"/>
    </row>
    <row r="4" spans="1:7" ht="13.5" customHeight="1" x14ac:dyDescent="0.2">
      <c r="A4" s="2631" t="str">
        <f>'Single Audit Cover'!A4</f>
        <v>Year Ending June 30, 2020</v>
      </c>
      <c r="B4" s="2631"/>
      <c r="C4" s="2631"/>
      <c r="D4" s="2631"/>
      <c r="E4" s="2631"/>
      <c r="F4" s="2631"/>
    </row>
    <row r="5" spans="1:7" ht="8.25" customHeight="1" x14ac:dyDescent="0.2">
      <c r="C5" s="295"/>
      <c r="D5" s="295"/>
    </row>
    <row r="6" spans="1:7" ht="13.5" customHeight="1" x14ac:dyDescent="0.2">
      <c r="A6" s="1052" t="s">
        <v>1705</v>
      </c>
      <c r="C6" s="295"/>
      <c r="D6" s="295"/>
    </row>
    <row r="7" spans="1:7" ht="60.95" customHeight="1" x14ac:dyDescent="0.2">
      <c r="A7" s="2628" t="s">
        <v>1706</v>
      </c>
      <c r="B7" s="2628"/>
      <c r="C7" s="2628"/>
      <c r="D7" s="2628"/>
      <c r="E7" s="2628"/>
      <c r="F7" s="262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8" t="s">
        <v>1708</v>
      </c>
      <c r="B13" s="2628"/>
      <c r="C13" s="2628"/>
      <c r="D13" s="2628"/>
      <c r="E13" s="2628"/>
      <c r="F13" s="2628"/>
    </row>
    <row r="14" spans="1:7" ht="9.75" customHeight="1" x14ac:dyDescent="0.2">
      <c r="C14" s="1036"/>
      <c r="D14" s="1036"/>
    </row>
    <row r="15" spans="1:7" ht="13.5" customHeight="1" x14ac:dyDescent="0.2">
      <c r="C15" s="1476" t="s">
        <v>1259</v>
      </c>
      <c r="D15" s="2626" t="s">
        <v>1258</v>
      </c>
      <c r="E15" s="2626"/>
      <c r="F15" s="2626"/>
    </row>
    <row r="16" spans="1:7" ht="13.5" customHeight="1" x14ac:dyDescent="0.2">
      <c r="A16" s="1058"/>
      <c r="B16" s="1052" t="s">
        <v>1257</v>
      </c>
      <c r="C16" s="1476" t="s">
        <v>1256</v>
      </c>
      <c r="D16" s="2627" t="s">
        <v>1571</v>
      </c>
      <c r="E16" s="2627"/>
      <c r="F16" s="2627"/>
    </row>
    <row r="17" spans="1:6" ht="20.45" customHeight="1" x14ac:dyDescent="0.2">
      <c r="A17" s="1059"/>
      <c r="B17" s="1060"/>
      <c r="C17" s="1061"/>
      <c r="D17" s="2621"/>
      <c r="E17" s="2621"/>
      <c r="F17" s="2621"/>
    </row>
    <row r="18" spans="1:6" ht="20.65" customHeight="1" x14ac:dyDescent="0.2">
      <c r="A18" s="1059"/>
      <c r="B18" s="1060"/>
      <c r="C18" s="1061"/>
      <c r="D18" s="2621"/>
      <c r="E18" s="2621"/>
      <c r="F18" s="2621"/>
    </row>
    <row r="19" spans="1:6" ht="20.65" customHeight="1" x14ac:dyDescent="0.2">
      <c r="A19" s="1059"/>
      <c r="B19" s="1060"/>
      <c r="C19" s="1061"/>
      <c r="D19" s="2621"/>
      <c r="E19" s="2621"/>
      <c r="F19" s="2621"/>
    </row>
    <row r="20" spans="1:6" ht="20.65" customHeight="1" x14ac:dyDescent="0.2">
      <c r="A20" s="1059"/>
      <c r="B20" s="1060"/>
      <c r="C20" s="1061"/>
      <c r="D20" s="2621"/>
      <c r="E20" s="2621"/>
      <c r="F20" s="2621"/>
    </row>
    <row r="21" spans="1:6" ht="20.65" customHeight="1" x14ac:dyDescent="0.2">
      <c r="A21" s="1059"/>
      <c r="B21" s="1060"/>
      <c r="C21" s="1061"/>
      <c r="D21" s="2621"/>
      <c r="E21" s="2621"/>
      <c r="F21" s="2621"/>
    </row>
    <row r="22" spans="1:6" ht="20.65" customHeight="1" x14ac:dyDescent="0.2">
      <c r="A22" s="1059"/>
      <c r="B22" s="1060"/>
      <c r="C22" s="1061"/>
      <c r="D22" s="2621"/>
      <c r="E22" s="2621"/>
      <c r="F22" s="2621"/>
    </row>
    <row r="23" spans="1:6" ht="20.65" customHeight="1" x14ac:dyDescent="0.2">
      <c r="A23" s="1059"/>
      <c r="B23" s="1060"/>
      <c r="C23" s="1061"/>
      <c r="D23" s="2621"/>
      <c r="E23" s="2621"/>
      <c r="F23" s="2621"/>
    </row>
    <row r="24" spans="1:6" ht="20.65" customHeight="1" x14ac:dyDescent="0.2">
      <c r="A24" s="1059"/>
      <c r="B24" s="1060"/>
      <c r="C24" s="1061"/>
      <c r="D24" s="2621"/>
      <c r="E24" s="2621"/>
      <c r="F24" s="2621"/>
    </row>
    <row r="25" spans="1:6" ht="20.65" customHeight="1" x14ac:dyDescent="0.2">
      <c r="A25" s="1059"/>
      <c r="B25" s="1060"/>
      <c r="C25" s="1061"/>
      <c r="D25" s="2621"/>
      <c r="E25" s="2621"/>
      <c r="F25" s="2621"/>
    </row>
    <row r="26" spans="1:6" ht="20.65" customHeight="1" x14ac:dyDescent="0.2">
      <c r="A26" s="1059"/>
      <c r="B26" s="1060"/>
      <c r="C26" s="1061"/>
      <c r="D26" s="2621"/>
      <c r="E26" s="2621"/>
      <c r="F26" s="2621"/>
    </row>
    <row r="27" spans="1:6" ht="20.65" customHeight="1" x14ac:dyDescent="0.2">
      <c r="A27" s="1059"/>
      <c r="B27" s="1060"/>
      <c r="C27" s="1061"/>
      <c r="D27" s="2621"/>
      <c r="E27" s="2621"/>
      <c r="F27" s="2621"/>
    </row>
    <row r="28" spans="1:6" ht="20.65" customHeight="1" x14ac:dyDescent="0.2">
      <c r="A28" s="1059"/>
      <c r="B28" s="1060"/>
      <c r="C28" s="1061"/>
      <c r="D28" s="2621"/>
      <c r="E28" s="2621"/>
      <c r="F28" s="2621"/>
    </row>
    <row r="29" spans="1:6" ht="20.65" customHeight="1" x14ac:dyDescent="0.2">
      <c r="A29" s="1059"/>
      <c r="B29" s="1060"/>
      <c r="C29" s="1061"/>
      <c r="D29" s="2621"/>
      <c r="E29" s="2621"/>
      <c r="F29" s="262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2" t="s">
        <v>1709</v>
      </c>
      <c r="B32" s="2622"/>
      <c r="C32" s="2622"/>
      <c r="D32" s="2622"/>
      <c r="E32" s="2622"/>
      <c r="F32" s="262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3">
        <f>+C33+C34</f>
        <v>0</v>
      </c>
      <c r="F34" s="262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5" t="s">
        <v>1573</v>
      </c>
      <c r="C49" s="2625"/>
      <c r="D49" s="2625"/>
      <c r="E49" s="1168"/>
    </row>
    <row r="50" spans="1:5" s="1076" customFormat="1" ht="3.75" customHeight="1" x14ac:dyDescent="0.2">
      <c r="A50" s="1075"/>
      <c r="B50" s="1475"/>
      <c r="C50" s="1475"/>
      <c r="D50" s="1475"/>
      <c r="E50" s="1168"/>
    </row>
    <row r="51" spans="1:5" s="1076" customFormat="1" ht="20.25" customHeight="1" x14ac:dyDescent="0.2">
      <c r="A51" s="1077">
        <v>6</v>
      </c>
      <c r="B51" s="2620" t="s">
        <v>1534</v>
      </c>
      <c r="C51" s="2620"/>
      <c r="D51" s="2620"/>
    </row>
    <row r="52" spans="1:5" ht="14.25" customHeight="1" x14ac:dyDescent="0.2">
      <c r="A52" s="1077"/>
      <c r="B52" s="2620"/>
      <c r="C52" s="2620"/>
      <c r="D52" s="262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4" t="s">
        <v>1158</v>
      </c>
      <c r="B2" s="2204"/>
      <c r="C2" s="2204"/>
      <c r="D2" s="2204"/>
      <c r="E2" s="2204"/>
      <c r="F2" s="2204"/>
      <c r="G2" s="2204"/>
      <c r="H2" s="2204"/>
      <c r="I2" s="2204"/>
      <c r="J2" s="220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8" t="s">
        <v>1616</v>
      </c>
      <c r="B35" s="2219"/>
      <c r="C35" s="2219"/>
      <c r="D35" s="2219"/>
      <c r="E35" s="2220"/>
      <c r="F35" s="2220"/>
      <c r="G35" s="2220"/>
      <c r="H35" s="2220"/>
      <c r="I35" s="222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8" t="s">
        <v>310</v>
      </c>
      <c r="B47" s="2221"/>
      <c r="C47" s="2221"/>
      <c r="D47" s="2221"/>
      <c r="E47" s="2222"/>
      <c r="F47" s="2222"/>
      <c r="G47" s="2222"/>
      <c r="H47" s="2222"/>
      <c r="I47" s="222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5"/>
      <c r="C57" s="2226"/>
      <c r="D57" s="2226"/>
      <c r="E57" s="2226"/>
      <c r="F57" s="2226"/>
      <c r="G57" s="2226"/>
      <c r="H57" s="2226"/>
      <c r="I57" s="2226"/>
      <c r="J57" s="2227"/>
    </row>
    <row r="58" spans="1:10" s="176" customFormat="1" x14ac:dyDescent="0.2">
      <c r="A58" s="248"/>
      <c r="B58" s="2228"/>
      <c r="C58" s="2229"/>
      <c r="D58" s="2229"/>
      <c r="E58" s="2229"/>
      <c r="F58" s="2229"/>
      <c r="G58" s="2229"/>
      <c r="H58" s="2229"/>
      <c r="I58" s="2229"/>
      <c r="J58" s="2230"/>
    </row>
    <row r="59" spans="1:10" s="176" customFormat="1" x14ac:dyDescent="0.2">
      <c r="A59" s="248"/>
      <c r="B59" s="2228"/>
      <c r="C59" s="2229"/>
      <c r="D59" s="2229"/>
      <c r="E59" s="2229"/>
      <c r="F59" s="2229"/>
      <c r="G59" s="2229"/>
      <c r="H59" s="2229"/>
      <c r="I59" s="2229"/>
      <c r="J59" s="2230"/>
    </row>
    <row r="60" spans="1:10" s="176" customFormat="1" x14ac:dyDescent="0.2">
      <c r="A60" s="248"/>
      <c r="B60" s="2228"/>
      <c r="C60" s="2229"/>
      <c r="D60" s="2229"/>
      <c r="E60" s="2229"/>
      <c r="F60" s="2229"/>
      <c r="G60" s="2229"/>
      <c r="H60" s="2229"/>
      <c r="I60" s="2229"/>
      <c r="J60" s="2230"/>
    </row>
    <row r="61" spans="1:10" s="176" customFormat="1" x14ac:dyDescent="0.2">
      <c r="A61" s="248"/>
      <c r="B61" s="2228"/>
      <c r="C61" s="2229"/>
      <c r="D61" s="2229"/>
      <c r="E61" s="2229"/>
      <c r="F61" s="2229"/>
      <c r="G61" s="2229"/>
      <c r="H61" s="2229"/>
      <c r="I61" s="2229"/>
      <c r="J61" s="2230"/>
    </row>
    <row r="62" spans="1:10" s="176" customFormat="1" x14ac:dyDescent="0.2">
      <c r="A62" s="248"/>
      <c r="B62" s="2228"/>
      <c r="C62" s="2229"/>
      <c r="D62" s="2229"/>
      <c r="E62" s="2229"/>
      <c r="F62" s="2229"/>
      <c r="G62" s="2229"/>
      <c r="H62" s="2229"/>
      <c r="I62" s="2229"/>
      <c r="J62" s="2230"/>
    </row>
    <row r="63" spans="1:10" s="176" customFormat="1" x14ac:dyDescent="0.2">
      <c r="A63" s="248"/>
      <c r="B63" s="2228"/>
      <c r="C63" s="2229"/>
      <c r="D63" s="2229"/>
      <c r="E63" s="2229"/>
      <c r="F63" s="2229"/>
      <c r="G63" s="2229"/>
      <c r="H63" s="2229"/>
      <c r="I63" s="2229"/>
      <c r="J63" s="2230"/>
    </row>
    <row r="64" spans="1:10" s="176" customFormat="1" x14ac:dyDescent="0.2">
      <c r="A64" s="248"/>
      <c r="B64" s="2228"/>
      <c r="C64" s="2229"/>
      <c r="D64" s="2229"/>
      <c r="E64" s="2229"/>
      <c r="F64" s="2229"/>
      <c r="G64" s="2229"/>
      <c r="H64" s="2229"/>
      <c r="I64" s="2229"/>
      <c r="J64" s="2230"/>
    </row>
    <row r="65" spans="1:11" s="176" customFormat="1" x14ac:dyDescent="0.2">
      <c r="A65" s="248"/>
      <c r="B65" s="2228"/>
      <c r="C65" s="2229"/>
      <c r="D65" s="2229"/>
      <c r="E65" s="2229"/>
      <c r="F65" s="2229"/>
      <c r="G65" s="2229"/>
      <c r="H65" s="2229"/>
      <c r="I65" s="2229"/>
      <c r="J65" s="2230"/>
    </row>
    <row r="66" spans="1:11" s="176" customFormat="1" x14ac:dyDescent="0.2">
      <c r="A66" s="248"/>
      <c r="B66" s="2228"/>
      <c r="C66" s="2229"/>
      <c r="D66" s="2229"/>
      <c r="E66" s="2229"/>
      <c r="F66" s="2229"/>
      <c r="G66" s="2229"/>
      <c r="H66" s="2229"/>
      <c r="I66" s="2229"/>
      <c r="J66" s="2230"/>
    </row>
    <row r="67" spans="1:11" s="176" customFormat="1" ht="9" customHeight="1" x14ac:dyDescent="0.2">
      <c r="A67" s="249"/>
      <c r="B67" s="2231"/>
      <c r="C67" s="2232"/>
      <c r="D67" s="2232"/>
      <c r="E67" s="2232"/>
      <c r="F67" s="2232"/>
      <c r="G67" s="2232"/>
      <c r="H67" s="2232"/>
      <c r="I67" s="2232"/>
      <c r="J67" s="223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8" t="s">
        <v>1312</v>
      </c>
      <c r="B70" s="2221"/>
      <c r="C70" s="2221"/>
      <c r="D70" s="2221"/>
      <c r="E70" s="2222"/>
      <c r="F70" s="2222"/>
      <c r="G70" s="2222"/>
      <c r="H70" s="2222"/>
      <c r="I70" s="222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3" t="s">
        <v>1309</v>
      </c>
      <c r="B83" s="2223"/>
      <c r="C83" s="2223"/>
      <c r="D83" s="222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4" t="s">
        <v>1989</v>
      </c>
      <c r="B85" s="2234"/>
      <c r="C85" s="2234"/>
      <c r="D85" s="223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6" t="s">
        <v>1989</v>
      </c>
      <c r="B88" s="2237"/>
      <c r="C88" s="2237"/>
      <c r="D88" s="223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5" t="s">
        <v>2097</v>
      </c>
      <c r="C102" s="2206"/>
      <c r="D102" s="2206"/>
      <c r="E102" s="2206"/>
      <c r="F102" s="2206"/>
      <c r="G102" s="2206"/>
      <c r="H102" s="2206"/>
      <c r="I102" s="2207"/>
    </row>
    <row r="103" spans="1:9" s="176" customFormat="1" ht="11.25" customHeight="1" x14ac:dyDescent="0.2">
      <c r="A103" s="294"/>
      <c r="B103" s="2208"/>
      <c r="C103" s="2209"/>
      <c r="D103" s="2209"/>
      <c r="E103" s="2209"/>
      <c r="F103" s="2209"/>
      <c r="G103" s="2209"/>
      <c r="H103" s="2209"/>
      <c r="I103" s="2210"/>
    </row>
    <row r="104" spans="1:9" s="176" customFormat="1" ht="11.25" customHeight="1" x14ac:dyDescent="0.2">
      <c r="A104" s="294"/>
      <c r="B104" s="2208"/>
      <c r="C104" s="2209"/>
      <c r="D104" s="2209"/>
      <c r="E104" s="2209"/>
      <c r="F104" s="2209"/>
      <c r="G104" s="2209"/>
      <c r="H104" s="2209"/>
      <c r="I104" s="2210"/>
    </row>
    <row r="105" spans="1:9" s="176" customFormat="1" x14ac:dyDescent="0.2">
      <c r="A105" s="294"/>
      <c r="B105" s="2208"/>
      <c r="C105" s="2209"/>
      <c r="D105" s="2209"/>
      <c r="E105" s="2209"/>
      <c r="F105" s="2209"/>
      <c r="G105" s="2209"/>
      <c r="H105" s="2209"/>
      <c r="I105" s="2210"/>
    </row>
    <row r="106" spans="1:9" s="176" customFormat="1" ht="11.25" customHeight="1" x14ac:dyDescent="0.2">
      <c r="A106" s="294"/>
      <c r="B106" s="2208"/>
      <c r="C106" s="2209"/>
      <c r="D106" s="2209"/>
      <c r="E106" s="2209"/>
      <c r="F106" s="2209"/>
      <c r="G106" s="2209"/>
      <c r="H106" s="2209"/>
      <c r="I106" s="2210"/>
    </row>
    <row r="107" spans="1:9" s="176" customFormat="1" ht="11.25" customHeight="1" x14ac:dyDescent="0.2">
      <c r="A107" s="294"/>
      <c r="B107" s="2208"/>
      <c r="C107" s="2209"/>
      <c r="D107" s="2209"/>
      <c r="E107" s="2209"/>
      <c r="F107" s="2209"/>
      <c r="G107" s="2209"/>
      <c r="H107" s="2209"/>
      <c r="I107" s="2210"/>
    </row>
    <row r="108" spans="1:9" s="176" customFormat="1" ht="11.25" customHeight="1" x14ac:dyDescent="0.2">
      <c r="A108" s="294"/>
      <c r="B108" s="2208"/>
      <c r="C108" s="2209"/>
      <c r="D108" s="2209"/>
      <c r="E108" s="2209"/>
      <c r="F108" s="2209"/>
      <c r="G108" s="2209"/>
      <c r="H108" s="2209"/>
      <c r="I108" s="2210"/>
    </row>
    <row r="109" spans="1:9" s="176" customFormat="1" ht="11.25" customHeight="1" x14ac:dyDescent="0.2">
      <c r="A109" s="294"/>
      <c r="B109" s="2208"/>
      <c r="C109" s="2209"/>
      <c r="D109" s="2209"/>
      <c r="E109" s="2209"/>
      <c r="F109" s="2209"/>
      <c r="G109" s="2209"/>
      <c r="H109" s="2209"/>
      <c r="I109" s="2210"/>
    </row>
    <row r="110" spans="1:9" s="176" customFormat="1" ht="11.25" customHeight="1" x14ac:dyDescent="0.2">
      <c r="A110" s="294"/>
      <c r="B110" s="2208"/>
      <c r="C110" s="2209"/>
      <c r="D110" s="2209"/>
      <c r="E110" s="2209"/>
      <c r="F110" s="2209"/>
      <c r="G110" s="2209"/>
      <c r="H110" s="2209"/>
      <c r="I110" s="2210"/>
    </row>
    <row r="111" spans="1:9" s="176" customFormat="1" ht="11.25" customHeight="1" x14ac:dyDescent="0.2">
      <c r="A111" s="294"/>
      <c r="B111" s="2208"/>
      <c r="C111" s="2209"/>
      <c r="D111" s="2209"/>
      <c r="E111" s="2209"/>
      <c r="F111" s="2209"/>
      <c r="G111" s="2209"/>
      <c r="H111" s="2209"/>
      <c r="I111" s="2210"/>
    </row>
    <row r="112" spans="1:9" s="176" customFormat="1" ht="11.25" customHeight="1" x14ac:dyDescent="0.2">
      <c r="A112" s="294"/>
      <c r="B112" s="2211"/>
      <c r="C112" s="2212"/>
      <c r="D112" s="2212"/>
      <c r="E112" s="2212"/>
      <c r="F112" s="2212"/>
      <c r="G112" s="2212"/>
      <c r="H112" s="2212"/>
      <c r="I112" s="221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4" t="s">
        <v>2052</v>
      </c>
      <c r="D114" s="221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5" t="s">
        <v>1319</v>
      </c>
      <c r="D117" s="2216"/>
      <c r="E117" s="2217"/>
      <c r="F117" s="2217"/>
      <c r="G117" s="2217"/>
      <c r="H117" s="2217"/>
      <c r="I117" s="282"/>
    </row>
    <row r="118" spans="1:9" s="176" customFormat="1" ht="24" customHeight="1" x14ac:dyDescent="0.2">
      <c r="A118" s="294"/>
      <c r="B118" s="294"/>
      <c r="C118" s="294"/>
      <c r="D118" s="301" t="s">
        <v>2101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3" t="str">
        <f>'Single Audit Cover'!A7</f>
        <v xml:space="preserve">Woodford County Spec Educ Assn </v>
      </c>
      <c r="C1" s="2644"/>
      <c r="D1" s="2644"/>
      <c r="E1" s="2644"/>
      <c r="F1" s="2644"/>
      <c r="G1" s="2644"/>
      <c r="H1" s="2644"/>
      <c r="I1" s="2644"/>
      <c r="J1" s="1178"/>
    </row>
    <row r="2" spans="2:10" s="295" customFormat="1" ht="12.75" customHeight="1" x14ac:dyDescent="0.2">
      <c r="B2" s="2645">
        <f>'Single Audit Cover'!E7</f>
        <v>53102801060</v>
      </c>
      <c r="C2" s="2646"/>
      <c r="D2" s="2646"/>
      <c r="E2" s="2646"/>
      <c r="F2" s="2646"/>
      <c r="G2" s="2646"/>
      <c r="H2" s="2646"/>
      <c r="I2" s="2646"/>
      <c r="J2" s="1178"/>
    </row>
    <row r="3" spans="2:10" s="295" customFormat="1" ht="12.75" customHeight="1" x14ac:dyDescent="0.2">
      <c r="B3" s="2647" t="s">
        <v>1274</v>
      </c>
      <c r="C3" s="2648"/>
      <c r="D3" s="2648"/>
      <c r="E3" s="2648"/>
      <c r="F3" s="2648"/>
      <c r="G3" s="2648"/>
      <c r="H3" s="2648"/>
      <c r="I3" s="2648"/>
      <c r="J3" s="1179"/>
    </row>
    <row r="4" spans="2:10" s="295" customFormat="1" ht="12.75" customHeight="1" x14ac:dyDescent="0.2">
      <c r="B4" s="2647" t="str">
        <f>'Single Audit Cover'!A4</f>
        <v>Year Ending June 30, 2020</v>
      </c>
      <c r="C4" s="2648"/>
      <c r="D4" s="2648"/>
      <c r="E4" s="2648"/>
      <c r="F4" s="2648"/>
      <c r="G4" s="2648"/>
      <c r="H4" s="2648"/>
      <c r="I4" s="264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7" t="s">
        <v>1273</v>
      </c>
      <c r="C7" s="2648"/>
      <c r="D7" s="2648"/>
      <c r="E7" s="2648"/>
      <c r="F7" s="2648"/>
      <c r="G7" s="2648"/>
      <c r="H7" s="2648"/>
      <c r="I7" s="264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9"/>
      <c r="D11" s="264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50"/>
      <c r="E29" s="2650"/>
      <c r="F29" s="2650"/>
      <c r="G29" s="2650"/>
      <c r="H29" s="2650"/>
      <c r="I29" s="265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51" t="s">
        <v>1728</v>
      </c>
      <c r="D37" s="2652"/>
      <c r="E37" s="2652"/>
      <c r="F37" s="2653"/>
      <c r="G37" s="2651" t="s">
        <v>1575</v>
      </c>
      <c r="H37" s="2652"/>
      <c r="I37" s="2653"/>
    </row>
    <row r="38" spans="2:9" ht="16.5" customHeight="1" x14ac:dyDescent="0.2">
      <c r="B38" s="1200"/>
      <c r="C38" s="2639"/>
      <c r="D38" s="2640"/>
      <c r="E38" s="2640"/>
      <c r="F38" s="2641"/>
      <c r="G38" s="2654"/>
      <c r="H38" s="2655"/>
      <c r="I38" s="2656"/>
    </row>
    <row r="39" spans="2:9" ht="16.5" customHeight="1" x14ac:dyDescent="0.2">
      <c r="B39" s="1200"/>
      <c r="C39" s="2639"/>
      <c r="D39" s="2640"/>
      <c r="E39" s="2640"/>
      <c r="F39" s="2641"/>
      <c r="G39" s="2642"/>
      <c r="H39" s="2642"/>
      <c r="I39" s="2642"/>
    </row>
    <row r="40" spans="2:9" ht="16.5" customHeight="1" x14ac:dyDescent="0.2">
      <c r="B40" s="1200"/>
      <c r="C40" s="2639"/>
      <c r="D40" s="2640"/>
      <c r="E40" s="2640"/>
      <c r="F40" s="2641"/>
      <c r="G40" s="2642"/>
      <c r="H40" s="2642"/>
      <c r="I40" s="2642"/>
    </row>
    <row r="41" spans="2:9" ht="16.5" customHeight="1" x14ac:dyDescent="0.2">
      <c r="B41" s="1200"/>
      <c r="C41" s="2639"/>
      <c r="D41" s="2640"/>
      <c r="E41" s="2640"/>
      <c r="F41" s="2641"/>
      <c r="G41" s="2642"/>
      <c r="H41" s="2642"/>
      <c r="I41" s="2642"/>
    </row>
    <row r="42" spans="2:9" ht="16.5" customHeight="1" x14ac:dyDescent="0.2">
      <c r="B42" s="1200"/>
      <c r="C42" s="2639"/>
      <c r="D42" s="2640"/>
      <c r="E42" s="2640"/>
      <c r="F42" s="2641"/>
      <c r="G42" s="2642"/>
      <c r="H42" s="2642"/>
      <c r="I42" s="2642"/>
    </row>
    <row r="43" spans="2:9" ht="16.5" customHeight="1" x14ac:dyDescent="0.2">
      <c r="B43" s="1200"/>
      <c r="C43" s="2632" t="s">
        <v>1576</v>
      </c>
      <c r="D43" s="2633"/>
      <c r="E43" s="2633"/>
      <c r="F43" s="2634"/>
      <c r="G43" s="2635">
        <f>SUM(G38:I42)</f>
        <v>0</v>
      </c>
      <c r="H43" s="2635"/>
      <c r="I43" s="2635"/>
    </row>
    <row r="44" spans="2:9" ht="12.75" customHeight="1" x14ac:dyDescent="0.2"/>
    <row r="45" spans="2:9" ht="12.75" customHeight="1" x14ac:dyDescent="0.2">
      <c r="B45" s="1917" t="str">
        <f>"Total Federal Expenditures for 7/1/"&amp;MID('AFR20'!E2,3,2)-1&amp;"-6/30/"&amp;MID('AFR20'!E2,3,2)</f>
        <v>Total Federal Expenditures for 7/1/19-6/30/20</v>
      </c>
      <c r="C45" s="1918"/>
      <c r="D45" s="2636">
        <v>0</v>
      </c>
      <c r="E45" s="263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8"/>
      <c r="F49" s="2638"/>
      <c r="G49" s="263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43D5-9D6C-4510-A58E-2DAEF9264790}">
  <dimension ref="A1:M40"/>
  <sheetViews>
    <sheetView showGridLines="0" zoomScale="110" zoomScaleNormal="110" workbookViewId="0"/>
  </sheetViews>
  <sheetFormatPr defaultColWidth="9.140625" defaultRowHeight="12" x14ac:dyDescent="0.2"/>
  <cols>
    <col min="1" max="1" width="1.5703125" style="991" customWidth="1"/>
    <col min="2" max="2" width="21.42578125" style="991" customWidth="1"/>
    <col min="3" max="3" width="6.140625" style="991" customWidth="1"/>
    <col min="4" max="4" width="4.42578125" style="991" customWidth="1"/>
    <col min="5" max="5" width="3.5703125" style="991" customWidth="1"/>
    <col min="6" max="6" width="20.140625" style="991" customWidth="1"/>
    <col min="7" max="7" width="3.5703125" style="2040" customWidth="1"/>
    <col min="8" max="8" width="10.5703125" style="991" customWidth="1"/>
    <col min="9" max="9" width="3.42578125" style="2040" customWidth="1"/>
    <col min="10" max="10" width="15.42578125" style="991" customWidth="1"/>
    <col min="11" max="11" width="8.5703125" style="991" customWidth="1"/>
    <col min="12" max="12" width="1.42578125" style="991" customWidth="1"/>
    <col min="13" max="13" width="3.42578125" style="991" customWidth="1"/>
    <col min="14" max="16384" width="9.140625" style="991"/>
  </cols>
  <sheetData>
    <row r="1" spans="2:13" ht="11.1" customHeight="1" x14ac:dyDescent="0.2">
      <c r="B1" s="2658" t="str">
        <f>COVER!$A$17</f>
        <v xml:space="preserve">Woodford County Spec Educ Assn </v>
      </c>
      <c r="C1" s="2658"/>
      <c r="D1" s="2658"/>
      <c r="E1" s="2658"/>
      <c r="F1" s="2658"/>
      <c r="G1" s="2658"/>
      <c r="H1" s="2658"/>
      <c r="I1" s="2658"/>
      <c r="J1" s="2658"/>
      <c r="K1" s="2658"/>
      <c r="L1" s="2036"/>
      <c r="M1" s="2036"/>
    </row>
    <row r="2" spans="2:13" ht="12" customHeight="1" x14ac:dyDescent="0.2">
      <c r="B2" s="2659">
        <f>COVER!$A$13</f>
        <v>53102801060</v>
      </c>
      <c r="C2" s="2659"/>
      <c r="D2" s="2659"/>
      <c r="E2" s="2659"/>
      <c r="F2" s="2659"/>
      <c r="G2" s="2659"/>
      <c r="H2" s="2659"/>
      <c r="I2" s="2659"/>
      <c r="J2" s="2659"/>
      <c r="K2" s="2659"/>
      <c r="L2" s="2037"/>
      <c r="M2" s="2038"/>
    </row>
    <row r="3" spans="2:13" ht="10.35" customHeight="1" x14ac:dyDescent="0.2">
      <c r="B3" s="2660" t="s">
        <v>1274</v>
      </c>
      <c r="C3" s="2660"/>
      <c r="D3" s="2660"/>
      <c r="E3" s="2660"/>
      <c r="F3" s="2660"/>
      <c r="G3" s="2660"/>
      <c r="H3" s="2660"/>
      <c r="I3" s="2660"/>
      <c r="J3" s="2660"/>
      <c r="K3" s="2660"/>
      <c r="L3" s="2035"/>
      <c r="M3" s="2035"/>
    </row>
    <row r="4" spans="2:13" ht="14.25" customHeight="1" x14ac:dyDescent="0.2">
      <c r="B4" s="2660" t="s">
        <v>2064</v>
      </c>
      <c r="C4" s="2660"/>
      <c r="D4" s="2660"/>
      <c r="E4" s="2660"/>
      <c r="F4" s="2660"/>
      <c r="G4" s="2660"/>
      <c r="H4" s="2660"/>
      <c r="I4" s="2660"/>
      <c r="J4" s="2660"/>
      <c r="K4" s="2660"/>
      <c r="L4" s="2035"/>
      <c r="M4" s="2035"/>
    </row>
    <row r="5" spans="2:13" ht="7.5" customHeight="1" x14ac:dyDescent="0.2">
      <c r="B5" s="2039" t="s">
        <v>1159</v>
      </c>
      <c r="C5" s="2039"/>
    </row>
    <row r="6" spans="2:13" ht="7.5" customHeight="1" x14ac:dyDescent="0.2">
      <c r="B6" s="2041"/>
      <c r="C6" s="2041"/>
      <c r="D6" s="2042"/>
      <c r="E6" s="2042"/>
      <c r="F6" s="2042"/>
      <c r="G6" s="2043"/>
      <c r="H6" s="2042"/>
      <c r="I6" s="2043"/>
      <c r="J6" s="2042"/>
      <c r="K6" s="2042"/>
    </row>
    <row r="7" spans="2:13" ht="12.75" customHeight="1" x14ac:dyDescent="0.2">
      <c r="B7" s="2660" t="s">
        <v>1285</v>
      </c>
      <c r="C7" s="2660"/>
      <c r="D7" s="2648"/>
      <c r="E7" s="2648"/>
      <c r="F7" s="2648"/>
      <c r="G7" s="2648"/>
      <c r="H7" s="2648"/>
      <c r="I7" s="2648"/>
      <c r="J7" s="2648"/>
      <c r="K7" s="2648"/>
      <c r="L7" s="2044"/>
    </row>
    <row r="8" spans="2:13" ht="7.5" customHeight="1" x14ac:dyDescent="0.2"/>
    <row r="9" spans="2:13" ht="9.6" customHeight="1" x14ac:dyDescent="0.2">
      <c r="B9" s="2042"/>
      <c r="C9" s="2042"/>
      <c r="D9" s="2042"/>
      <c r="E9" s="2042"/>
      <c r="F9" s="2042"/>
      <c r="G9" s="2043"/>
      <c r="H9" s="2042"/>
      <c r="I9" s="2043"/>
      <c r="J9" s="2042"/>
      <c r="K9" s="2042"/>
    </row>
    <row r="10" spans="2:13" ht="16.5" customHeight="1" x14ac:dyDescent="0.2">
      <c r="B10" s="995" t="s">
        <v>1719</v>
      </c>
      <c r="C10" s="2045" t="s">
        <v>2065</v>
      </c>
      <c r="D10" s="2046">
        <v>1</v>
      </c>
      <c r="F10" s="995" t="s">
        <v>1284</v>
      </c>
      <c r="G10" s="2047" t="s">
        <v>2051</v>
      </c>
      <c r="H10" s="2048" t="s">
        <v>1283</v>
      </c>
      <c r="I10" s="2047"/>
      <c r="J10" s="2049" t="s">
        <v>1282</v>
      </c>
    </row>
    <row r="11" spans="2:13" ht="13.5" customHeight="1" x14ac:dyDescent="0.2">
      <c r="I11" s="2050" t="s">
        <v>1281</v>
      </c>
      <c r="K11" s="2051"/>
    </row>
    <row r="12" spans="2:13" ht="13.5" customHeight="1" x14ac:dyDescent="0.2">
      <c r="B12" s="2039"/>
      <c r="C12" s="2039"/>
    </row>
    <row r="13" spans="2:13" ht="13.5" customHeight="1" x14ac:dyDescent="0.2">
      <c r="B13" s="2052" t="s">
        <v>1280</v>
      </c>
      <c r="C13" s="2053"/>
      <c r="D13" s="2042"/>
      <c r="E13" s="2042"/>
      <c r="F13" s="2042"/>
      <c r="G13" s="2043"/>
      <c r="H13" s="2042"/>
      <c r="I13" s="2043"/>
      <c r="J13" s="2042"/>
      <c r="K13" s="2042"/>
    </row>
    <row r="14" spans="2:13" ht="33.75" customHeight="1" x14ac:dyDescent="0.2">
      <c r="B14" s="2657" t="s">
        <v>2063</v>
      </c>
      <c r="C14" s="2657"/>
      <c r="D14" s="2657"/>
      <c r="E14" s="2657"/>
      <c r="F14" s="2657"/>
      <c r="G14" s="2657"/>
      <c r="H14" s="2657"/>
      <c r="I14" s="2657"/>
      <c r="J14" s="2657"/>
      <c r="K14" s="2657"/>
    </row>
    <row r="15" spans="2:13" ht="4.5" customHeight="1" x14ac:dyDescent="0.2">
      <c r="B15" s="2054"/>
      <c r="C15" s="2054"/>
    </row>
    <row r="16" spans="2:13" ht="13.5" customHeight="1" x14ac:dyDescent="0.2">
      <c r="B16" s="2052" t="s">
        <v>1279</v>
      </c>
      <c r="C16" s="2053"/>
      <c r="D16" s="2042"/>
      <c r="E16" s="2042"/>
      <c r="F16" s="2042"/>
      <c r="G16" s="2043"/>
      <c r="H16" s="2042"/>
      <c r="I16" s="2043"/>
      <c r="J16" s="2042"/>
      <c r="K16" s="2042"/>
    </row>
    <row r="17" spans="2:11" ht="53.25" customHeight="1" x14ac:dyDescent="0.2">
      <c r="B17" s="2657" t="s">
        <v>2066</v>
      </c>
      <c r="C17" s="2657"/>
      <c r="D17" s="2657"/>
      <c r="E17" s="2657"/>
      <c r="F17" s="2657"/>
      <c r="G17" s="2657"/>
      <c r="H17" s="2657"/>
      <c r="I17" s="2657"/>
      <c r="J17" s="2657"/>
      <c r="K17" s="2657"/>
    </row>
    <row r="18" spans="2:11" ht="4.5" customHeight="1" x14ac:dyDescent="0.2">
      <c r="B18" s="2054"/>
      <c r="C18" s="2054"/>
    </row>
    <row r="19" spans="2:11" ht="13.5" customHeight="1" x14ac:dyDescent="0.2">
      <c r="B19" s="2052" t="s">
        <v>1720</v>
      </c>
      <c r="C19" s="2053"/>
      <c r="D19" s="2042"/>
      <c r="E19" s="2042"/>
      <c r="F19" s="2042"/>
      <c r="G19" s="2043"/>
      <c r="H19" s="2042"/>
      <c r="I19" s="2043"/>
      <c r="J19" s="2042"/>
      <c r="K19" s="2042"/>
    </row>
    <row r="20" spans="2:11" ht="42" customHeight="1" x14ac:dyDescent="0.2">
      <c r="B20" s="2661" t="s">
        <v>2067</v>
      </c>
      <c r="C20" s="2661"/>
      <c r="D20" s="2657"/>
      <c r="E20" s="2657"/>
      <c r="F20" s="2657"/>
      <c r="G20" s="2657"/>
      <c r="H20" s="2657"/>
      <c r="I20" s="2657"/>
      <c r="J20" s="2657"/>
      <c r="K20" s="2657"/>
    </row>
    <row r="21" spans="2:11" ht="4.5" customHeight="1" x14ac:dyDescent="0.2">
      <c r="B21" s="2055"/>
      <c r="C21" s="2055"/>
    </row>
    <row r="22" spans="2:11" ht="13.5" customHeight="1" x14ac:dyDescent="0.2">
      <c r="B22" s="2052" t="s">
        <v>1278</v>
      </c>
      <c r="C22" s="2053"/>
      <c r="D22" s="2042"/>
      <c r="E22" s="2042"/>
      <c r="F22" s="2042"/>
      <c r="G22" s="2043"/>
      <c r="H22" s="2042"/>
      <c r="I22" s="2043"/>
      <c r="J22" s="2042"/>
      <c r="K22" s="2042"/>
    </row>
    <row r="23" spans="2:11" ht="40.5" customHeight="1" x14ac:dyDescent="0.2">
      <c r="B23" s="2657" t="s">
        <v>2068</v>
      </c>
      <c r="C23" s="2657"/>
      <c r="D23" s="2657"/>
      <c r="E23" s="2657"/>
      <c r="F23" s="2657"/>
      <c r="G23" s="2657"/>
      <c r="H23" s="2657"/>
      <c r="I23" s="2657"/>
      <c r="J23" s="2657"/>
      <c r="K23" s="2657"/>
    </row>
    <row r="24" spans="2:11" ht="4.5" customHeight="1" x14ac:dyDescent="0.2">
      <c r="B24" s="2054"/>
      <c r="C24" s="2054"/>
    </row>
    <row r="25" spans="2:11" ht="13.5" customHeight="1" x14ac:dyDescent="0.2">
      <c r="B25" s="2052" t="s">
        <v>1277</v>
      </c>
      <c r="C25" s="2053"/>
      <c r="D25" s="2042"/>
      <c r="E25" s="2042"/>
      <c r="F25" s="2042"/>
      <c r="G25" s="2043"/>
      <c r="H25" s="2042"/>
      <c r="I25" s="2043"/>
      <c r="J25" s="2042"/>
      <c r="K25" s="2042"/>
    </row>
    <row r="26" spans="2:11" ht="45.75" customHeight="1" x14ac:dyDescent="0.2">
      <c r="B26" s="2657" t="s">
        <v>2069</v>
      </c>
      <c r="C26" s="2657"/>
      <c r="D26" s="2657"/>
      <c r="E26" s="2657"/>
      <c r="F26" s="2657"/>
      <c r="G26" s="2657"/>
      <c r="H26" s="2657"/>
      <c r="I26" s="2657"/>
      <c r="J26" s="2657"/>
      <c r="K26" s="2657"/>
    </row>
    <row r="27" spans="2:11" ht="4.5" customHeight="1" x14ac:dyDescent="0.2">
      <c r="B27" s="2054"/>
      <c r="C27" s="2054"/>
    </row>
    <row r="28" spans="2:11" ht="13.5" customHeight="1" x14ac:dyDescent="0.2">
      <c r="B28" s="2056" t="s">
        <v>1276</v>
      </c>
      <c r="C28" s="2041"/>
      <c r="D28" s="2042"/>
      <c r="E28" s="2042"/>
      <c r="F28" s="2042"/>
      <c r="G28" s="2043"/>
      <c r="H28" s="2042"/>
      <c r="I28" s="2043"/>
      <c r="J28" s="2042"/>
      <c r="K28" s="2042"/>
    </row>
    <row r="29" spans="2:11" ht="37.5" customHeight="1" x14ac:dyDescent="0.2">
      <c r="B29" s="2657" t="s">
        <v>2070</v>
      </c>
      <c r="C29" s="2657"/>
      <c r="D29" s="2657"/>
      <c r="E29" s="2657"/>
      <c r="F29" s="2657"/>
      <c r="G29" s="2657"/>
      <c r="H29" s="2657"/>
      <c r="I29" s="2657"/>
      <c r="J29" s="2657"/>
      <c r="K29" s="2657"/>
    </row>
    <row r="30" spans="2:11" ht="4.5" customHeight="1" x14ac:dyDescent="0.2">
      <c r="B30" s="2054"/>
      <c r="C30" s="2054"/>
    </row>
    <row r="31" spans="2:11" ht="13.5" customHeight="1" x14ac:dyDescent="0.2">
      <c r="B31" s="2057" t="s">
        <v>1721</v>
      </c>
      <c r="C31" s="2058"/>
      <c r="D31" s="2041"/>
      <c r="E31" s="2042"/>
      <c r="F31" s="2042"/>
      <c r="G31" s="2043"/>
      <c r="H31" s="2042"/>
      <c r="I31" s="2043"/>
      <c r="J31" s="2042"/>
      <c r="K31" s="2042"/>
    </row>
    <row r="32" spans="2:11" ht="58.5" customHeight="1" x14ac:dyDescent="0.2">
      <c r="B32" s="2657" t="s">
        <v>2071</v>
      </c>
      <c r="C32" s="2657"/>
      <c r="D32" s="2657"/>
      <c r="E32" s="2657"/>
      <c r="F32" s="2657"/>
      <c r="G32" s="2657"/>
      <c r="H32" s="2657"/>
      <c r="I32" s="2657"/>
      <c r="J32" s="2657"/>
      <c r="K32" s="2657"/>
    </row>
    <row r="33" spans="1:13" ht="8.25" customHeight="1" x14ac:dyDescent="0.2">
      <c r="A33" s="2059"/>
      <c r="B33" s="2059"/>
      <c r="C33" s="2059"/>
      <c r="D33" s="2059"/>
      <c r="E33" s="2059"/>
      <c r="F33" s="2059"/>
      <c r="G33" s="2060"/>
      <c r="H33" s="2059"/>
      <c r="I33" s="2060"/>
      <c r="J33" s="2059"/>
      <c r="K33" s="2059"/>
    </row>
    <row r="34" spans="1:13" ht="11.85" customHeight="1" x14ac:dyDescent="0.2">
      <c r="B34" s="2061" t="s">
        <v>1722</v>
      </c>
      <c r="C34" s="2062"/>
    </row>
    <row r="35" spans="1:13" ht="9.6" customHeight="1" x14ac:dyDescent="0.2">
      <c r="B35" s="998" t="s">
        <v>2072</v>
      </c>
    </row>
    <row r="36" spans="1:13" ht="9.6" customHeight="1" x14ac:dyDescent="0.2">
      <c r="B36" s="998" t="s">
        <v>2073</v>
      </c>
    </row>
    <row r="37" spans="1:13" ht="11.85" customHeight="1" x14ac:dyDescent="0.2">
      <c r="B37" s="2061" t="s">
        <v>1723</v>
      </c>
      <c r="C37" s="2062"/>
    </row>
    <row r="38" spans="1:13" ht="9.6" customHeight="1" x14ac:dyDescent="0.2">
      <c r="B38" s="998" t="s">
        <v>1275</v>
      </c>
      <c r="M38" s="2063"/>
    </row>
    <row r="39" spans="1:13" ht="12.6" customHeight="1" x14ac:dyDescent="0.2">
      <c r="B39" s="2061" t="s">
        <v>1724</v>
      </c>
      <c r="C39" s="2062"/>
      <c r="M39" s="2063"/>
    </row>
    <row r="40" spans="1:13" ht="9.6" customHeight="1" x14ac:dyDescent="0.2">
      <c r="M40" s="2063"/>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3" t="str">
        <f>'Single Audit Cover'!A7</f>
        <v xml:space="preserve">Woodford County Spec Educ Assn </v>
      </c>
      <c r="C1" s="2643"/>
      <c r="D1" s="2643"/>
      <c r="E1" s="2643"/>
      <c r="F1" s="2643"/>
      <c r="G1" s="2643"/>
      <c r="H1" s="2643"/>
      <c r="I1" s="2643"/>
      <c r="J1" s="2643"/>
      <c r="K1" s="2643"/>
      <c r="L1" s="1144"/>
      <c r="M1" s="1144"/>
    </row>
    <row r="2" spans="1:13" ht="12" customHeight="1" x14ac:dyDescent="0.2">
      <c r="B2" s="2645">
        <f>'Single Audit Cover'!E7</f>
        <v>53102801060</v>
      </c>
      <c r="C2" s="2645"/>
      <c r="D2" s="2645"/>
      <c r="E2" s="2645"/>
      <c r="F2" s="2645"/>
      <c r="G2" s="2645"/>
      <c r="H2" s="2645"/>
      <c r="I2" s="2645"/>
      <c r="J2" s="2645"/>
      <c r="K2" s="2645"/>
      <c r="L2" s="1145"/>
      <c r="M2" s="1146"/>
    </row>
    <row r="3" spans="1:13" ht="10.35" customHeight="1" x14ac:dyDescent="0.2">
      <c r="B3" s="2663" t="s">
        <v>1274</v>
      </c>
      <c r="C3" s="2663"/>
      <c r="D3" s="2663"/>
      <c r="E3" s="2663"/>
      <c r="F3" s="2663"/>
      <c r="G3" s="2663"/>
      <c r="H3" s="2663"/>
      <c r="I3" s="2663"/>
      <c r="J3" s="2663"/>
      <c r="K3" s="2663"/>
      <c r="L3" s="1147"/>
      <c r="M3" s="1147"/>
    </row>
    <row r="4" spans="1:13" ht="14.25" customHeight="1" x14ac:dyDescent="0.2">
      <c r="B4" s="2664" t="str">
        <f>'Single Audit Cover'!A4</f>
        <v>Year Ending June 30, 2020</v>
      </c>
      <c r="C4" s="2664"/>
      <c r="D4" s="2664"/>
      <c r="E4" s="2664"/>
      <c r="F4" s="2664"/>
      <c r="G4" s="2664"/>
      <c r="H4" s="2664"/>
      <c r="I4" s="2664"/>
      <c r="J4" s="2664"/>
      <c r="K4" s="266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4" t="s">
        <v>1285</v>
      </c>
      <c r="C7" s="2664"/>
      <c r="D7" s="2665"/>
      <c r="E7" s="2665"/>
      <c r="F7" s="2665"/>
      <c r="G7" s="2665"/>
      <c r="H7" s="2665"/>
      <c r="I7" s="2665"/>
      <c r="J7" s="2665"/>
      <c r="K7" s="266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7"/>
      <c r="C14" s="2657"/>
      <c r="D14" s="2657"/>
      <c r="E14" s="2657"/>
      <c r="F14" s="2657"/>
      <c r="G14" s="2657"/>
      <c r="H14" s="2657"/>
      <c r="I14" s="2657"/>
      <c r="J14" s="2657"/>
      <c r="K14" s="265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7"/>
      <c r="C17" s="2657"/>
      <c r="D17" s="2657"/>
      <c r="E17" s="2657"/>
      <c r="F17" s="2657"/>
      <c r="G17" s="2657"/>
      <c r="H17" s="2657"/>
      <c r="I17" s="2657"/>
      <c r="J17" s="2657"/>
      <c r="K17" s="265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61"/>
      <c r="C20" s="2661"/>
      <c r="D20" s="2657"/>
      <c r="E20" s="2657"/>
      <c r="F20" s="2657"/>
      <c r="G20" s="2657"/>
      <c r="H20" s="2657"/>
      <c r="I20" s="2657"/>
      <c r="J20" s="2657"/>
      <c r="K20" s="265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7"/>
      <c r="C23" s="2657"/>
      <c r="D23" s="2657"/>
      <c r="E23" s="2657"/>
      <c r="F23" s="2657"/>
      <c r="G23" s="2657"/>
      <c r="H23" s="2657"/>
      <c r="I23" s="2657"/>
      <c r="J23" s="2657"/>
      <c r="K23" s="265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7"/>
      <c r="C26" s="2657"/>
      <c r="D26" s="2657"/>
      <c r="E26" s="2657"/>
      <c r="F26" s="2657"/>
      <c r="G26" s="2657"/>
      <c r="H26" s="2657"/>
      <c r="I26" s="2657"/>
      <c r="J26" s="2657"/>
      <c r="K26" s="265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62"/>
      <c r="C29" s="2662"/>
      <c r="D29" s="2657"/>
      <c r="E29" s="2657"/>
      <c r="F29" s="2657"/>
      <c r="G29" s="2657"/>
      <c r="H29" s="2657"/>
      <c r="I29" s="2657"/>
      <c r="J29" s="2657"/>
      <c r="K29" s="265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62"/>
      <c r="C32" s="2662"/>
      <c r="D32" s="2657"/>
      <c r="E32" s="2657"/>
      <c r="F32" s="2657"/>
      <c r="G32" s="2657"/>
      <c r="H32" s="2657"/>
      <c r="I32" s="2657"/>
      <c r="J32" s="2657"/>
      <c r="K32" s="265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9" t="str">
        <f>'Single Audit Cover'!A7</f>
        <v xml:space="preserve">Woodford County Spec Educ Assn </v>
      </c>
      <c r="C1" s="2669"/>
      <c r="D1" s="2669"/>
      <c r="E1" s="2669"/>
      <c r="F1" s="2669"/>
      <c r="G1" s="2669"/>
      <c r="H1" s="2669"/>
      <c r="I1" s="2669"/>
      <c r="J1" s="2669"/>
      <c r="K1" s="2669"/>
      <c r="L1" s="1221"/>
    </row>
    <row r="2" spans="1:12" ht="12.75" customHeight="1" x14ac:dyDescent="0.2">
      <c r="B2" s="2670">
        <f>'Single Audit Cover'!E7</f>
        <v>53102801060</v>
      </c>
      <c r="C2" s="2670"/>
      <c r="D2" s="2670"/>
      <c r="E2" s="2670"/>
      <c r="F2" s="2670"/>
      <c r="G2" s="2670"/>
      <c r="H2" s="2670"/>
      <c r="I2" s="2670"/>
      <c r="J2" s="2670"/>
      <c r="K2" s="2670"/>
      <c r="L2" s="1222"/>
    </row>
    <row r="3" spans="1:12" ht="12.75" customHeight="1" x14ac:dyDescent="0.2">
      <c r="B3" s="2663" t="s">
        <v>1274</v>
      </c>
      <c r="C3" s="2663"/>
      <c r="D3" s="2663"/>
      <c r="E3" s="2663"/>
      <c r="F3" s="2663"/>
      <c r="G3" s="2663"/>
      <c r="H3" s="2663"/>
      <c r="I3" s="2663"/>
      <c r="J3" s="2663"/>
      <c r="K3" s="2663"/>
      <c r="L3" s="1147"/>
    </row>
    <row r="4" spans="1:12" ht="12.75" customHeight="1" x14ac:dyDescent="0.2">
      <c r="B4" s="2663" t="str">
        <f>'Single Audit Cover'!A4</f>
        <v>Year Ending June 30, 2020</v>
      </c>
      <c r="C4" s="2663"/>
      <c r="D4" s="2663"/>
      <c r="E4" s="2663"/>
      <c r="F4" s="2663"/>
      <c r="G4" s="2663"/>
      <c r="H4" s="2663"/>
      <c r="I4" s="2663"/>
      <c r="J4" s="2663"/>
      <c r="K4" s="2663"/>
      <c r="L4" s="1147"/>
    </row>
    <row r="5" spans="1:12" ht="5.25" customHeight="1" x14ac:dyDescent="0.2">
      <c r="B5" s="1036" t="s">
        <v>1159</v>
      </c>
      <c r="C5" s="1036"/>
      <c r="L5" s="300"/>
    </row>
    <row r="6" spans="1:12" ht="30.75" customHeight="1" x14ac:dyDescent="0.2">
      <c r="A6" s="300"/>
      <c r="B6" s="2671" t="s">
        <v>1297</v>
      </c>
      <c r="C6" s="2671"/>
      <c r="D6" s="2671"/>
      <c r="E6" s="2671"/>
      <c r="F6" s="2671"/>
      <c r="G6" s="2671"/>
      <c r="H6" s="2671"/>
      <c r="I6" s="2671"/>
      <c r="J6" s="2671"/>
      <c r="K6" s="267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50"/>
      <c r="G12" s="2650"/>
      <c r="H12" s="2650"/>
      <c r="I12" s="2650"/>
      <c r="J12" s="2650"/>
      <c r="K12" s="265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6"/>
      <c r="E14" s="2666"/>
      <c r="F14" s="2666"/>
      <c r="H14" s="1230" t="s">
        <v>1292</v>
      </c>
      <c r="I14" s="2667"/>
      <c r="J14" s="2667"/>
      <c r="K14" s="266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7"/>
      <c r="E16" s="2667"/>
      <c r="F16" s="2667"/>
      <c r="G16" s="2667"/>
      <c r="H16" s="2667"/>
      <c r="I16" s="2667"/>
      <c r="J16" s="2667"/>
      <c r="K16" s="2667"/>
      <c r="L16" s="300"/>
    </row>
    <row r="17" spans="2:12" ht="13.5" customHeight="1" x14ac:dyDescent="0.2">
      <c r="B17" s="1156" t="s">
        <v>1290</v>
      </c>
      <c r="C17" s="1156"/>
      <c r="D17" s="2668"/>
      <c r="E17" s="2668"/>
      <c r="F17" s="2668"/>
      <c r="G17" s="2668"/>
      <c r="H17" s="2668"/>
      <c r="I17" s="2668"/>
      <c r="J17" s="2668"/>
      <c r="K17" s="266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7"/>
      <c r="C20" s="2657"/>
      <c r="D20" s="2657"/>
      <c r="E20" s="2657"/>
      <c r="F20" s="2657"/>
      <c r="G20" s="2657"/>
      <c r="H20" s="2657"/>
      <c r="I20" s="2657"/>
      <c r="J20" s="2657"/>
      <c r="K20" s="265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7"/>
      <c r="C23" s="2657"/>
      <c r="D23" s="2657"/>
      <c r="E23" s="2657"/>
      <c r="F23" s="2657"/>
      <c r="G23" s="2657"/>
      <c r="H23" s="2657"/>
      <c r="I23" s="2657"/>
      <c r="J23" s="2657"/>
      <c r="K23" s="265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7"/>
      <c r="C26" s="2657"/>
      <c r="D26" s="2657"/>
      <c r="E26" s="2657"/>
      <c r="F26" s="2657"/>
      <c r="G26" s="2657"/>
      <c r="H26" s="2657"/>
      <c r="I26" s="2657"/>
      <c r="J26" s="2657"/>
      <c r="K26" s="265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7"/>
      <c r="C29" s="2657"/>
      <c r="D29" s="2657"/>
      <c r="E29" s="2657"/>
      <c r="F29" s="2657"/>
      <c r="G29" s="2657"/>
      <c r="H29" s="2657"/>
      <c r="I29" s="2657"/>
      <c r="J29" s="2657"/>
      <c r="K29" s="265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7"/>
      <c r="C32" s="2657"/>
      <c r="D32" s="2657"/>
      <c r="E32" s="2657"/>
      <c r="F32" s="2657"/>
      <c r="G32" s="2657"/>
      <c r="H32" s="2657"/>
      <c r="I32" s="2657"/>
      <c r="J32" s="2657"/>
      <c r="K32" s="265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7"/>
      <c r="C35" s="2657"/>
      <c r="D35" s="2657"/>
      <c r="E35" s="2657"/>
      <c r="F35" s="2657"/>
      <c r="G35" s="2657"/>
      <c r="H35" s="2657"/>
      <c r="I35" s="2657"/>
      <c r="J35" s="2657"/>
      <c r="K35" s="265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7"/>
      <c r="C38" s="2657"/>
      <c r="D38" s="2657"/>
      <c r="E38" s="2657"/>
      <c r="F38" s="2657"/>
      <c r="G38" s="2657"/>
      <c r="H38" s="2657"/>
      <c r="I38" s="2657"/>
      <c r="J38" s="2657"/>
      <c r="K38" s="265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7"/>
      <c r="C41" s="2657"/>
      <c r="D41" s="2657"/>
      <c r="E41" s="2657"/>
      <c r="F41" s="2657"/>
      <c r="G41" s="2657"/>
      <c r="H41" s="2657"/>
      <c r="I41" s="2657"/>
      <c r="J41" s="2657"/>
      <c r="K41" s="265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43" t="str">
        <f>'Single Audit Cover'!A7</f>
        <v xml:space="preserve">Woodford County Spec Educ Assn </v>
      </c>
      <c r="C1" s="2643"/>
      <c r="D1" s="2643"/>
      <c r="E1" s="1240"/>
    </row>
    <row r="2" spans="2:5" s="1058" customFormat="1" ht="12.75" customHeight="1" x14ac:dyDescent="0.2">
      <c r="B2" s="2645">
        <f>'Single Audit Cover'!E7</f>
        <v>53102801060</v>
      </c>
      <c r="C2" s="2645"/>
      <c r="D2" s="2645"/>
      <c r="E2" s="1241"/>
    </row>
    <row r="3" spans="2:5" ht="12.75" customHeight="1" x14ac:dyDescent="0.2">
      <c r="B3" s="2663" t="s">
        <v>1743</v>
      </c>
      <c r="C3" s="2663"/>
      <c r="D3" s="2663"/>
      <c r="E3" s="1050"/>
    </row>
    <row r="4" spans="2:5" s="1058" customFormat="1" ht="12.75" customHeight="1" x14ac:dyDescent="0.2">
      <c r="B4" s="2672" t="str">
        <f>'Single Audit Cover'!A4</f>
        <v>Year Ending June 30, 2020</v>
      </c>
      <c r="C4" s="2672"/>
      <c r="D4" s="267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2061</v>
      </c>
      <c r="C7" s="302" t="s">
        <v>2060</v>
      </c>
      <c r="D7" s="302" t="s">
        <v>2062</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F6526-D586-4DBD-A3FF-10AA8F8183FD}">
  <dimension ref="A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64" customWidth="1"/>
    <col min="2" max="2" width="11.28515625" style="2064" customWidth="1"/>
    <col min="3" max="3" width="6.42578125" style="2064" customWidth="1"/>
    <col min="4" max="4" width="5.42578125" style="2064" customWidth="1"/>
    <col min="5" max="5" width="74.7109375" style="2064" customWidth="1"/>
    <col min="6" max="6" width="1.5703125" style="2064" customWidth="1"/>
    <col min="7" max="8" width="2.42578125" style="2064" customWidth="1"/>
    <col min="9" max="9" width="9.28515625" style="2064" customWidth="1"/>
    <col min="10" max="10" width="14.42578125" style="2064" customWidth="1"/>
    <col min="11" max="11" width="7.28515625" style="2064" customWidth="1"/>
    <col min="12" max="12" width="3.140625" style="2064" customWidth="1"/>
    <col min="13" max="16384" width="9.140625" style="2064"/>
  </cols>
  <sheetData>
    <row r="1" spans="2:12" hidden="1" x14ac:dyDescent="0.2">
      <c r="B1" s="2064" t="str">
        <f>'CAP 2020-001'!B11:E11</f>
        <v xml:space="preserve">Woodford County Spec Educ Assn </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74" t="str">
        <f>COVER!$A$17</f>
        <v xml:space="preserve">Woodford County Spec Educ Assn </v>
      </c>
      <c r="C11" s="2674"/>
      <c r="D11" s="2674"/>
      <c r="E11" s="2674"/>
      <c r="F11" s="2065"/>
      <c r="G11" s="2065"/>
      <c r="H11" s="2065"/>
      <c r="I11" s="2065"/>
      <c r="J11" s="2065"/>
      <c r="K11" s="2065"/>
      <c r="L11" s="2065"/>
    </row>
    <row r="12" spans="2:12" ht="13.5" customHeight="1" x14ac:dyDescent="0.2">
      <c r="B12" s="2675">
        <f>COVER!$A$13</f>
        <v>53102801060</v>
      </c>
      <c r="C12" s="2675"/>
      <c r="D12" s="2675"/>
      <c r="E12" s="2675"/>
      <c r="F12" s="2066"/>
      <c r="G12" s="2066"/>
      <c r="H12" s="2066"/>
      <c r="I12" s="2066"/>
      <c r="J12" s="2066"/>
      <c r="K12" s="2066"/>
      <c r="L12" s="2066"/>
    </row>
    <row r="13" spans="2:12" ht="13.5" customHeight="1" x14ac:dyDescent="0.2">
      <c r="B13" s="2676" t="s">
        <v>2074</v>
      </c>
      <c r="C13" s="2676"/>
      <c r="D13" s="2676"/>
      <c r="E13" s="2676"/>
      <c r="F13" s="2067"/>
      <c r="G13" s="2067"/>
      <c r="H13" s="2067"/>
      <c r="I13" s="2067"/>
      <c r="J13" s="2067"/>
      <c r="K13" s="2067"/>
      <c r="L13" s="2067"/>
    </row>
    <row r="14" spans="2:12" ht="13.5" customHeight="1" x14ac:dyDescent="0.2">
      <c r="B14" s="2677" t="s">
        <v>2064</v>
      </c>
      <c r="C14" s="2677"/>
      <c r="D14" s="2677"/>
      <c r="E14" s="2677"/>
      <c r="F14" s="2068"/>
      <c r="G14" s="2068"/>
      <c r="H14" s="2068"/>
      <c r="I14" s="2068"/>
      <c r="J14" s="2068"/>
      <c r="K14" s="2068"/>
      <c r="L14" s="2068"/>
    </row>
    <row r="15" spans="2:12" ht="29.85" customHeight="1" x14ac:dyDescent="0.2"/>
    <row r="16" spans="2:12" ht="13.5" customHeight="1" x14ac:dyDescent="0.2">
      <c r="B16" s="2069" t="s">
        <v>2075</v>
      </c>
      <c r="C16" s="2069"/>
      <c r="D16" s="2070"/>
      <c r="E16" s="2071"/>
      <c r="F16" s="2071"/>
      <c r="G16" s="2072"/>
      <c r="H16" s="2072"/>
      <c r="I16" s="2072"/>
    </row>
    <row r="17" spans="2:5" ht="13.5" customHeight="1" x14ac:dyDescent="0.2">
      <c r="B17" s="2064" t="s">
        <v>1159</v>
      </c>
    </row>
    <row r="18" spans="2:5" ht="13.5" customHeight="1" x14ac:dyDescent="0.2">
      <c r="B18" s="2073" t="s">
        <v>2076</v>
      </c>
      <c r="C18" s="2074" t="s">
        <v>2065</v>
      </c>
      <c r="D18" s="2075">
        <v>1</v>
      </c>
    </row>
    <row r="19" spans="2:5" ht="13.5" customHeight="1" x14ac:dyDescent="0.2">
      <c r="B19" s="2076"/>
      <c r="C19" s="2076"/>
      <c r="D19" s="2076"/>
    </row>
    <row r="20" spans="2:5" ht="13.5" customHeight="1" x14ac:dyDescent="0.2">
      <c r="B20" s="2073" t="s">
        <v>2077</v>
      </c>
      <c r="C20" s="2073"/>
    </row>
    <row r="21" spans="2:5" ht="66.75" customHeight="1" x14ac:dyDescent="0.2">
      <c r="B21" s="2678" t="s">
        <v>2066</v>
      </c>
      <c r="C21" s="2673"/>
      <c r="D21" s="2673"/>
      <c r="E21" s="2673"/>
    </row>
    <row r="22" spans="2:5" ht="13.5" customHeight="1" x14ac:dyDescent="0.2"/>
    <row r="23" spans="2:5" ht="13.5" customHeight="1" x14ac:dyDescent="0.2">
      <c r="B23" s="2073" t="s">
        <v>2078</v>
      </c>
      <c r="C23" s="2073"/>
    </row>
    <row r="24" spans="2:5" ht="76.5" customHeight="1" x14ac:dyDescent="0.2">
      <c r="B24" s="2673" t="s">
        <v>2079</v>
      </c>
      <c r="C24" s="2673"/>
      <c r="D24" s="2673"/>
      <c r="E24" s="2673"/>
    </row>
    <row r="25" spans="2:5" ht="13.5" customHeight="1" x14ac:dyDescent="0.2"/>
    <row r="26" spans="2:5" ht="13.5" customHeight="1" x14ac:dyDescent="0.2">
      <c r="B26" s="2073" t="s">
        <v>2080</v>
      </c>
      <c r="C26" s="2073"/>
      <c r="E26" s="2077" t="s">
        <v>2081</v>
      </c>
    </row>
    <row r="27" spans="2:5" ht="13.5" customHeight="1" x14ac:dyDescent="0.2"/>
    <row r="28" spans="2:5" ht="13.5" customHeight="1" x14ac:dyDescent="0.2">
      <c r="B28" s="2073" t="s">
        <v>2082</v>
      </c>
      <c r="C28" s="2073"/>
      <c r="E28" s="2078" t="s">
        <v>2083</v>
      </c>
    </row>
    <row r="29" spans="2:5" ht="13.5" customHeight="1" x14ac:dyDescent="0.2"/>
    <row r="30" spans="2:5" ht="13.5" customHeight="1" x14ac:dyDescent="0.2">
      <c r="B30" s="2073" t="s">
        <v>2084</v>
      </c>
      <c r="C30" s="2073"/>
      <c r="E30" s="2078" t="s">
        <v>2085</v>
      </c>
    </row>
    <row r="31" spans="2:5" ht="13.5" customHeight="1" x14ac:dyDescent="0.2">
      <c r="E31" s="2078" t="s">
        <v>2086</v>
      </c>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2079"/>
      <c r="C37" s="2079"/>
      <c r="D37" s="2079"/>
    </row>
    <row r="38" spans="2:4" ht="13.5" customHeight="1" x14ac:dyDescent="0.2"/>
    <row r="39" spans="2:4" ht="13.5" customHeight="1" x14ac:dyDescent="0.2">
      <c r="B39" s="2079"/>
      <c r="C39" s="2079"/>
      <c r="D39" s="2079"/>
    </row>
    <row r="40" spans="2:4" ht="13.5" customHeight="1" x14ac:dyDescent="0.2">
      <c r="B40" s="2079"/>
      <c r="C40" s="2079"/>
      <c r="D40" s="2079"/>
    </row>
    <row r="41" spans="2:4" ht="13.5" customHeight="1" x14ac:dyDescent="0.2">
      <c r="B41" s="2079"/>
      <c r="C41" s="2079"/>
      <c r="D41" s="2079"/>
    </row>
    <row r="42" spans="2:4" ht="13.5" customHeight="1" x14ac:dyDescent="0.2">
      <c r="C42" s="2079"/>
      <c r="D42" s="2079"/>
    </row>
    <row r="43" spans="2:4" ht="12.2" customHeight="1" x14ac:dyDescent="0.2">
      <c r="B43" s="2080"/>
      <c r="C43" s="2080"/>
      <c r="D43" s="2080"/>
    </row>
    <row r="44" spans="2:4" ht="12.75" customHeight="1" x14ac:dyDescent="0.2">
      <c r="B44" s="2073"/>
      <c r="C44" s="2073"/>
      <c r="D44" s="2073"/>
    </row>
    <row r="45" spans="2:4" ht="12.75" customHeight="1" x14ac:dyDescent="0.2">
      <c r="B45" s="2073"/>
      <c r="C45" s="2073"/>
      <c r="D45" s="2073"/>
    </row>
    <row r="46" spans="2:4" x14ac:dyDescent="0.2">
      <c r="B46" s="2073"/>
      <c r="C46" s="2073"/>
      <c r="D46" s="2073"/>
    </row>
    <row r="47" spans="2:4" x14ac:dyDescent="0.2">
      <c r="B47" s="2073"/>
      <c r="C47" s="2073"/>
      <c r="D47" s="2073"/>
    </row>
    <row r="51" spans="1:7" x14ac:dyDescent="0.2">
      <c r="A51" s="2081"/>
      <c r="B51" s="2082"/>
      <c r="C51" s="2082"/>
      <c r="D51" s="2082"/>
      <c r="E51" s="2081"/>
      <c r="F51" s="2081"/>
      <c r="G51" s="2081"/>
    </row>
    <row r="52" spans="1:7" ht="12.75" customHeight="1" x14ac:dyDescent="0.2">
      <c r="B52" s="2083" t="s">
        <v>2087</v>
      </c>
    </row>
    <row r="53" spans="1:7" ht="12.75" customHeight="1" x14ac:dyDescent="0.2"/>
    <row r="54" spans="1:7" ht="12.75" customHeight="1" x14ac:dyDescent="0.2"/>
    <row r="55" spans="1:7" ht="12.75" customHeight="1" x14ac:dyDescent="0.2"/>
    <row r="56" spans="1:7" ht="12.75" customHeight="1" x14ac:dyDescent="0.2"/>
    <row r="57" spans="1:7" ht="12.75" customHeight="1" x14ac:dyDescent="0.2"/>
    <row r="58" spans="1:7" ht="12.75" customHeight="1" x14ac:dyDescent="0.2"/>
    <row r="59" spans="1:7" ht="12.75" customHeight="1" x14ac:dyDescent="0.2"/>
    <row r="60" spans="1:7" ht="12.75" customHeight="1" x14ac:dyDescent="0.2"/>
    <row r="64" spans="1:7" x14ac:dyDescent="0.2">
      <c r="B64" s="2084"/>
      <c r="C64" s="2084"/>
      <c r="D64" s="2084"/>
    </row>
    <row r="65" spans="2:4" x14ac:dyDescent="0.2">
      <c r="B65" s="2073"/>
      <c r="C65" s="2073"/>
      <c r="D65" s="2073"/>
    </row>
    <row r="66" spans="2:4" x14ac:dyDescent="0.2">
      <c r="B66" s="2073"/>
      <c r="C66" s="2073"/>
      <c r="D66" s="2073"/>
    </row>
    <row r="67" spans="2:4" x14ac:dyDescent="0.2">
      <c r="B67" s="2084"/>
      <c r="C67" s="2084"/>
      <c r="D67" s="2084"/>
    </row>
    <row r="68" spans="2:4" x14ac:dyDescent="0.2">
      <c r="B68" s="2084"/>
      <c r="C68" s="2084"/>
      <c r="D68" s="2084"/>
    </row>
    <row r="69" spans="2:4" x14ac:dyDescent="0.2">
      <c r="B69" s="2084"/>
      <c r="C69" s="2084"/>
      <c r="D69" s="2084"/>
    </row>
    <row r="70" spans="2:4" x14ac:dyDescent="0.2">
      <c r="B70" s="2073"/>
      <c r="C70" s="2073"/>
      <c r="D70" s="2073"/>
    </row>
  </sheetData>
  <mergeCells count="6">
    <mergeCell ref="B24:E24"/>
    <mergeCell ref="B11:E11"/>
    <mergeCell ref="B12:E12"/>
    <mergeCell ref="B13:E13"/>
    <mergeCell ref="B14:E14"/>
    <mergeCell ref="B21:E21"/>
  </mergeCells>
  <printOptions horizontalCentered="1"/>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9" t="s">
        <v>383</v>
      </c>
      <c r="B1" s="2239"/>
      <c r="C1" s="2239"/>
      <c r="D1" s="2239"/>
      <c r="E1" s="2239"/>
      <c r="F1" s="2239"/>
      <c r="G1" s="2239"/>
      <c r="H1" s="2239"/>
      <c r="I1" s="2239"/>
      <c r="J1" s="2239"/>
      <c r="K1" s="2239"/>
      <c r="L1" s="2239"/>
      <c r="M1" s="223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49" t="str">
        <f>IF(SUM(J10)&lt;=0.0999999,"","Enter the Tax Rates by moving the decimal two places to the left.")</f>
        <v/>
      </c>
      <c r="E11" s="2250"/>
      <c r="F11" s="2250"/>
      <c r="G11" s="2250"/>
      <c r="H11" s="2250"/>
      <c r="I11" s="2250"/>
      <c r="J11" s="225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6818255</v>
      </c>
      <c r="E16" s="1547"/>
      <c r="F16" s="1546">
        <f>SUM('Acct Summary 7-8'!C17,'Acct Summary 7-8'!D17,'Acct Summary 7-8'!F17)</f>
        <v>6547492</v>
      </c>
      <c r="G16" s="1547"/>
      <c r="H16" s="1546">
        <f>SUM(D16-F16)</f>
        <v>270763</v>
      </c>
      <c r="I16" s="1548"/>
      <c r="J16" s="1546">
        <f>SUM('Acct Summary 7-8'!C81,'Acct Summary 7-8'!D81,'Acct Summary 7-8'!F81,'Acct Summary 7-8'!I81)</f>
        <v>1644702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40"/>
      <c r="C54" s="2241"/>
      <c r="D54" s="2241"/>
      <c r="E54" s="2241"/>
      <c r="F54" s="2241"/>
      <c r="G54" s="2241"/>
      <c r="H54" s="2241"/>
      <c r="I54" s="2241"/>
      <c r="J54" s="2241"/>
      <c r="K54" s="2241"/>
      <c r="L54" s="2242"/>
      <c r="M54" s="357"/>
    </row>
    <row r="55" spans="1:13" ht="12.75" customHeight="1" x14ac:dyDescent="0.2">
      <c r="B55" s="2243"/>
      <c r="C55" s="2244"/>
      <c r="D55" s="2244"/>
      <c r="E55" s="2244"/>
      <c r="F55" s="2244"/>
      <c r="G55" s="2244"/>
      <c r="H55" s="2244"/>
      <c r="I55" s="2244"/>
      <c r="J55" s="2244"/>
      <c r="K55" s="2244"/>
      <c r="L55" s="2245"/>
      <c r="M55" s="357"/>
    </row>
    <row r="56" spans="1:13" ht="12.75" customHeight="1" x14ac:dyDescent="0.2">
      <c r="B56" s="2243"/>
      <c r="C56" s="2244"/>
      <c r="D56" s="2244"/>
      <c r="E56" s="2244"/>
      <c r="F56" s="2244"/>
      <c r="G56" s="2244"/>
      <c r="H56" s="2244"/>
      <c r="I56" s="2244"/>
      <c r="J56" s="2244"/>
      <c r="K56" s="2244"/>
      <c r="L56" s="2245"/>
      <c r="M56" s="217"/>
    </row>
    <row r="57" spans="1:13" ht="12.75" customHeight="1" x14ac:dyDescent="0.2">
      <c r="B57" s="2243"/>
      <c r="C57" s="2244"/>
      <c r="D57" s="2244"/>
      <c r="E57" s="2244"/>
      <c r="F57" s="2244"/>
      <c r="G57" s="2244"/>
      <c r="H57" s="2244"/>
      <c r="I57" s="2244"/>
      <c r="J57" s="2244"/>
      <c r="K57" s="2244"/>
      <c r="L57" s="2245"/>
      <c r="M57" s="217"/>
    </row>
    <row r="58" spans="1:13" x14ac:dyDescent="0.2">
      <c r="B58" s="2246"/>
      <c r="C58" s="2247"/>
      <c r="D58" s="2247"/>
      <c r="E58" s="2247"/>
      <c r="F58" s="2247"/>
      <c r="G58" s="2247"/>
      <c r="H58" s="2247"/>
      <c r="I58" s="2247"/>
      <c r="J58" s="2247"/>
      <c r="K58" s="2247"/>
      <c r="L58" s="224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1"/>
      <c r="D61" s="225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4"/>
      <c r="B1" s="2255"/>
      <c r="C1" s="2255"/>
      <c r="D1" s="361"/>
      <c r="E1" s="361"/>
      <c r="F1" s="361"/>
      <c r="G1" s="361"/>
      <c r="H1" s="361"/>
      <c r="I1" s="361"/>
      <c r="J1" s="361"/>
      <c r="K1" s="361"/>
      <c r="L1" s="361"/>
      <c r="M1" s="361"/>
      <c r="N1" s="361"/>
      <c r="O1" s="2254"/>
      <c r="P1" s="2255"/>
      <c r="Q1" s="2255"/>
    </row>
    <row r="2" spans="1:18" ht="15" x14ac:dyDescent="0.2">
      <c r="A2" s="2258" t="s">
        <v>552</v>
      </c>
      <c r="B2" s="2258"/>
      <c r="C2" s="2258"/>
      <c r="D2" s="2258"/>
      <c r="E2" s="2258"/>
      <c r="F2" s="2258"/>
      <c r="G2" s="2258"/>
      <c r="H2" s="2258"/>
      <c r="I2" s="2258"/>
      <c r="J2" s="2258"/>
      <c r="K2" s="2258"/>
      <c r="L2" s="2258"/>
      <c r="M2" s="2258"/>
      <c r="N2" s="2258"/>
      <c r="O2" s="2258"/>
      <c r="P2" s="2258"/>
      <c r="Q2" s="2258"/>
      <c r="R2" s="2258"/>
    </row>
    <row r="3" spans="1:18" ht="12.75" x14ac:dyDescent="0.2">
      <c r="A3" s="2259" t="s">
        <v>1396</v>
      </c>
      <c r="B3" s="2259"/>
      <c r="C3" s="2259"/>
      <c r="D3" s="2259"/>
      <c r="E3" s="2259"/>
      <c r="F3" s="2259"/>
      <c r="G3" s="2259"/>
      <c r="H3" s="2259"/>
      <c r="I3" s="2259"/>
      <c r="J3" s="2259"/>
      <c r="K3" s="2259"/>
      <c r="L3" s="2259"/>
      <c r="M3" s="2259"/>
      <c r="N3" s="2259"/>
      <c r="O3" s="2259"/>
      <c r="P3" s="2259"/>
      <c r="Q3" s="2259"/>
      <c r="R3" s="2259"/>
    </row>
    <row r="4" spans="1:18" x14ac:dyDescent="0.2">
      <c r="A4" s="2260" t="s">
        <v>1537</v>
      </c>
      <c r="B4" s="2260"/>
      <c r="C4" s="2260"/>
      <c r="D4" s="2260"/>
      <c r="E4" s="2260"/>
      <c r="F4" s="2260"/>
      <c r="G4" s="2260"/>
      <c r="H4" s="2260"/>
      <c r="I4" s="2260"/>
      <c r="J4" s="2260"/>
      <c r="K4" s="2260"/>
      <c r="L4" s="2260"/>
      <c r="M4" s="2260"/>
      <c r="N4" s="2260"/>
      <c r="O4" s="2260"/>
      <c r="P4" s="2260"/>
      <c r="Q4" s="2260"/>
      <c r="R4" s="226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Woodford County Spec Educ Assn </v>
      </c>
      <c r="E7" s="368"/>
      <c r="G7" s="247"/>
      <c r="H7" s="364"/>
      <c r="I7" s="364"/>
      <c r="J7" s="364"/>
      <c r="K7" s="364"/>
      <c r="L7" s="307"/>
      <c r="M7" s="307"/>
      <c r="N7" s="307"/>
      <c r="O7" s="307"/>
      <c r="P7" s="307"/>
    </row>
    <row r="8" spans="1:18" ht="12.75" x14ac:dyDescent="0.2">
      <c r="A8" s="307"/>
      <c r="B8" s="307"/>
      <c r="C8" s="366" t="s">
        <v>1115</v>
      </c>
      <c r="D8" s="369">
        <f>COVER!A13</f>
        <v>53102801060</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1644702</v>
      </c>
      <c r="I12" s="380"/>
      <c r="J12" s="380"/>
      <c r="K12" s="1559">
        <f>TRUNC((H12/H13*100000),5)/100000</f>
        <v>0.24122037090000001</v>
      </c>
      <c r="L12" s="381"/>
      <c r="M12" s="337" t="s">
        <v>1134</v>
      </c>
      <c r="N12" s="337"/>
      <c r="O12" s="1562">
        <v>0.35</v>
      </c>
      <c r="P12" s="213"/>
      <c r="Q12" s="213"/>
    </row>
    <row r="13" spans="1:18" s="382" customFormat="1" ht="12.75" x14ac:dyDescent="0.2">
      <c r="A13" s="213"/>
      <c r="B13" s="377"/>
      <c r="C13" s="2256" t="s">
        <v>1313</v>
      </c>
      <c r="D13" s="2257"/>
      <c r="E13" s="213"/>
      <c r="F13" s="383" t="s">
        <v>788</v>
      </c>
      <c r="G13" s="378"/>
      <c r="H13" s="1551">
        <f>SUM('Acct Summary 7-8'!C8+'Acct Summary 7-8'!D8+'Acct Summary 7-8'!F8+'Acct Summary 7-8'!I8)+H14</f>
        <v>6818255</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6547492</v>
      </c>
      <c r="I17" s="380"/>
      <c r="J17" s="389"/>
      <c r="K17" s="1559">
        <f>TRUNC((H17/H18*100000),5)/100000</f>
        <v>0.96028851949999994</v>
      </c>
      <c r="L17" s="381"/>
      <c r="M17" s="390" t="s">
        <v>1161</v>
      </c>
      <c r="O17" s="1565" t="str">
        <f>IF(AND(O16="2", J20 &gt; 2),"1",IF(AND(O16 = "1", J20 &gt; 2),"2",IF(AND(O16="1", J20 &gt;1),"1","0")))</f>
        <v>0</v>
      </c>
      <c r="P17" s="213"/>
    </row>
    <row r="18" spans="1:18" s="382" customFormat="1" ht="11.25" x14ac:dyDescent="0.2">
      <c r="A18" s="213"/>
      <c r="B18" s="377"/>
      <c r="C18" s="2256" t="s">
        <v>1306</v>
      </c>
      <c r="D18" s="2257"/>
      <c r="E18" s="213"/>
      <c r="F18" s="391" t="s">
        <v>789</v>
      </c>
      <c r="G18" s="378"/>
      <c r="H18" s="1551">
        <f>SUM('Acct Summary 7-8'!C8+'Acct Summary 7-8'!D8+'Acct Summary 7-8'!F8+'Acct Summary 7-8'!I8)+H19</f>
        <v>6818255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53" t="s">
        <v>1395</v>
      </c>
      <c r="D24" s="2253"/>
      <c r="E24" s="213"/>
      <c r="F24" s="213" t="s">
        <v>442</v>
      </c>
      <c r="G24" s="378"/>
      <c r="H24" s="1551">
        <f>SUM('Assets-Liab 5-6'!C4+'Assets-Liab 5-6'!D4+'Assets-Liab 5-6'!F4+'Assets-Liab 5-6'!I4+'Assets-Liab 5-6'!C5+'Assets-Liab 5-6'!D5+'Assets-Liab 5-6'!F5+'Assets-Liab 5-6'!I5)</f>
        <v>1644702</v>
      </c>
      <c r="I24" s="394"/>
      <c r="J24" s="394"/>
      <c r="K24" s="1555">
        <f>TRUNC(((H24/H25*100000)/100000),2)</f>
        <v>90.43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18187.477780000001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I13" sqref="I1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6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3" t="s">
        <v>967</v>
      </c>
      <c r="B3" s="2264"/>
      <c r="C3" s="1306"/>
      <c r="D3" s="1307"/>
      <c r="E3" s="1307"/>
      <c r="F3" s="1307"/>
      <c r="G3" s="1307"/>
      <c r="H3" s="1307"/>
      <c r="I3" s="1307"/>
      <c r="J3" s="1307"/>
      <c r="K3" s="1307"/>
      <c r="L3" s="1307"/>
      <c r="M3" s="1308"/>
      <c r="N3" s="1309"/>
    </row>
    <row r="4" spans="1:14" ht="13.5" customHeight="1" x14ac:dyDescent="0.2">
      <c r="A4" s="427" t="s">
        <v>1632</v>
      </c>
      <c r="B4" s="428"/>
      <c r="C4" s="1572">
        <v>1644702</v>
      </c>
      <c r="D4" s="1573">
        <v>0</v>
      </c>
      <c r="E4" s="1573">
        <v>0</v>
      </c>
      <c r="F4" s="1573">
        <v>0</v>
      </c>
      <c r="G4" s="1573">
        <v>0</v>
      </c>
      <c r="H4" s="1573">
        <v>0</v>
      </c>
      <c r="I4" s="1573">
        <v>0</v>
      </c>
      <c r="J4" s="1574">
        <v>0</v>
      </c>
      <c r="K4" s="1573">
        <v>0</v>
      </c>
      <c r="L4" s="1573">
        <v>2130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1644702</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2130</v>
      </c>
      <c r="M13" s="1575"/>
      <c r="N13" s="1576"/>
    </row>
    <row r="14" spans="1:14" ht="18" customHeight="1" thickTop="1" x14ac:dyDescent="0.2">
      <c r="A14" s="2265" t="s">
        <v>146</v>
      </c>
      <c r="B14" s="226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376836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112682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174196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663714</v>
      </c>
      <c r="N23" s="1594">
        <f>SUM(N21:N22)</f>
        <v>0</v>
      </c>
    </row>
    <row r="24" spans="1:14" ht="18" customHeight="1" thickTop="1" x14ac:dyDescent="0.2">
      <c r="A24" s="2267" t="s">
        <v>594</v>
      </c>
      <c r="B24" s="226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2130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2130</v>
      </c>
      <c r="M34" s="1575"/>
      <c r="N34" s="1585"/>
    </row>
    <row r="35" spans="1:14" ht="18" customHeight="1" thickTop="1" x14ac:dyDescent="0.2">
      <c r="A35" s="2269" t="s">
        <v>526</v>
      </c>
      <c r="B35" s="227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13676</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1631026</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663714</v>
      </c>
      <c r="N40" s="1604"/>
    </row>
    <row r="41" spans="1:14" ht="13.5" customHeight="1" thickBot="1" x14ac:dyDescent="0.25">
      <c r="A41" s="1426" t="s">
        <v>650</v>
      </c>
      <c r="B41" s="1405"/>
      <c r="C41" s="1594">
        <f>(SUM(C34,C37,C38,C39))</f>
        <v>1644702</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2130</v>
      </c>
      <c r="M41" s="1594">
        <f>SUM(M40)</f>
        <v>663714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13" sqref="I1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8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91" t="s">
        <v>1165</v>
      </c>
      <c r="B3" s="2292"/>
      <c r="C3" s="1311"/>
      <c r="D3" s="1312"/>
      <c r="E3" s="1312"/>
      <c r="F3" s="1312"/>
      <c r="G3" s="1312"/>
      <c r="H3" s="1312"/>
      <c r="I3" s="1312"/>
      <c r="J3" s="1312"/>
      <c r="K3" s="1313"/>
      <c r="L3" s="446"/>
    </row>
    <row r="4" spans="1:13" ht="15.75" customHeight="1" x14ac:dyDescent="0.2">
      <c r="A4" s="1537" t="s">
        <v>1482</v>
      </c>
      <c r="B4" s="1538">
        <v>1000</v>
      </c>
      <c r="C4" s="1606">
        <f>'Revenues 9-14'!C109</f>
        <v>5584609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40973</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837027</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355646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6818255</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2418421</v>
      </c>
      <c r="D9" s="1613"/>
      <c r="E9" s="1586"/>
      <c r="F9" s="1586"/>
      <c r="G9" s="1614"/>
      <c r="H9" s="1586"/>
      <c r="I9" s="1609" t="s">
        <v>1159</v>
      </c>
      <c r="J9" s="1583"/>
      <c r="K9" s="1586"/>
      <c r="L9" s="325"/>
    </row>
    <row r="10" spans="1:13" s="452" customFormat="1" ht="13.5" thickBot="1" x14ac:dyDescent="0.25">
      <c r="A10" s="1426" t="s">
        <v>1163</v>
      </c>
      <c r="B10" s="1407"/>
      <c r="C10" s="1594">
        <f>SUM(C8:C9)</f>
        <v>9236676</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65" t="s">
        <v>1166</v>
      </c>
      <c r="B11" s="2266"/>
      <c r="C11" s="1602"/>
      <c r="D11" s="1603"/>
      <c r="E11" s="1603"/>
      <c r="F11" s="1603"/>
      <c r="G11" s="1603"/>
      <c r="H11" s="1603"/>
      <c r="I11" s="1603"/>
      <c r="J11" s="1603"/>
      <c r="K11" s="1615"/>
      <c r="L11" s="451"/>
    </row>
    <row r="12" spans="1:13" ht="15.75" customHeight="1" x14ac:dyDescent="0.2">
      <c r="A12" s="1314" t="s">
        <v>453</v>
      </c>
      <c r="B12" s="1316">
        <v>1000</v>
      </c>
      <c r="C12" s="1606">
        <f>'Expenditures 15-22'!K33</f>
        <v>1896840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3733094</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78555</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839003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6547492</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2418421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8965913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81" t="s">
        <v>1636</v>
      </c>
      <c r="B20" s="2282"/>
      <c r="C20" s="1622">
        <f>C8-C17</f>
        <v>270763</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93" t="s">
        <v>591</v>
      </c>
      <c r="B21" s="2294"/>
      <c r="C21" s="1602"/>
      <c r="D21" s="1603"/>
      <c r="E21" s="1603"/>
      <c r="F21" s="1603"/>
      <c r="G21" s="1603"/>
      <c r="H21" s="1603"/>
      <c r="I21" s="1603"/>
      <c r="J21" s="1603"/>
      <c r="K21" s="1615"/>
      <c r="L21" s="453"/>
    </row>
    <row r="22" spans="1:12" ht="15.75" customHeight="1" collapsed="1" x14ac:dyDescent="0.2">
      <c r="A22" s="2289" t="s">
        <v>592</v>
      </c>
      <c r="B22" s="2290"/>
      <c r="C22" s="1582"/>
      <c r="D22" s="1582"/>
      <c r="E22" s="1582"/>
      <c r="F22" s="1582"/>
      <c r="G22" s="1582"/>
      <c r="H22" s="1582"/>
      <c r="I22" s="1582"/>
      <c r="J22" s="1582"/>
      <c r="K22" s="1582"/>
      <c r="L22" s="325"/>
    </row>
    <row r="23" spans="1:12" s="433" customFormat="1" ht="15.75" customHeight="1" x14ac:dyDescent="0.2">
      <c r="A23" s="2285" t="s">
        <v>290</v>
      </c>
      <c r="B23" s="228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7" t="s">
        <v>974</v>
      </c>
      <c r="B32" s="228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5" t="s">
        <v>371</v>
      </c>
      <c r="B44" s="229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9" t="s">
        <v>108</v>
      </c>
      <c r="B45" s="2290"/>
      <c r="C45" s="1625"/>
      <c r="D45" s="1625"/>
      <c r="E45" s="1625"/>
      <c r="F45" s="1625"/>
      <c r="G45" s="1625"/>
      <c r="H45" s="1625"/>
      <c r="I45" s="1625"/>
      <c r="J45" s="1625"/>
      <c r="K45" s="1625"/>
      <c r="L45" s="325"/>
    </row>
    <row r="46" spans="1:12" s="433" customFormat="1" ht="15.75" customHeight="1" x14ac:dyDescent="0.2">
      <c r="A46" s="2297" t="s">
        <v>109</v>
      </c>
      <c r="B46" s="229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71" t="s">
        <v>437</v>
      </c>
      <c r="B76" s="227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73" t="s">
        <v>1167</v>
      </c>
      <c r="B77" s="227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7" t="s">
        <v>593</v>
      </c>
      <c r="B78" s="2278"/>
      <c r="C78" s="1629">
        <f t="shared" ref="C78:K78" si="9">C20+C77</f>
        <v>270763</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1373939</v>
      </c>
      <c r="D79" s="1583">
        <v>0</v>
      </c>
      <c r="E79" s="1630">
        <v>0</v>
      </c>
      <c r="F79" s="1630">
        <v>0</v>
      </c>
      <c r="G79" s="1630">
        <v>0</v>
      </c>
      <c r="H79" s="1630">
        <v>0</v>
      </c>
      <c r="I79" s="1630">
        <v>0</v>
      </c>
      <c r="J79" s="1630">
        <v>0</v>
      </c>
      <c r="K79" s="1630">
        <v>0</v>
      </c>
      <c r="L79" s="325"/>
    </row>
    <row r="80" spans="1:12" x14ac:dyDescent="0.2">
      <c r="A80" s="2283" t="s">
        <v>1772</v>
      </c>
      <c r="B80" s="2284"/>
      <c r="C80" s="1574">
        <v>0</v>
      </c>
      <c r="D80" s="1574">
        <v>0</v>
      </c>
      <c r="E80" s="1574">
        <v>0</v>
      </c>
      <c r="F80" s="1574">
        <v>0</v>
      </c>
      <c r="G80" s="1574">
        <v>0</v>
      </c>
      <c r="H80" s="1574">
        <v>0</v>
      </c>
      <c r="I80" s="1574">
        <v>0</v>
      </c>
      <c r="J80" s="1574">
        <v>0</v>
      </c>
      <c r="K80" s="1574">
        <v>0</v>
      </c>
      <c r="L80" s="325"/>
    </row>
    <row r="81" spans="1:12" ht="13.5" thickBot="1" x14ac:dyDescent="0.25">
      <c r="A81" s="2275" t="str">
        <f>"Fund Balances - June 30, "&amp;'AFR20'!E2</f>
        <v>Fund Balances - June 30, 2020</v>
      </c>
      <c r="B81" s="2276"/>
      <c r="C81" s="1594">
        <f>(SUM(C78:C80))</f>
        <v>1644702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270763</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0.16462739146666083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I13" sqref="I13"/>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9" t="s">
        <v>1779</v>
      </c>
      <c r="B1" s="416"/>
      <c r="C1" s="417" t="s">
        <v>422</v>
      </c>
      <c r="D1" s="417" t="s">
        <v>423</v>
      </c>
      <c r="E1" s="417" t="s">
        <v>424</v>
      </c>
      <c r="F1" s="417" t="s">
        <v>425</v>
      </c>
      <c r="G1" s="417" t="s">
        <v>426</v>
      </c>
      <c r="H1" s="417" t="s">
        <v>427</v>
      </c>
      <c r="I1" s="417" t="s">
        <v>428</v>
      </c>
      <c r="J1" s="417" t="s">
        <v>429</v>
      </c>
      <c r="K1" s="417" t="s">
        <v>751</v>
      </c>
    </row>
    <row r="2" spans="1:12" ht="36" x14ac:dyDescent="0.2">
      <c r="A2" s="228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5508535</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5508535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4679</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4679</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1687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1546</v>
      </c>
      <c r="D73" s="1575"/>
      <c r="E73" s="1575"/>
      <c r="F73" s="1575"/>
      <c r="G73" s="1575"/>
      <c r="H73" s="1575"/>
      <c r="I73" s="1575"/>
      <c r="J73" s="1575"/>
      <c r="K73" s="1575"/>
    </row>
    <row r="74" spans="1:11" ht="12.75" customHeight="1" x14ac:dyDescent="0.2">
      <c r="A74" s="427" t="s">
        <v>25</v>
      </c>
      <c r="B74" s="429">
        <v>1690</v>
      </c>
      <c r="C74" s="1632">
        <v>2750</v>
      </c>
      <c r="D74" s="1575"/>
      <c r="E74" s="1575"/>
      <c r="F74" s="1575"/>
      <c r="G74" s="1575"/>
      <c r="H74" s="1575"/>
      <c r="I74" s="1575"/>
      <c r="J74" s="1575"/>
      <c r="K74" s="1575"/>
    </row>
    <row r="75" spans="1:11" ht="12.75" customHeight="1" thickBot="1" x14ac:dyDescent="0.25">
      <c r="A75" s="1406" t="s">
        <v>544</v>
      </c>
      <c r="B75" s="1407"/>
      <c r="C75" s="1594">
        <f>SUM(C69:C74)</f>
        <v>5983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31463</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2629</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30175</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1145</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65412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5584609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40973</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40973</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497776</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497776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339251</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9" t="s">
        <v>395</v>
      </c>
      <c r="B169" s="2300"/>
      <c r="C169" s="1658">
        <f t="shared" ref="C169:K169" si="6">SUM(C132,C141,C145,C146:C150,C155,C156:C167,C168)</f>
        <v>339251</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837027</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01" t="s">
        <v>1475</v>
      </c>
      <c r="B172" s="230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5" t="s">
        <v>1646</v>
      </c>
      <c r="B175" s="230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9" t="s">
        <v>1645</v>
      </c>
      <c r="B176" s="231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7" t="s">
        <v>780</v>
      </c>
      <c r="B181" s="230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3" t="s">
        <v>1780</v>
      </c>
      <c r="B182" s="230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27085</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75265</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102350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58368</v>
      </c>
      <c r="D263" s="1651">
        <v>0</v>
      </c>
      <c r="E263" s="1575"/>
      <c r="F263" s="1651">
        <v>0</v>
      </c>
      <c r="G263" s="1651">
        <v>0</v>
      </c>
      <c r="H263" s="1575"/>
      <c r="I263" s="1575"/>
      <c r="J263" s="1575"/>
      <c r="K263" s="1575"/>
    </row>
    <row r="264" spans="1:11" ht="12.75" customHeight="1" thickTop="1" thickBot="1" x14ac:dyDescent="0.25">
      <c r="A264" s="427" t="s">
        <v>374</v>
      </c>
      <c r="B264" s="429">
        <v>4992</v>
      </c>
      <c r="C264" s="1650">
        <v>194928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355646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355646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6818255</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I13" sqref="I1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1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7" t="s">
        <v>294</v>
      </c>
      <c r="B3" s="231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226975</v>
      </c>
      <c r="D5" s="1573">
        <v>24190</v>
      </c>
      <c r="E5" s="1573">
        <v>1028</v>
      </c>
      <c r="F5" s="1573">
        <v>14142</v>
      </c>
      <c r="G5" s="1573">
        <v>3249</v>
      </c>
      <c r="H5" s="1573">
        <v>0</v>
      </c>
      <c r="I5" s="1574">
        <v>0</v>
      </c>
      <c r="J5" s="1574">
        <v>0</v>
      </c>
      <c r="K5" s="1672">
        <f>SUM(C5:J5)</f>
        <v>269584</v>
      </c>
      <c r="L5" s="1573">
        <v>260494</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1305473</v>
      </c>
      <c r="D8" s="1573">
        <v>262551</v>
      </c>
      <c r="E8" s="1573">
        <v>16139</v>
      </c>
      <c r="F8" s="1573">
        <v>43093</v>
      </c>
      <c r="G8" s="1573">
        <v>0</v>
      </c>
      <c r="H8" s="1573">
        <v>0</v>
      </c>
      <c r="I8" s="1574">
        <v>0</v>
      </c>
      <c r="J8" s="1574">
        <v>0</v>
      </c>
      <c r="K8" s="1672">
        <f t="shared" si="0"/>
        <v>1627256</v>
      </c>
      <c r="L8" s="1573">
        <v>1740053</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1532448</v>
      </c>
      <c r="D33" s="1674">
        <f t="shared" ref="D33:L33" si="1">SUM(D5:D32)</f>
        <v>286741</v>
      </c>
      <c r="E33" s="1674">
        <f t="shared" si="1"/>
        <v>17167</v>
      </c>
      <c r="F33" s="1674">
        <f t="shared" si="1"/>
        <v>57235</v>
      </c>
      <c r="G33" s="1674">
        <f t="shared" si="1"/>
        <v>3249</v>
      </c>
      <c r="H33" s="1674">
        <f t="shared" si="1"/>
        <v>0</v>
      </c>
      <c r="I33" s="1674">
        <f t="shared" si="1"/>
        <v>0</v>
      </c>
      <c r="J33" s="1674">
        <f t="shared" si="1"/>
        <v>0</v>
      </c>
      <c r="K33" s="1674">
        <f t="shared" si="1"/>
        <v>1896840</v>
      </c>
      <c r="L33" s="1674">
        <f t="shared" si="1"/>
        <v>2000547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634732</v>
      </c>
      <c r="D36" s="1586">
        <v>86086</v>
      </c>
      <c r="E36" s="1586">
        <v>6889</v>
      </c>
      <c r="F36" s="1586">
        <v>2908</v>
      </c>
      <c r="G36" s="1586">
        <v>0</v>
      </c>
      <c r="H36" s="1586">
        <v>0</v>
      </c>
      <c r="I36" s="1574">
        <v>0</v>
      </c>
      <c r="J36" s="1574">
        <v>0</v>
      </c>
      <c r="K36" s="1672">
        <f t="shared" ref="K36:K41" si="2">SUM(C36:J36)</f>
        <v>730615</v>
      </c>
      <c r="L36" s="1573">
        <v>727352</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267492</v>
      </c>
      <c r="D38" s="1573">
        <v>55851</v>
      </c>
      <c r="E38" s="1573">
        <v>74412</v>
      </c>
      <c r="F38" s="1573">
        <v>2625</v>
      </c>
      <c r="G38" s="1573">
        <v>0</v>
      </c>
      <c r="H38" s="1573">
        <v>0</v>
      </c>
      <c r="I38" s="1573">
        <v>0</v>
      </c>
      <c r="J38" s="1573">
        <v>0</v>
      </c>
      <c r="K38" s="1672">
        <f t="shared" si="2"/>
        <v>400380</v>
      </c>
      <c r="L38" s="1573">
        <v>413875</v>
      </c>
    </row>
    <row r="39" spans="1:14" x14ac:dyDescent="0.2">
      <c r="A39" s="1274" t="s">
        <v>197</v>
      </c>
      <c r="B39" s="503">
        <v>2140</v>
      </c>
      <c r="C39" s="1573">
        <v>487252</v>
      </c>
      <c r="D39" s="1573">
        <v>35885</v>
      </c>
      <c r="E39" s="1573">
        <v>33526</v>
      </c>
      <c r="F39" s="1573">
        <v>15695</v>
      </c>
      <c r="G39" s="1573">
        <v>0</v>
      </c>
      <c r="H39" s="1573">
        <v>0</v>
      </c>
      <c r="I39" s="1574">
        <v>0</v>
      </c>
      <c r="J39" s="1574">
        <v>0</v>
      </c>
      <c r="K39" s="1672">
        <f t="shared" si="2"/>
        <v>572358</v>
      </c>
      <c r="L39" s="1573">
        <v>569274</v>
      </c>
    </row>
    <row r="40" spans="1:14" x14ac:dyDescent="0.2">
      <c r="A40" s="1274" t="s">
        <v>198</v>
      </c>
      <c r="B40" s="503">
        <v>2150</v>
      </c>
      <c r="C40" s="1573">
        <v>396712</v>
      </c>
      <c r="D40" s="1573">
        <v>42650</v>
      </c>
      <c r="E40" s="1573">
        <v>5332</v>
      </c>
      <c r="F40" s="1573">
        <v>1580</v>
      </c>
      <c r="G40" s="1573">
        <v>0</v>
      </c>
      <c r="H40" s="1573">
        <v>0</v>
      </c>
      <c r="I40" s="1574">
        <v>0</v>
      </c>
      <c r="J40" s="1574">
        <v>0</v>
      </c>
      <c r="K40" s="1672">
        <f t="shared" si="2"/>
        <v>446274</v>
      </c>
      <c r="L40" s="1573">
        <v>464058</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1786188</v>
      </c>
      <c r="D42" s="1674">
        <f t="shared" ref="D42:L42" si="3">SUM(D36:D41)</f>
        <v>220472</v>
      </c>
      <c r="E42" s="1674">
        <f t="shared" si="3"/>
        <v>120159</v>
      </c>
      <c r="F42" s="1674">
        <f t="shared" si="3"/>
        <v>22808</v>
      </c>
      <c r="G42" s="1674">
        <f t="shared" si="3"/>
        <v>0</v>
      </c>
      <c r="H42" s="1674">
        <f t="shared" si="3"/>
        <v>0</v>
      </c>
      <c r="I42" s="1674">
        <f t="shared" si="3"/>
        <v>0</v>
      </c>
      <c r="J42" s="1674">
        <f t="shared" si="3"/>
        <v>0</v>
      </c>
      <c r="K42" s="1674">
        <f t="shared" si="3"/>
        <v>2149627</v>
      </c>
      <c r="L42" s="1674">
        <f t="shared" si="3"/>
        <v>2174559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100484</v>
      </c>
      <c r="D44" s="1586">
        <v>14889</v>
      </c>
      <c r="E44" s="1586">
        <v>37028</v>
      </c>
      <c r="F44" s="1586">
        <v>1476</v>
      </c>
      <c r="G44" s="1586">
        <v>0</v>
      </c>
      <c r="H44" s="1586">
        <v>0</v>
      </c>
      <c r="I44" s="1574">
        <v>0</v>
      </c>
      <c r="J44" s="1574">
        <v>0</v>
      </c>
      <c r="K44" s="1678">
        <f>SUM(C44:J44)</f>
        <v>153877</v>
      </c>
      <c r="L44" s="1586">
        <v>164241</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100484</v>
      </c>
      <c r="D47" s="1674">
        <f t="shared" ref="D47:K47" si="4">SUM(D44:D46)</f>
        <v>14889</v>
      </c>
      <c r="E47" s="1674">
        <f t="shared" si="4"/>
        <v>37028</v>
      </c>
      <c r="F47" s="1674">
        <f t="shared" si="4"/>
        <v>1476</v>
      </c>
      <c r="G47" s="1674">
        <f t="shared" si="4"/>
        <v>0</v>
      </c>
      <c r="H47" s="1674">
        <f t="shared" si="4"/>
        <v>0</v>
      </c>
      <c r="I47" s="1674">
        <f t="shared" si="4"/>
        <v>0</v>
      </c>
      <c r="J47" s="1674">
        <f t="shared" si="4"/>
        <v>0</v>
      </c>
      <c r="K47" s="1674">
        <f t="shared" si="4"/>
        <v>153877</v>
      </c>
      <c r="L47" s="1674">
        <f>SUM(L44:L46)</f>
        <v>164241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699645</v>
      </c>
      <c r="D51" s="1573">
        <v>222875</v>
      </c>
      <c r="E51" s="1573">
        <v>154940</v>
      </c>
      <c r="F51" s="1573">
        <v>60806</v>
      </c>
      <c r="G51" s="1573">
        <v>3917</v>
      </c>
      <c r="H51" s="1573">
        <v>8382</v>
      </c>
      <c r="I51" s="1574">
        <v>0</v>
      </c>
      <c r="J51" s="1574">
        <v>0</v>
      </c>
      <c r="K51" s="1678">
        <f>SUM(C51:J51)</f>
        <v>1150565</v>
      </c>
      <c r="L51" s="1573">
        <v>1186024</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699645</v>
      </c>
      <c r="D53" s="1674">
        <f t="shared" ref="D53:L53" si="5">SUM(D49:D52)</f>
        <v>222875</v>
      </c>
      <c r="E53" s="1674">
        <f t="shared" si="5"/>
        <v>154940</v>
      </c>
      <c r="F53" s="1674">
        <f t="shared" si="5"/>
        <v>60806</v>
      </c>
      <c r="G53" s="1674">
        <f t="shared" si="5"/>
        <v>3917</v>
      </c>
      <c r="H53" s="1674">
        <f t="shared" si="5"/>
        <v>8382</v>
      </c>
      <c r="I53" s="1674">
        <f t="shared" si="5"/>
        <v>0</v>
      </c>
      <c r="J53" s="1674">
        <f t="shared" si="5"/>
        <v>0</v>
      </c>
      <c r="K53" s="1674">
        <f t="shared" si="5"/>
        <v>1150565</v>
      </c>
      <c r="L53" s="1674">
        <f t="shared" si="5"/>
        <v>1186024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14079</v>
      </c>
      <c r="F60" s="1573">
        <v>0</v>
      </c>
      <c r="G60" s="1573">
        <v>0</v>
      </c>
      <c r="H60" s="1573">
        <v>0</v>
      </c>
      <c r="I60" s="1574">
        <v>0</v>
      </c>
      <c r="J60" s="1574">
        <v>0</v>
      </c>
      <c r="K60" s="1678">
        <f t="shared" si="7"/>
        <v>14079</v>
      </c>
      <c r="L60" s="1573">
        <v>11500</v>
      </c>
      <c r="M60" s="501"/>
      <c r="N60" s="501"/>
    </row>
    <row r="61" spans="1:14" s="321" customFormat="1" x14ac:dyDescent="0.2">
      <c r="A61" s="1274" t="s">
        <v>195</v>
      </c>
      <c r="B61" s="503">
        <v>2540</v>
      </c>
      <c r="C61" s="1573">
        <v>49661</v>
      </c>
      <c r="D61" s="1573">
        <v>14646</v>
      </c>
      <c r="E61" s="1573">
        <v>73974</v>
      </c>
      <c r="F61" s="1573">
        <v>47332</v>
      </c>
      <c r="G61" s="1573">
        <v>64829</v>
      </c>
      <c r="H61" s="1573">
        <v>0</v>
      </c>
      <c r="I61" s="1574">
        <v>0</v>
      </c>
      <c r="J61" s="1574">
        <v>0</v>
      </c>
      <c r="K61" s="1678">
        <f t="shared" si="7"/>
        <v>250442</v>
      </c>
      <c r="L61" s="1573">
        <v>187839</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8278</v>
      </c>
      <c r="F63" s="1573">
        <v>6226</v>
      </c>
      <c r="G63" s="1573">
        <v>0</v>
      </c>
      <c r="H63" s="1573">
        <v>0</v>
      </c>
      <c r="I63" s="1574">
        <v>0</v>
      </c>
      <c r="J63" s="1574">
        <v>0</v>
      </c>
      <c r="K63" s="1678">
        <f t="shared" si="7"/>
        <v>14504</v>
      </c>
      <c r="L63" s="1573">
        <v>33739</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49661</v>
      </c>
      <c r="D65" s="1674">
        <f t="shared" ref="D65:L65" si="8">SUM(D59:D64)</f>
        <v>14646</v>
      </c>
      <c r="E65" s="1674">
        <f t="shared" si="8"/>
        <v>96331</v>
      </c>
      <c r="F65" s="1674">
        <f t="shared" si="8"/>
        <v>53558</v>
      </c>
      <c r="G65" s="1674">
        <f t="shared" si="8"/>
        <v>64829</v>
      </c>
      <c r="H65" s="1674">
        <f t="shared" si="8"/>
        <v>0</v>
      </c>
      <c r="I65" s="1674">
        <f t="shared" si="8"/>
        <v>0</v>
      </c>
      <c r="J65" s="1674">
        <f t="shared" si="8"/>
        <v>0</v>
      </c>
      <c r="K65" s="1674">
        <f t="shared" si="8"/>
        <v>279025</v>
      </c>
      <c r="L65" s="1674">
        <f t="shared" si="8"/>
        <v>233078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2635978</v>
      </c>
      <c r="D74" s="1681">
        <f t="shared" ref="D74:K74" si="10">SUM(D42,D47,D53,D57,D65,D72,D73)</f>
        <v>472882</v>
      </c>
      <c r="E74" s="1681">
        <f t="shared" si="10"/>
        <v>408458</v>
      </c>
      <c r="F74" s="1681">
        <f t="shared" si="10"/>
        <v>138648</v>
      </c>
      <c r="G74" s="1681">
        <f t="shared" si="10"/>
        <v>68746</v>
      </c>
      <c r="H74" s="1681">
        <f t="shared" si="10"/>
        <v>8382</v>
      </c>
      <c r="I74" s="1681">
        <f t="shared" si="10"/>
        <v>0</v>
      </c>
      <c r="J74" s="1681">
        <f t="shared" si="10"/>
        <v>0</v>
      </c>
      <c r="K74" s="1681">
        <f t="shared" si="10"/>
        <v>3733094</v>
      </c>
      <c r="L74" s="1681">
        <f>SUM(L42,L47,L53,L57,L65,L72,L73)</f>
        <v>3757902</v>
      </c>
    </row>
    <row r="75" spans="1:14" s="254" customFormat="1" ht="15.75" customHeight="1" thickTop="1" thickBot="1" x14ac:dyDescent="0.25">
      <c r="A75" s="1348" t="s">
        <v>47</v>
      </c>
      <c r="B75" s="1349" t="s">
        <v>571</v>
      </c>
      <c r="C75" s="1649">
        <v>59105</v>
      </c>
      <c r="D75" s="1649">
        <v>13540</v>
      </c>
      <c r="E75" s="1649">
        <v>4883</v>
      </c>
      <c r="F75" s="1649">
        <v>1027</v>
      </c>
      <c r="G75" s="1649">
        <v>0</v>
      </c>
      <c r="H75" s="1649">
        <v>0</v>
      </c>
      <c r="I75" s="1627">
        <v>0</v>
      </c>
      <c r="J75" s="1627">
        <v>0</v>
      </c>
      <c r="K75" s="1674">
        <f>SUM(C75:J75)</f>
        <v>78555</v>
      </c>
      <c r="L75" s="1651">
        <v>77451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839003</v>
      </c>
      <c r="I94" s="1582"/>
      <c r="J94" s="1582"/>
      <c r="K94" s="1681">
        <f t="shared" si="12"/>
        <v>839003</v>
      </c>
      <c r="L94" s="1626">
        <v>582382</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839003</v>
      </c>
      <c r="I100" s="1582"/>
      <c r="J100" s="1582"/>
      <c r="K100" s="1681">
        <f>SUM(K93:K99)</f>
        <v>839003</v>
      </c>
      <c r="L100" s="1681">
        <f>SUM(L93:L99)</f>
        <v>582382</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839003</v>
      </c>
      <c r="I102" s="1582"/>
      <c r="J102" s="1582"/>
      <c r="K102" s="1681">
        <f>SUM(K84,K92,K100,K101)</f>
        <v>839003</v>
      </c>
      <c r="L102" s="1681">
        <f>SUM(L84,L92,L100,L101)</f>
        <v>582382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4227531</v>
      </c>
      <c r="D114" s="1674">
        <f t="shared" ref="D114:K114" si="13">SUM(D33,D74,D75,D102,D112,D113)</f>
        <v>773163</v>
      </c>
      <c r="E114" s="1674">
        <f t="shared" si="13"/>
        <v>430508</v>
      </c>
      <c r="F114" s="1674">
        <f t="shared" si="13"/>
        <v>196910</v>
      </c>
      <c r="G114" s="1674">
        <f t="shared" si="13"/>
        <v>71995</v>
      </c>
      <c r="H114" s="1674">
        <f>SUM(H33,H74,H75,H102,H112,H113)</f>
        <v>847385</v>
      </c>
      <c r="I114" s="1674">
        <f t="shared" si="13"/>
        <v>0</v>
      </c>
      <c r="J114" s="1674">
        <f t="shared" si="13"/>
        <v>0</v>
      </c>
      <c r="K114" s="1674">
        <f t="shared" si="13"/>
        <v>6547492</v>
      </c>
      <c r="L114" s="1674">
        <f>SUM(L33,L74,L75,L102,L112,L113)</f>
        <v>6418282</v>
      </c>
    </row>
    <row r="115" spans="1:14" ht="13.5" thickTop="1" x14ac:dyDescent="0.2">
      <c r="A115" s="2336" t="s">
        <v>989</v>
      </c>
      <c r="B115" s="2337"/>
      <c r="C115" s="1675"/>
      <c r="D115" s="1675"/>
      <c r="E115" s="1675"/>
      <c r="F115" s="1675"/>
      <c r="G115" s="1675"/>
      <c r="H115" s="1675"/>
      <c r="I115" s="1675"/>
      <c r="J115" s="1675"/>
      <c r="K115" s="1689">
        <f>'Revenues 9-14'!C268-'Expenditures 15-22'!K114</f>
        <v>270763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4" t="s">
        <v>293</v>
      </c>
      <c r="B117" s="231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6" t="s">
        <v>616</v>
      </c>
      <c r="B151" s="230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329" t="s">
        <v>1168</v>
      </c>
      <c r="B152" s="233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4" t="s">
        <v>617</v>
      </c>
      <c r="B154" s="231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36" t="s">
        <v>989</v>
      </c>
      <c r="B175" s="233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336" t="s">
        <v>989</v>
      </c>
      <c r="B211" s="233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31" t="s">
        <v>959</v>
      </c>
      <c r="B213" s="233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7" t="s">
        <v>502</v>
      </c>
      <c r="B295" s="232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336" t="s">
        <v>989</v>
      </c>
      <c r="B296" s="233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9" t="s">
        <v>142</v>
      </c>
      <c r="B298" s="231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4" t="s">
        <v>275</v>
      </c>
      <c r="B312" s="232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20" t="s">
        <v>989</v>
      </c>
      <c r="B313" s="232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3" t="s">
        <v>148</v>
      </c>
      <c r="B315" s="233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5" t="s">
        <v>892</v>
      </c>
      <c r="B317" s="233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322" t="s">
        <v>989</v>
      </c>
      <c r="B343" s="232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2" t="s">
        <v>960</v>
      </c>
      <c r="B345" s="231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36" t="s">
        <v>989</v>
      </c>
      <c r="B368" s="233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purl.org/dc/dcmitype/"/>
    <ds:schemaRef ds:uri="d21dc803-237d-4c68-8692-8d731fd29118"/>
    <ds:schemaRef ds:uri="4d435f69-8686-490b-bd6d-b153bf22ab50"/>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Sec-2</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2020-10-02T17:36:26Z</cp:lastPrinted>
  <dcterms:created xsi:type="dcterms:W3CDTF">2003-10-29T19:06:34Z</dcterms:created>
  <dcterms:modified xsi:type="dcterms:W3CDTF">2021-01-28T19:56:39Z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