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ED6540A-4CBB-49AA-B74C-9A8B0E55AFE1}" xr6:coauthVersionLast="36" xr6:coauthVersionMax="36" xr10:uidLastSave="{00000000-0000-0000-0000-000000000000}"/>
  <bookViews>
    <workbookView xWindow="3075" yWindow="127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3" i="185" l="1"/>
  <c r="L14" i="185"/>
  <c r="L15" i="185"/>
  <c r="L16" i="185"/>
  <c r="L17" i="185"/>
  <c r="L20" i="185"/>
  <c r="L21" i="185"/>
  <c r="L24" i="185"/>
  <c r="I9" i="185" l="1"/>
  <c r="G9" i="185"/>
  <c r="F9" i="185"/>
  <c r="E9" i="185"/>
  <c r="J8" i="185"/>
  <c r="H8" i="185"/>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F80" i="34" l="1"/>
  <c r="B7885" i="106" l="1"/>
  <c r="D7885" i="106" s="1"/>
  <c r="B7884" i="106"/>
  <c r="B7883" i="106"/>
  <c r="D7883" i="106" s="1"/>
  <c r="B7882" i="106"/>
  <c r="D7882" i="106" s="1"/>
  <c r="D7884"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3" i="179"/>
  <c r="L22" i="179"/>
  <c r="L18" i="179"/>
  <c r="L17"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6" i="127"/>
  <c r="B67" i="127"/>
  <c r="G26" i="108"/>
  <c r="E27" i="108"/>
  <c r="G27" i="108"/>
  <c r="F31" i="108"/>
  <c r="F36" i="108"/>
  <c r="G28" i="108"/>
  <c r="G30"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D24" i="37"/>
  <c r="B4270" i="106" s="1"/>
  <c r="D4270" i="106" s="1"/>
  <c r="B5752" i="106"/>
  <c r="D5752" i="106" s="1"/>
  <c r="L22" i="37" l="1"/>
  <c r="D36" i="108"/>
  <c r="B6995" i="106"/>
  <c r="D6995" i="106" s="1"/>
  <c r="B6289" i="106"/>
  <c r="D6289" i="106" s="1"/>
  <c r="B2836" i="106"/>
  <c r="D2836" i="106" s="1"/>
  <c r="C352" i="29"/>
  <c r="H365" i="29"/>
  <c r="B7242" i="106" s="1"/>
  <c r="D7242" i="106" s="1"/>
  <c r="C129" i="29"/>
  <c r="H342" i="29"/>
  <c r="B7221" i="106" s="1"/>
  <c r="D7221" i="106" s="1"/>
  <c r="B7135" i="106"/>
  <c r="D7135" i="106" s="1"/>
  <c r="E58" i="184"/>
  <c r="N58" i="184" s="1"/>
  <c r="F34" i="34"/>
  <c r="B7826" i="106" s="1"/>
  <c r="D7826" i="106" s="1"/>
  <c r="H76" i="4"/>
  <c r="B3298" i="106" s="1"/>
  <c r="D3298" i="106" s="1"/>
  <c r="D31" i="108"/>
  <c r="E16" i="184"/>
  <c r="H16" i="184" s="1"/>
  <c r="F37" i="34"/>
  <c r="B7829" i="106" s="1"/>
  <c r="D7829" i="106" s="1"/>
  <c r="H12" i="184"/>
  <c r="B7180" i="106"/>
  <c r="D7180" i="106" s="1"/>
  <c r="E63" i="184"/>
  <c r="N63" i="184" s="1"/>
  <c r="F77" i="4"/>
  <c r="B3255" i="106" s="1"/>
  <c r="D3255" i="106" s="1"/>
  <c r="G33" i="108"/>
  <c r="E17" i="184"/>
  <c r="H17" i="184" s="1"/>
  <c r="B7171" i="106"/>
  <c r="D7171" i="106" s="1"/>
  <c r="E62" i="184"/>
  <c r="N62" i="184" s="1"/>
  <c r="B7198" i="106"/>
  <c r="D7198" i="106" s="1"/>
  <c r="E65" i="184"/>
  <c r="N65" i="184" s="1"/>
  <c r="B7189" i="106"/>
  <c r="D7189" i="106" s="1"/>
  <c r="E64" i="184"/>
  <c r="N64" i="184" s="1"/>
  <c r="B7162" i="106"/>
  <c r="D7162" i="106" s="1"/>
  <c r="E61" i="184"/>
  <c r="N61" i="184" s="1"/>
  <c r="B7126" i="106"/>
  <c r="D7126" i="106" s="1"/>
  <c r="E57" i="184"/>
  <c r="B7153" i="106"/>
  <c r="D7153" i="106" s="1"/>
  <c r="E60" i="184"/>
  <c r="N60" i="184" s="1"/>
  <c r="B7696" i="106"/>
  <c r="D7696" i="106" s="1"/>
  <c r="E66" i="184"/>
  <c r="N66" i="184" s="1"/>
  <c r="C342" i="29"/>
  <c r="B7216" i="106" s="1"/>
  <c r="D7216" i="106" s="1"/>
  <c r="B7705" i="106"/>
  <c r="D7705" i="106" s="1"/>
  <c r="E67" i="184"/>
  <c r="N6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1328" i="106" l="1"/>
  <c r="D1328" i="106" s="1"/>
  <c r="B1381" i="106"/>
  <c r="D1381" i="106" s="1"/>
  <c r="B6216" i="106"/>
  <c r="D6216" i="106" s="1"/>
  <c r="B5770" i="106"/>
  <c r="D5770" i="106" s="1"/>
  <c r="H19" i="184"/>
  <c r="L20" i="184" s="1"/>
  <c r="K342" i="29"/>
  <c r="F13" i="34" s="1"/>
  <c r="L16" i="11"/>
  <c r="B2061" i="106" s="1"/>
  <c r="D2061" i="106" s="1"/>
  <c r="B2031" i="106"/>
  <c r="D2031" i="106" s="1"/>
  <c r="F41" i="108"/>
  <c r="G43" i="108" s="1"/>
  <c r="H77" i="4"/>
  <c r="B3299" i="106" s="1"/>
  <c r="D3299" i="106" s="1"/>
  <c r="D44" i="36"/>
  <c r="B7220" i="106"/>
  <c r="D7220" i="106" s="1"/>
  <c r="F75" i="34"/>
  <c r="B7886" i="106" s="1"/>
  <c r="D7886" i="106" s="1"/>
  <c r="H151" i="29"/>
  <c r="B1273" i="106" s="1"/>
  <c r="D1273" i="106" s="1"/>
  <c r="L114" i="29"/>
  <c r="N57" i="184"/>
  <c r="N68" i="184" s="1"/>
  <c r="E68" i="184"/>
  <c r="K365" i="29"/>
  <c r="B7243" i="106" s="1"/>
  <c r="D7243" i="106" s="1"/>
  <c r="E367" i="29"/>
  <c r="B3636" i="106" s="1"/>
  <c r="D3636" i="106" s="1"/>
  <c r="B3635" i="106"/>
  <c r="B5527" i="106"/>
  <c r="D5527" i="106"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K367" i="29" l="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7" i="34" l="1"/>
  <c r="B7834" i="106" s="1"/>
  <c r="D7834" i="106" s="1"/>
  <c r="K17" i="4"/>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<sst xmlns="http://schemas.openxmlformats.org/spreadsheetml/2006/main" count="5262" uniqueCount="2128">
  <si>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</si>
  <si>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</si>
  <si>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</si>
  <si>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</si>
  <si>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</si>
  <si>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</si>
  <si>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</si>
  <si>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</si>
  <si>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</si>
  <si>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</si>
  <si>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</si>
  <si>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</si>
  <si>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</si>
  <si>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</si>
  <si>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</si>
  <si>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</si>
  <si>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</si>
  <si>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</si>
  <si>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</si>
  <si>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</si>
  <si>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</si>
  <si>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</si>
  <si>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</si>
  <si>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</si>
  <si>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</si>
  <si>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</si>
  <si>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</si>
  <si>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</si>
  <si>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</si>
  <si>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</si>
  <si>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</si>
  <si>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</si>
  <si>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</si>
  <si>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</si>
  <si>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</si>
  <si>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</si>
  <si>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</si>
  <si>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</si>
  <si>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</si>
  <si>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</si>
  <si>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</si>
  <si>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</si>
  <si>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</si>
  <si>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</si>
  <si>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</si>
  <si>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</si>
  <si>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</si>
  <si>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</si>
  <si>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</si>
  <si>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</si>
  <si>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</si>
  <si>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</si>
  <si>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</si>
  <si>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</si>
  <si>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</si>
  <si>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</si>
  <si>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</si>
  <si>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</si>
  <si>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</si>
  <si>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</si>
  <si>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</si>
  <si>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</si>
  <si>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</si>
  <si>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</si>
  <si>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</si>
  <si>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</si>
  <si>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</si>
  <si>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</si>
  <si>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</si>
  <si>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</si>
  <si>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</si>
  <si>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</si>
  <si>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</si>
  <si>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</si>
  <si>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</si>
  <si>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</si>
  <si>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</si>
  <si>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</si>
  <si>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</si>
  <si>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</si>
  <si>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</si>
  <si>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</si>
  <si>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</si>
  <si>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</si>
  <si>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</si>
  <si>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</si>
  <si>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</si>
  <si>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</si>
  <si>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</si>
  <si>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</si>
  <si>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</si>
  <si>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</si>
  <si>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</si>
  <si>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</si>
  <si>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</si>
  <si>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</si>
  <si>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</si>
  <si>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</si>
  <si>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</si>
  <si>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</si>
  <si>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</si>
  <si>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</si>
  <si>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</si>
  <si>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</si>
  <si>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</si>
  <si>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</si>
  <si>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</si>
  <si>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</si>
  <si>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</si>
  <si>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</si>
  <si>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</si>
  <si>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</si>
  <si>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</si>
  <si>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</si>
  <si>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</si>
  <si>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</si>
  <si>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</si>
  <si>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</si>
  <si>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</si>
  <si>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</si>
  <si>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</si>
  <si>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</si>
  <si>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</si>
  <si>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</si>
  <si>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</si>
  <si>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</si>
  <si>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</si>
  <si>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</si>
  <si>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</si>
  <si>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</si>
  <si>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</si>
  <si>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</si>
  <si>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</si>
  <si>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</si>
  <si>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</si>
  <si>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</si>
  <si>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</si>
  <si>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</si>
  <si>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</si>
  <si>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</si>
  <si>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</si>
  <si>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</si>
  <si>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</si>
  <si>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</si>
  <si>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</si>
  <si>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</si>
  <si>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</si>
  <si>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</si>
  <si>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</si>
  <si>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</si>
  <si>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</si>
  <si>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</si>
  <si>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</si>
  <si>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</si>
  <si>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</si>
  <si>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</si>
  <si>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</si>
  <si>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</si>
  <si>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</si>
  <si>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</si>
  <si>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</si>
  <si>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</si>
  <si>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</si>
  <si>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</si>
  <si>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</si>
  <si>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</si>
  <si>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</si>
  <si>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</si>
  <si>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</si>
  <si>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</si>
  <si>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</si>
  <si>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</si>
  <si>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</si>
  <si>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</si>
  <si>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</si>
  <si>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</si>
  <si>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</si>
  <si>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</si>
  <si>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</si>
  <si>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</si>
  <si>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</si>
  <si>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</si>
  <si>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</si>
  <si>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</si>
  <si>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</si>
  <si>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</si>
  <si>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</si>
  <si>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</si>
  <si>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</si>
  <si>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</si>
  <si>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</si>
  <si>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</si>
  <si>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</si>
  <si>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</si>
  <si>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</si>
  <si>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</si>
  <si>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</si>
  <si>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</si>
  <si>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</si>
  <si>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</si>
  <si>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</si>
  <si>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</si>
  <si>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</si>
  <si>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</si>
  <si>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</si>
  <si>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</si>
  <si>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</si>
  <si>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</si>
  <si>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</si>
  <si>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</si>
  <si>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</si>
  <si>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</si>
  <si>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</si>
  <si>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</si>
  <si>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</si>
  <si>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</si>
  <si>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</si>
  <si>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</si>
  <si>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</si>
  <si>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</si>
  <si>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</si>
  <si>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</si>
  <si>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</si>
  <si>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</si>
  <si>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</si>
  <si>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</si>
  <si>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</si>
  <si>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</si>
  <si>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</si>
  <si>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</si>
  <si>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</si>
  <si>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</si>
  <si>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</si>
  <si>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</si>
  <si>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</si>
  <si>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</si>
  <si>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</si>
  <si>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</si>
  <si>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</si>
  <si>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</si>
  <si>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</si>
  <si>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</si>
  <si>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</si>
  <si>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</si>
  <si>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</si>
  <si>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</si>
  <si>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</si>
  <si>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</si>
  <si>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</si>
  <si>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</si>
  <si>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</si>
  <si>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</si>
  <si>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</si>
  <si>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</si>
  <si>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</si>
  <si>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</si>
  <si>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</si>
  <si>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</si>
  <si>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</si>
  <si>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</si>
  <si>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</si>
  <si>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</si>
  <si>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</si>
  <si>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</si>
  <si>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</si>
  <si>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</si>
  <si>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</si>
  <si>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</si>
  <si>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</si>
  <si>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</si>
  <si>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</si>
  <si>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</si>
  <si>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</si>
  <si>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</si>
  <si>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</si>
  <si>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</si>
  <si>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</si>
  <si>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</si>
  <si>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</si>
  <si>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</si>
  <si>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</si>
  <si>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</si>
  <si>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</si>
  <si>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</si>
  <si>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</si>
  <si>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</si>
  <si>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</si>
  <si>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</si>
  <si>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</si>
  <si>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</si>
  <si>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</si>
  <si>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</si>
  <si>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</si>
  <si>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</si>
  <si>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</si>
  <si>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</si>
  <si>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</si>
  <si>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</si>
  <si>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</si>
  <si>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</si>
  <si>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</si>
  <si>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</si>
  <si>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</si>
  <si>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</si>
  <si>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</si>
  <si>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</si>
  <si>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</si>
  <si>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</si>
  <si>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</si>
  <si>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</si>
  <si>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</si>
  <si>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</si>
  <si>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</si>
  <si>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</si>
  <si>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</si>
  <si>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</si>
  <si>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</si>
  <si>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</si>
  <si>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</si>
  <si>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</si>
  <si>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</si>
  <si>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</si>
  <si>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</si>
  <si>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</si>
  <si>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</si>
  <si>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</si>
  <si>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</si>
  <si>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</si>
  <si>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</si>
  <si>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</si>
  <si>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</si>
  <si>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</si>
  <si>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</si>
  <si>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</si>
  <si>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</si>
  <si>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</si>
  <si>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</si>
  <si>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</si>
  <si>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</si>
  <si>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</si>
  <si>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</si>
  <si>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</si>
  <si>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</si>
  <si>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</si>
  <si>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</si>
  <si>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</si>
  <si>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</si>
  <si>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</si>
  <si>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</si>
  <si>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</si>
  <si>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</si>
  <si>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</si>
  <si>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</si>
  <si>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</si>
  <si>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</si>
  <si>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</si>
  <si>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</si>
  <si>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</si>
  <si>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</si>
  <si>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</si>
  <si>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</si>
  <si>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</si>
  <si>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</si>
  <si>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</si>
  <si>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</si>
  <si>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</si>
  <si>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</si>
  <si>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</si>
  <si>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</si>
  <si>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</si>
  <si>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</si>
  <si>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</si>
  <si>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</si>
  <si>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</si>
  <si>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</si>
  <si>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</si>
  <si>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</si>
  <si>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</si>
  <si>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</si>
  <si>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</si>
  <si>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</si>
  <si>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</si>
  <si>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</si>
  <si>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</si>
  <si>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</si>
  <si>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</si>
  <si>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</si>
  <si>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</si>
  <si>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</si>
  <si>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</si>
  <si>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</si>
  <si>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</si>
  <si>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</si>
  <si>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</si>
  <si>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</si>
  <si>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</si>
  <si>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</si>
  <si>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</si>
  <si>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</si>
  <si>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</si>
  <si>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</si>
  <si>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</si>
  <si>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</si>
  <si>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</si>
  <si>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</si>
  <si>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</si>
  <si>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</si>
  <si>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</si>
  <si>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</si>
  <si>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</si>
  <si>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</si>
  <si>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</si>
  <si>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</si>
  <si>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</si>
  <si>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</si>
  <si>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</si>
  <si>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</si>
  <si>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</si>
  <si>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</si>
  <si>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</si>
  <si>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</si>
  <si>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</si>
  <si>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</si>
  <si>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</si>
  <si>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</si>
  <si>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</si>
  <si>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</si>
  <si>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</si>
  <si>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</si>
  <si>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</si>
  <si>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</si>
  <si>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</si>
  <si>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</si>
  <si>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</si>
  <si>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</si>
  <si>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</si>
  <si>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</si>
  <si>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</si>
  <si>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</si>
  <si>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</si>
  <si>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</si>
  <si>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</si>
  <si>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</si>
  <si>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</si>
  <si>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</si>
  <si>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</si>
  <si>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</si>
  <si>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</si>
  <si>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</si>
  <si>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</si>
  <si>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</si>
  <si>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</si>
  <si>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</si>
  <si>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</si>
  <si>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</si>
  <si>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</si>
  <si>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</si>
  <si>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</si>
  <si>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</si>
  <si>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</si>
  <si>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</si>
  <si>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</si>
  <si>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</si>
  <si>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</si>
  <si>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</si>
  <si>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</si>
  <si>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</si>
  <si>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</si>
  <si>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</si>
  <si>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</si>
  <si>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</si>
  <si>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</si>
  <si>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</si>
  <si>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</si>
  <si>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</si>
  <si>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</si>
  <si>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</si>
  <si>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</si>
  <si>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</si>
  <si>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</si>
  <si>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</si>
  <si>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</si>
  <si>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</si>
  <si>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</si>
  <si>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</si>
  <si>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</si>
  <si>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</si>
  <si>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</si>
  <si>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</si>
  <si>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</si>
  <si>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</si>
  <si>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</si>
  <si>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</si>
  <si>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</si>
  <si>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</si>
  <si>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</si>
  <si>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</si>
  <si>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</si>
  <si>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</si>
  <si>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</si>
  <si>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</si>
  <si>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</si>
  <si>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</si>
  <si>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</si>
  <si>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</si>
  <si>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</si>
  <si>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</si>
  <si>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</si>
  <si>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</si>
  <si>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</si>
  <si>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</si>
  <si>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</si>
  <si>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</si>
  <si>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</si>
  <si>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</si>
  <si>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</si>
  <si>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</si>
  <si>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</si>
  <si>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</si>
  <si>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</si>
  <si>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</si>
  <si>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</si>
  <si>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</si>
  <si>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</si>
  <si>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</si>
  <si>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</si>
  <si>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</si>
  <si>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</si>
  <si>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</si>
  <si>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</si>
  <si>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</si>
  <si>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</si>
  <si>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</si>
  <si>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</si>
  <si>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</si>
  <si>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</si>
  <si>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</si>
  <si>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</si>
  <si>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</si>
  <si>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</si>
  <si>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</si>
  <si>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</si>
  <si>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</si>
  <si>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</si>
  <si>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</si>
  <si>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</si>
  <si>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</si>
  <si>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</si>
  <si>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</si>
  <si>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</si>
  <si>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</si>
  <si>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</si>
  <si>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</si>
  <si>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</si>
  <si>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</si>
  <si>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</si>
  <si>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</si>
  <si>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</si>
  <si>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</si>
  <si>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</si>
  <si>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</si>
  <si>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</si>
  <si>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</si>
  <si>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</si>
  <si>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</si>
  <si>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</si>
  <si>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</si>
  <si>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</si>
  <si>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</si>
  <si>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</si>
  <si>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</si>
  <si>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</si>
  <si>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</si>
  <si>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</si>
  <si>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</si>
  <si>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</si>
  <si>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</si>
  <si>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</si>
  <si>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</si>
  <si>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</si>
  <si>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</si>
  <si>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</si>
  <si>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</si>
  <si>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</si>
  <si>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</si>
  <si>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</si>
  <si>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</si>
  <si>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</si>
  <si>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</si>
  <si>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</si>
  <si>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</si>
  <si>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</si>
  <si>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</si>
  <si>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</si>
  <si>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</si>
  <si>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</si>
  <si>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</si>
  <si>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</si>
  <si>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</si>
  <si>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</si>
  <si>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</si>
  <si>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</si>
  <si>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</si>
  <si>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</si>
  <si>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</si>
  <si>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</si>
  <si>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</si>
  <si>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</si>
  <si>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</si>
  <si>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</si>
  <si>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</si>
  <si>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</si>
  <si>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</si>
  <si>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</si>
  <si>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</si>
  <si>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</si>
  <si>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</si>
  <si>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</si>
  <si>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</si>
  <si>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</si>
  <si>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</si>
  <si>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</si>
  <si>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</si>
  <si>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</si>
  <si>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</si>
  <si>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</si>
  <si>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</si>
  <si>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</si>
  <si>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</si>
  <si>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</si>
  <si>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</si>
  <si>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</si>
  <si>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</si>
  <si>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</si>
  <si>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</si>
  <si>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</si>
  <si>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</si>
  <si>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</si>
  <si>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</si>
  <si>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</si>
  <si>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</si>
  <si>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</si>
  <si>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</si>
  <si>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</si>
  <si>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</si>
  <si>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</si>
  <si>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</si>
  <si>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</si>
  <si>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</si>
  <si>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</si>
  <si>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</si>
  <si>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</si>
  <si>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</si>
  <si>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</si>
  <si>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</si>
  <si>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</si>
  <si>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</si>
  <si>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</si>
  <si>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</si>
  <si>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</si>
  <si>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</si>
  <si>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</si>
  <si>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</si>
  <si>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</si>
  <si>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</si>
  <si>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</si>
  <si>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</si>
  <si>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</si>
  <si>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</si>
  <si>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</si>
  <si>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</si>
  <si>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</si>
  <si>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</si>
  <si>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</si>
  <si>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</si>
  <si>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</si>
  <si>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</si>
  <si>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</si>
  <si>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</si>
  <si>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</si>
  <si>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</si>
  <si>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</si>
  <si>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</si>
  <si>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</si>
  <si>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</si>
  <si>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</si>
  <si>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</si>
  <si>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</si>
  <si>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</si>
  <si>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</si>
  <si>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</si>
  <si>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</si>
  <si>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</si>
  <si>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</si>
  <si>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</si>
  <si>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</si>
  <si>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</si>
  <si>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</si>
  <si>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</si>
  <si>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</si>
  <si>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</si>
  <si>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</si>
  <si>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</si>
  <si>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</si>
  <si>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</si>
  <si>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</si>
  <si>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</si>
  <si>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</si>
  <si>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</si>
  <si>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</si>
  <si>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</si>
  <si>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</si>
  <si>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</si>
  <si>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</si>
  <si>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</si>
  <si>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</si>
  <si>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</si>
  <si>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</si>
  <si>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</si>
  <si>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</si>
  <si>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</si>
  <si>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</si>
  <si>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</si>
  <si>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</si>
  <si>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</si>
  <si>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</si>
  <si>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</si>
  <si>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</si>
  <si>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</si>
  <si>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</si>
  <si>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</si>
  <si>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</si>
  <si>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</si>
  <si>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</si>
  <si>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</si>
  <si>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</si>
  <si>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</si>
  <si>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</si>
  <si>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</si>
  <si>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</si>
  <si>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</si>
  <si>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</si>
  <si>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</si>
  <si>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</si>
  <si>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</si>
  <si>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</si>
  <si>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</si>
  <si>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</si>
  <si>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</si>
  <si>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</si>
  <si>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</si>
  <si>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</si>
  <si>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</si>
  <si>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</si>
  <si>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</si>
  <si>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</si>
  <si>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</si>
  <si>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</si>
  <si>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</si>
  <si>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</si>
  <si>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</si>
  <si>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</si>
  <si>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</si>
  <si>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</si>
  <si>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</si>
  <si>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</si>
  <si>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</si>
  <si>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</si>
  <si>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</si>
  <si>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</si>
  <si>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</si>
  <si>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</si>
  <si>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</si>
  <si>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</si>
  <si>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</si>
  <si>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</si>
  <si>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</si>
  <si>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</si>
  <si>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</si>
  <si>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</si>
  <si>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</si>
  <si>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</si>
  <si>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</si>
  <si>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</si>
  <si>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</si>
  <si>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</si>
  <si>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</si>
  <si>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</si>
  <si>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</si>
  <si>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</si>
  <si>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</si>
  <si>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</si>
  <si>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</si>
  <si>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</si>
  <si>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</si>
  <si>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</si>
  <si>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</si>
  <si>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</si>
  <si>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</si>
  <si>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</si>
  <si>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</si>
  <si>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</si>
  <si>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</si>
  <si>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</si>
  <si>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</si>
  <si>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</si>
  <si>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</si>
  <si>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</si>
  <si>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</si>
  <si>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</si>
  <si>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</si>
  <si>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</si>
  <si>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</si>
  <si>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</si>
  <si>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</si>
  <si>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</si>
  <si>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</si>
  <si>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</si>
  <si>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</si>
  <si>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</si>
  <si>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</si>
  <si>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</si>
  <si>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</si>
  <si>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</si>
  <si>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</si>
  <si>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</si>
  <si>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</si>
  <si>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</si>
  <si>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</si>
  <si>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</si>
  <si>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</si>
  <si>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</si>
  <si>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</si>
  <si>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</si>
  <si>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</si>
  <si>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</si>
  <si>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</si>
  <si>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</si>
  <si>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</si>
  <si>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</si>
  <si>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</si>
  <si>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</si>
  <si>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</si>
  <si>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</si>
  <si>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</si>
  <si>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</si>
  <si>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</si>
  <si>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</si>
  <si>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</si>
  <si>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</si>
  <si>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</si>
  <si>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</si>
  <si>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</si>
  <si>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</si>
  <si>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</si>
  <si>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</si>
  <si>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</si>
  <si>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</si>
  <si>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</si>
  <si>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</si>
  <si>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</si>
  <si>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</si>
  <si>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</si>
  <si>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</si>
  <si>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</si>
  <si>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</si>
  <si>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</si>
  <si>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</si>
  <si>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</si>
  <si>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</si>
  <si>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</si>
  <si>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</si>
  <si>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</si>
  <si>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</si>
  <si>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</si>
  <si>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</si>
  <si>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</si>
  <si>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</si>
  <si>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</si>
  <si>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</si>
  <si>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</si>
  <si>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</si>
  <si>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</si>
  <si>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</si>
  <si>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</si>
  <si>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</si>
  <si>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</si>
  <si>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</si>
  <si>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</si>
  <si>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</si>
  <si>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</si>
  <si>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</si>
  <si>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</si>
  <si>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</si>
  <si>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</si>
  <si>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</si>
  <si>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</si>
  <si>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</si>
  <si>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</si>
  <si>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</si>
  <si>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</si>
  <si>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</si>
  <si>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</si>
  <si>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</si>
  <si>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</si>
  <si>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</si>
  <si>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</si>
  <si>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</si>
  <si>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</si>
  <si>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</si>
  <si>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</si>
  <si>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</si>
  <si>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</si>
  <si>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</si>
  <si>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</si>
  <si>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</si>
  <si>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</si>
  <si>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</si>
  <si>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</si>
  <si>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</si>
  <si>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</si>
  <si>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</si>
  <si>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</si>
  <si>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</si>
  <si>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</si>
  <si>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</si>
  <si>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</si>
  <si>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</si>
  <si>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</si>
  <si>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</si>
  <si>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</si>
  <si>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</si>
  <si>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</si>
  <si>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</si>
  <si>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</si>
  <si>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</si>
  <si>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</si>
  <si>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</si>
  <si>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</si>
  <si>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</si>
  <si>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</si>
  <si>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</si>
  <si>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</si>
  <si>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</si>
  <si>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</si>
  <si>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</si>
  <si>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</si>
  <si>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</si>
  <si>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</si>
  <si>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</si>
  <si>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</si>
  <si>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</si>
  <si>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</si>
  <si>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</si>
  <si>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</si>
  <si>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</si>
  <si>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</si>
  <si>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</si>
  <si>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</si>
  <si>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</si>
  <si>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</si>
  <si>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</si>
  <si>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</si>
  <si>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</si>
  <si>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</si>
  <si>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</si>
  <si>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</si>
  <si>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</si>
  <si>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</si>
  <si>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</si>
  <si>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</si>
  <si>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</si>
  <si>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</si>
  <si>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</si>
  <si>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</si>
  <si>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</si>
  <si>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</si>
  <si>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</si>
  <si>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</si>
  <si>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</si>
  <si>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</si>
  <si>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</si>
  <si>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</si>
  <si>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</si>
  <si>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</si>
  <si>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</si>
  <si>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</si>
  <si>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</si>
  <si>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</si>
  <si>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</si>
  <si>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</si>
  <si>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</si>
  <si>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</si>
  <si>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</si>
  <si>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</si>
  <si>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</si>
  <si>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</si>
  <si>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</si>
  <si>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</si>
  <si>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</si>
  <si>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</si>
  <si>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</si>
  <si>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</si>
  <si>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</si>
  <si>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</si>
  <si>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</si>
  <si>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</si>
  <si>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</si>
  <si>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</si>
  <si>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</si>
  <si>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</si>
  <si>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</si>
  <si>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</si>
  <si>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</si>
  <si>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</si>
  <si>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</si>
  <si>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</si>
  <si>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</si>
  <si>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</si>
  <si>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</si>
  <si>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</si>
  <si>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</si>
  <si>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</si>
  <si>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</si>
  <si>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</si>
  <si>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</si>
  <si>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</si>
  <si>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</si>
  <si>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</si>
  <si>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</si>
  <si>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</si>
  <si>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</si>
  <si>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</si>
  <si>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</si>
  <si>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</si>
  <si>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</si>
  <si>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</si>
  <si>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</si>
  <si>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</si>
  <si>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</si>
  <si>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</si>
  <si>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</si>
  <si>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</si>
  <si>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</si>
  <si>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</si>
  <si>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</si>
  <si>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</si>
  <si>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</si>
  <si>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</si>
  <si>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</si>
  <si>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</si>
  <si>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</si>
  <si>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</si>
  <si>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</si>
  <si>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</si>
  <si>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</si>
  <si>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</si>
  <si>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</si>
  <si>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</si>
  <si>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</si>
  <si>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</si>
  <si>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</si>
  <si>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</si>
  <si>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</si>
  <si>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</si>
  <si>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</si>
  <si>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</si>
  <si>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</si>
  <si>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</si>
  <si>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</si>
  <si>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</si>
  <si>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</si>
  <si>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</si>
  <si>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</si>
  <si>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</si>
  <si>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</si>
  <si>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</si>
  <si>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</si>
  <si>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</si>
  <si>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</si>
  <si>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</si>
  <si>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</si>
  <si>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</si>
  <si>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</si>
  <si>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</si>
  <si>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</si>
  <si>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</si>
  <si>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</si>
  <si>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</si>
  <si>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</si>
  <si>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</si>
  <si>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</si>
  <si>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</si>
  <si>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</si>
  <si>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</si>
  <si>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</si>
  <si>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</si>
  <si>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</si>
  <si>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</si>
  <si>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</si>
  <si>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</si>
  <si>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</si>
  <si>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</si>
  <si>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</si>
  <si>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</si>
  <si>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</si>
  <si>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</si>
  <si>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</si>
  <si>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</si>
  <si>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</si>
  <si>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</si>
  <si>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</si>
  <si>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</si>
  <si>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</si>
  <si>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</si>
  <si>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</si>
  <si>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</si>
  <si>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</si>
  <si>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</si>
  <si>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</si>
  <si>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</si>
  <si>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</si>
  <si>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</si>
  <si>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</si>
  <si>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</si>
  <si>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</si>
  <si>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</si>
  <si>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</si>
  <si>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</si>
  <si>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</si>
  <si>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</si>
  <si>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</si>
  <si>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</si>
  <si>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</si>
  <si>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</si>
  <si>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</si>
  <si>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</si>
  <si>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</si>
  <si>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</si>
  <si>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</si>
  <si>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</si>
  <si>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</si>
  <si>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</si>
  <si>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</si>
  <si>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</si>
  <si>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</si>
  <si>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</si>
  <si>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</si>
  <si>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</si>
  <si>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</si>
  <si>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</si>
  <si>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</si>
  <si>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</si>
  <si>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</si>
  <si>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</si>
  <si>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</si>
  <si>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</si>
  <si>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</si>
  <si>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</si>
  <si>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</si>
  <si>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</si>
  <si>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</si>
  <si>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</si>
  <si>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</si>
  <si>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</si>
  <si>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</si>
  <si>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</si>
  <si>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</si>
  <si>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</si>
  <si>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</si>
  <si>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</si>
  <si>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</si>
  <si>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</si>
  <si>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</si>
  <si>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</si>
  <si>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</si>
  <si>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</si>
  <si>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</si>
  <si>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</si>
  <si>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</si>
  <si>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</si>
  <si>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</si>
  <si>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</si>
  <si>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</si>
  <si>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</si>
  <si>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</si>
  <si>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</si>
  <si>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</si>
  <si>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</si>
  <si>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</si>
  <si>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</si>
  <si>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</si>
  <si>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</si>
  <si>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</si>
  <si>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</si>
  <si>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</si>
  <si>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</si>
  <si>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</si>
  <si>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</si>
  <si>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</si>
  <si>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</si>
  <si>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</si>
  <si>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</si>
  <si>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</si>
  <si>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</si>
  <si>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</si>
  <si>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</si>
  <si>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</si>
  <si>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</si>
  <si>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</si>
  <si>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</si>
  <si>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</si>
  <si>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</si>
  <si>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</si>
  <si>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</si>
  <si>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</si>
  <si>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</si>
  <si>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</si>
  <si>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</si>
  <si>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</si>
  <si>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</si>
  <si>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</si>
  <si>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</si>
  <si>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</si>
  <si>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</si>
  <si>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</si>
  <si>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</si>
  <si>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</si>
  <si>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</si>
  <si>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</si>
  <si>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</si>
  <si>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</si>
  <si>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</si>
  <si>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</si>
  <si>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</si>
  <si>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</si>
  <si>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</si>
  <si>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</si>
  <si>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</si>
  <si>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</si>
  <si>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</si>
  <si>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</si>
  <si>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</si>
  <si>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</si>
  <si>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</si>
  <si>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</si>
  <si>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</si>
  <si>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</si>
  <si>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</si>
  <si>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</si>
  <si>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</si>
  <si>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</si>
  <si>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</si>
  <si>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</si>
  <si>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</si>
  <si>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</si>
  <si>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</si>
  <si>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</si>
  <si>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</si>
  <si>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</si>
  <si>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</si>
  <si>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</si>
  <si>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</si>
  <si>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</si>
  <si>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</si>
  <si>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</si>
  <si>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</si>
  <si>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</si>
  <si>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</si>
  <si>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</si>
  <si>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</si>
  <si>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</si>
  <si>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</si>
  <si>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</si>
  <si>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</si>
  <si>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</si>
  <si>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</si>
  <si>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</si>
  <si>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</si>
  <si>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</si>
  <si>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</si>
  <si>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</si>
  <si>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</si>
  <si>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</si>
  <si>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</si>
  <si>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</si>
  <si>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</si>
  <si>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</si>
  <si>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</si>
  <si>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</si>
  <si>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</si>
  <si>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</si>
  <si>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</si>
  <si>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</si>
  <si>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</si>
  <si>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</si>
  <si>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</si>
  <si>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</si>
  <si>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</si>
  <si>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</si>
  <si>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</si>
  <si>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</si>
  <si>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</si>
  <si>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</si>
  <si>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</si>
  <si>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</si>
  <si>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</si>
  <si>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</si>
  <si>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</si>
  <si>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</si>
  <si>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</si>
  <si>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</si>
  <si>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</si>
  <si>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</si>
  <si>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</si>
  <si>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</si>
  <si>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</si>
  <si>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</si>
  <si>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</si>
  <si>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</si>
  <si>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</si>
  <si>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</si>
  <si>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</si>
  <si>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</si>
  <si>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</si>
  <si>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</si>
  <si>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</si>
  <si>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</si>
  <si>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</si>
  <si>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</si>
  <si>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</si>
  <si>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</si>
  <si>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</si>
  <si>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</si>
  <si>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</si>
  <si>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</si>
  <si>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</si>
  <si>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</si>
  <si>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</si>
  <si>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</si>
  <si>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</si>
  <si>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</si>
  <si>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</si>
  <si>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</si>
  <si>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</si>
  <si>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</si>
  <si>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</si>
  <si>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</si>
  <si>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</si>
  <si>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</si>
  <si>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</si>
  <si>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</si>
  <si>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</si>
  <si>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</si>
  <si>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</si>
  <si>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</si>
  <si>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</si>
  <si>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</si>
  <si>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</si>
  <si>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</si>
  <si>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</si>
  <si>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</si>
  <si>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</si>
  <si>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</si>
  <si>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</si>
  <si>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</si>
  <si>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</si>
  <si>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</si>
  <si>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</si>
  <si>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</si>
  <si>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</si>
  <si>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</si>
  <si>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</si>
  <si>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</si>
  <si>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</si>
  <si>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</si>
  <si>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</si>
  <si>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</si>
  <si>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</si>
  <si>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</si>
  <si>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</si>
  <si>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</si>
  <si>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</si>
  <si>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</si>
  <si>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</si>
  <si>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</si>
  <si>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</si>
  <si>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</si>
  <si>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</si>
  <si>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</si>
  <si>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</si>
  <si>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</si>
  <si>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</si>
  <si>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</si>
  <si>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</si>
  <si>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</si>
  <si>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</si>
  <si>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</si>
  <si>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</si>
  <si>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</si>
  <si>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</si>
  <si>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</si>
  <si>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</si>
  <si>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</si>
  <si>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</si>
  <si>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</si>
  <si>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</si>
  <si>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</si>
  <si>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</si>
  <si>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</si>
  <si>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</si>
  <si>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</si>
  <si>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</si>
  <si>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</si>
  <si>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</si>
  <si>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</si>
  <si>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</si>
  <si>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</si>
  <si>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</si>
  <si>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</si>
  <si>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</si>
  <si>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</si>
  <si>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</si>
  <si>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</si>
  <si>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</si>
  <si>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</si>
  <si>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</si>
  <si>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</si>
  <si>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</si>
  <si>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</si>
  <si>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</si>
  <si>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</si>
  <si>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</si>
  <si>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</si>
  <si>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</si>
  <si>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</si>
  <si>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</si>
  <si>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</si>
  <si>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</si>
  <si>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</si>
  <si>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</si>
  <si>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</si>
  <si>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</si>
  <si>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</si>
  <si>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</si>
  <si>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</si>
  <si>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</si>
  <si>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</si>
  <si>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</si>
  <si>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</si>
  <si>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</si>
  <si>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</si>
  <si>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</si>
  <si>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</si>
  <si>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</si>
  <si>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</si>
  <si>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</si>
  <si>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</si>
  <si>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</si>
  <si>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</si>
  <si>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</si>
  <si>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</si>
  <si>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</si>
  <si>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</si>
  <si>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</si>
  <si>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</si>
  <si>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</si>
  <si>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</si>
  <si>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</si>
  <si>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</si>
  <si>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</si>
  <si>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</si>
  <si>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</si>
  <si>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</si>
  <si>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</si>
  <si>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</si>
  <si>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</si>
  <si>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</si>
  <si>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</si>
  <si>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</si>
  <si>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</si>
  <si>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</si>
  <si>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</si>
  <si>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</si>
  <si>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</si>
  <si>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</si>
  <si>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</si>
  <si>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</si>
  <si>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</si>
  <si>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</si>
  <si>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</si>
  <si>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</si>
  <si>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</si>
  <si>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</si>
  <si>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</si>
  <si>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</si>
  <si>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</si>
  <si>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</si>
  <si>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</si>
  <si>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</si>
  <si>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</si>
  <si>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</si>
  <si>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</si>
  <si>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</si>
  <si>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</si>
  <si>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</si>
  <si>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</si>
  <si>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</si>
  <si>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</si>
  <si>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</si>
  <si>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</si>
  <si>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</si>
  <si>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</si>
  <si>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</si>
  <si>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</si>
  <si>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</si>
  <si>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</si>
  <si>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</si>
  <si>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</si>
  <si>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</si>
  <si>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</si>
  <si>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</si>
  <si>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</si>
  <si>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</si>
  <si>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</si>
  <si>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</si>
  <si>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</si>
  <si>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</si>
  <si>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</si>
  <si>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</si>
  <si>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</si>
  <si>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</si>
  <si>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</si>
  <si>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</si>
  <si>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</si>
  <si>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</si>
  <si>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</si>
  <si>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</si>
  <si>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</si>
  <si>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</si>
  <si>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</si>
  <si>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</si>
  <si>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</si>
  <si>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</si>
  <si>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</si>
  <si>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</si>
  <si>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</si>
  <si>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</si>
  <si>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</si>
  <si>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</si>
  <si>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</si>
  <si>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</si>
  <si>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</si>
  <si>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</si>
  <si>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</si>
  <si>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</si>
  <si>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</si>
  <si>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</si>
  <si>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</si>
  <si>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</si>
  <si>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</si>
  <si>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</si>
  <si>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</si>
  <si>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</si>
  <si>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</si>
  <si>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</si>
  <si>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</si>
  <si>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</si>
  <si>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</si>
  <si>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</si>
  <si>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</si>
  <si>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</si>
  <si>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</si>
  <si>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</si>
  <si>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</si>
  <si>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</si>
  <si>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</si>
  <si>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</si>
  <si>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</si>
  <si>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</si>
  <si>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</si>
  <si>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</si>
  <si>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</si>
  <si>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</si>
  <si>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</si>
  <si>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</si>
  <si>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</si>
  <si>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</si>
  <si>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</si>
  <si>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</si>
  <si>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</si>
  <si>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</si>
  <si>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</si>
  <si>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</si>
  <si>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</si>
  <si>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</si>
  <si>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</si>
  <si>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</si>
  <si>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</si>
  <si>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</si>
  <si>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</si>
  <si>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</si>
  <si>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</si>
  <si>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</si>
  <si>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</si>
  <si>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</si>
  <si>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</si>
  <si>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</si>
  <si>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</si>
  <si>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</si>
  <si>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</si>
  <si>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</si>
  <si>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</si>
  <si>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</si>
  <si>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</si>
  <si>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</si>
  <si>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</si>
  <si>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</si>
  <si>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</si>
  <si>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</si>
  <si>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</si>
  <si>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</si>
  <si>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</si>
  <si>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</si>
  <si>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</si>
  <si>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</si>
  <si>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</si>
  <si>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</si>
  <si>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</si>
  <si>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</si>
  <si>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</si>
  <si>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</si>
  <si>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</si>
  <si>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</si>
  <si>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</si>
  <si>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</si>
  <si>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</si>
  <si>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</si>
  <si>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</si>
  <si>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</si>
  <si>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</si>
  <si>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</si>
  <si>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</si>
  <si>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</si>
  <si>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</si>
  <si>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</si>
  <si>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</si>
  <si>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</si>
  <si>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</si>
  <si>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</si>
  <si>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</si>
  <si>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</si>
  <si>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</si>
  <si>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</si>
  <si>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</si>
  <si>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</si>
  <si>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</si>
  <si>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</si>
  <si>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</si>
  <si>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</si>
  <si>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</si>
  <si>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</si>
  <si>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</si>
  <si>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</si>
  <si>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</si>
  <si>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</si>
  <si>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</si>
  <si>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</si>
  <si>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</si>
  <si>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</si>
  <si>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</si>
  <si>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</si>
  <si>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</si>
  <si>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</si>
  <si>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</si>
  <si>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</si>
  <si>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</si>
  <si>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</si>
  <si>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</si>
  <si>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</si>
  <si>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</si>
  <si>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</si>
  <si>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</si>
  <si>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</si>
  <si>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</si>
  <si>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</si>
  <si>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</si>
  <si>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</si>
  <si>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</si>
  <si>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</si>
  <si>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</si>
  <si>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</si>
  <si>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</si>
  <si>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</si>
  <si>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</si>
  <si>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</si>
  <si>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</si>
  <si>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</si>
  <si>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</si>
  <si>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</si>
  <si>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</si>
  <si>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</si>
  <si>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</si>
  <si>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</si>
  <si>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</si>
  <si>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</si>
  <si>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</si>
  <si>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</si>
  <si>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</si>
  <si>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</si>
  <si>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</si>
  <si>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</si>
  <si>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</si>
  <si>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</si>
  <si>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</si>
  <si>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</si>
  <si>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</si>
  <si>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</si>
  <si>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</si>
  <si>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</si>
  <si>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</si>
  <si>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</si>
  <si>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</si>
  <si>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</si>
  <si>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</si>
  <si>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</si>
  <si>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</si>
  <si>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</si>
  <si>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</si>
  <si>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</si>
  <si>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</si>
  <si>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</si>
  <si>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</si>
  <si>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</si>
  <si>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</si>
  <si>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</si>
  <si>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</si>
  <si>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</si>
  <si>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</si>
  <si>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</si>
  <si>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</si>
  <si>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</si>
  <si>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</si>
  <si>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</si>
  <si>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</si>
  <si>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</si>
  <si>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</si>
  <si>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</si>
  <si>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</si>
  <si>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</si>
  <si>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</si>
  <si>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</si>
  <si>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</si>
  <si>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</si>
  <si>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</si>
  <si>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</si>
  <si>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</si>
  <si>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</si>
  <si>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</si>
  <si>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</si>
  <si>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</si>
  <si>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</si>
  <si>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</si>
  <si>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</si>
  <si>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</si>
  <si>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</si>
  <si>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</si>
  <si>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</si>
  <si>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</si>
  <si>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</si>
  <si>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</si>
  <si>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</si>
  <si>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</si>
  <si>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</si>
  <si>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</si>
  <si>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</si>
  <si>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</si>
  <si>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</si>
  <si>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</si>
  <si>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</si>
  <si>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</si>
  <si>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</si>
  <si>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</si>
  <si>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</si>
  <si>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</si>
  <si>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</si>
  <si>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</si>
  <si>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</si>
  <si>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</si>
  <si>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</si>
  <si>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</si>
  <si>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</si>
  <si>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</si>
  <si>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</si>
  <si>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</si>
  <si>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</si>
  <si>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</si>
  <si>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</si>
  <si>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</si>
  <si>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</si>
  <si>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</si>
  <si>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</si>
  <si>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</si>
  <si>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</si>
  <si>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</si>
  <si>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</si>
  <si>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</si>
  <si>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</si>
  <si>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</si>
  <si>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</si>
  <si>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</si>
  <si>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</si>
  <si>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</si>
  <si>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</si>
  <si>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</si>
  <si>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</si>
  <si>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</si>
  <si>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</si>
  <si>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</si>
  <si>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</si>
  <si>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</si>
  <si>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</si>
  <si>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</si>
  <si>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</si>
  <si>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</si>
  <si>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</si>
  <si>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</si>
  <si>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</si>
  <si>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</si>
  <si>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</si>
  <si>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</si>
  <si>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</si>
  <si>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</si>
  <si>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</si>
  <si>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</si>
  <si>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</si>
  <si>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</si>
  <si>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</si>
  <si>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</si>
  <si>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</si>
  <si>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</si>
  <si>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</si>
  <si>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</si>
  <si>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</si>
  <si>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</si>
  <si>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</si>
  <si>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</si>
  <si>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</si>
  <si>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</si>
  <si>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</si>
  <si>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</si>
  <si>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</si>
  <si>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</si>
  <si>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</si>
  <si>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</si>
  <si>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</si>
  <si>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</si>
  <si>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</si>
  <si>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</si>
  <si>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</si>
  <si>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</si>
  <si>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</si>
  <si>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</si>
  <si>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</si>
  <si>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</si>
  <si>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</si>
  <si>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</si>
  <si>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</si>
  <si>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</si>
  <si>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</si>
  <si>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</si>
  <si>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</si>
  <si>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</si>
  <si>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</si>
  <si>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</si>
  <si>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</si>
  <si>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</si>
  <si>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</si>
  <si>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</si>
  <si>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</si>
  <si>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</si>
  <si>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</si>
  <si>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</si>
  <si>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</si>
  <si>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</si>
  <si>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</si>
  <si>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</si>
  <si>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</si>
  <si>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</si>
  <si>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</si>
  <si>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</si>
  <si>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</si>
  <si>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</si>
  <si>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</si>
  <si>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</si>
  <si>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</si>
  <si>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</si>
  <si>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</si>
  <si>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</si>
  <si>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</si>
  <si>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</si>
  <si>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</si>
  <si>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</si>
  <si>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</si>
  <si>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</si>
  <si>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</si>
  <si>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</si>
  <si>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</si>
  <si>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</si>
  <si>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</si>
  <si>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</si>
  <si>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</si>
  <si>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</si>
  <si>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</si>
  <si>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</si>
  <si>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</si>
  <si>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</si>
  <si>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</si>
  <si>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</si>
  <si>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</si>
  <si>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</si>
  <si>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</si>
  <si>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</si>
  <si>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</si>
  <si>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</si>
  <si>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</si>
  <si>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</si>
  <si>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</si>
  <si>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</si>
  <si>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</si>
  <si>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</si>
  <si>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</si>
  <si>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</si>
  <si>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</si>
  <si>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</si>
  <si>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</si>
  <si>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</si>
  <si>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</si>
  <si>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</si>
  <si>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</si>
  <si>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</si>
  <si>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</si>
  <si>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</si>
  <si>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</si>
  <si>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</si>
  <si>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</si>
  <si>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</si>
  <si>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</si>
  <si>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</si>
  <si>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</si>
  <si>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</si>
  <si>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</si>
  <si>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</si>
  <si>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</si>
  <si>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</si>
  <si>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</si>
  <si>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</si>
  <si>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</si>
  <si>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</si>
  <si>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</si>
  <si>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</si>
  <si>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</si>
  <si>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</si>
  <si>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</si>
  <si>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</si>
  <si>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</si>
  <si>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</si>
  <si>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</si>
  <si>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</si>
  <si>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</si>
  <si>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</si>
  <si>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</si>
  <si>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</si>
  <si>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</si>
  <si>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</si>
  <si>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</si>
  <si>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</si>
  <si>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</si>
  <si>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</si>
  <si>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</si>
  <si>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</si>
  <si>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</si>
  <si>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</si>
  <si>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</si>
  <si>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</si>
  <si>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</si>
  <si>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</si>
  <si>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</si>
  <si>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</si>
  <si>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</si>
  <si>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</si>
  <si>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</si>
  <si>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</si>
  <si>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</si>
  <si>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</si>
  <si>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</si>
  <si>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</si>
  <si>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</si>
  <si>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</si>
  <si>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</si>
  <si>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</si>
  <si>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</si>
  <si>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</si>
  <si>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</si>
  <si>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</si>
  <si>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</si>
  <si>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</si>
  <si>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</si>
  <si>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</si>
  <si>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</si>
  <si>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</si>
  <si>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</si>
  <si>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</si>
  <si>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</si>
  <si>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</si>
  <si>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</si>
  <si>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</si>
  <si>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</si>
  <si>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</si>
  <si>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</si>
  <si>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</si>
  <si>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</si>
  <si>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</si>
  <si>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</si>
  <si>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</si>
  <si>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</si>
  <si>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</si>
  <si>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</si>
  <si>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</si>
  <si>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</si>
  <si>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</si>
  <si>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</si>
  <si>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</si>
  <si>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</si>
  <si>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</si>
  <si>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</si>
  <si>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</si>
  <si>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</si>
  <si>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</si>
  <si>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</si>
  <si>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</si>
  <si>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</si>
  <si>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</si>
  <si>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</si>
  <si>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</si>
  <si>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</si>
  <si>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</si>
  <si>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</si>
  <si>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Pehlman and Dold, P.C.</t>
  </si>
  <si>
    <t>100 North Amos Avenue</t>
  </si>
  <si>
    <t>Springfield</t>
  </si>
  <si>
    <t>IL</t>
  </si>
  <si>
    <t>(217) 787-0563</t>
  </si>
  <si>
    <t>(217) 787-9266</t>
  </si>
  <si>
    <t>066-005315</t>
  </si>
  <si>
    <t>x</t>
  </si>
  <si>
    <t>Sangamon</t>
  </si>
  <si>
    <t>Dorinda L Fitzgerald</t>
  </si>
  <si>
    <t>2201 Toronto Road</t>
  </si>
  <si>
    <t>Springfield, IL</t>
  </si>
  <si>
    <t>Jodi Ferriell, Director</t>
  </si>
  <si>
    <t>jferriell@caccschool.org</t>
  </si>
  <si>
    <t>(217) 529-5431</t>
  </si>
  <si>
    <t>(217) 529-7614</t>
  </si>
  <si>
    <t>PDF in Opinion Page with Signature</t>
  </si>
  <si>
    <t>Pension Obligations</t>
  </si>
  <si>
    <t>OPEB Obligations</t>
  </si>
  <si>
    <t>ED-Oper &amp; Maint of Plant Services-Purchased Services</t>
  </si>
  <si>
    <t>Prairie State Insurance Cooperative</t>
  </si>
  <si>
    <t>The Computer Department</t>
  </si>
  <si>
    <t>ED-CTE Programs-Purchased Services</t>
  </si>
  <si>
    <t>University of Spa &amp; Cosmetology</t>
  </si>
  <si>
    <t>Education Fund - A/c 3999 - IL Community College Board - Licensed Practical Nursing Grant $347,000</t>
  </si>
  <si>
    <t>Education Fund - A/c 4998 - WIA Skilled Trades Essentials Grant $61,377</t>
  </si>
  <si>
    <t>Capital Projects Fund - A/c 1993 - Student Parking Fees $7,735</t>
  </si>
  <si>
    <t>dfitzgerald@p-dcpas.com</t>
  </si>
  <si>
    <t>Eduction Fund - A/c 4090 - Education Stabilization Fund - Formula Grnats to the Outlying Area $22,804</t>
  </si>
  <si>
    <t>THIS Employer Share of Net OPEB Liability</t>
  </si>
  <si>
    <t>TRS Employer Share of Net Pension Liability</t>
  </si>
  <si>
    <t>IMRF Employer Share of Net Pension Liability</t>
  </si>
  <si>
    <t xml:space="preserve">Schedule of Long-Term Debt - Other Differences - Changes in IMRF/TRS Net Pension Liability (GASB 68) &amp; THIS Net OPEB Liability (GASB 75) </t>
  </si>
  <si>
    <t>FDSL-Flow Through Funding (See federal note #1)</t>
  </si>
  <si>
    <t>PELL-Flow Through Funding (See federal note #1)</t>
  </si>
  <si>
    <t>DORS-Flow Through Funding (See federal note #1)</t>
  </si>
  <si>
    <t>Post 9/11 Veterans Educ Assist-Flow Through Funding (See federal note #1)</t>
  </si>
  <si>
    <t>US Department of Education - Student Financial Aid Cluster:</t>
  </si>
  <si>
    <t>Federal Direct Student Loans (FDSL) - (M)</t>
  </si>
  <si>
    <t>Federal Pell Grant Program - (M).</t>
  </si>
  <si>
    <t>n/a</t>
  </si>
  <si>
    <t>TOTAL US DEPARTMENT OF EDUCATION - STUDENT FINANCIAL AID CLUSTER</t>
  </si>
  <si>
    <t>Education Stabilization Fund - Formula Grants to Outlying Areas (FIPSIE)</t>
  </si>
  <si>
    <t>84.425N</t>
  </si>
  <si>
    <t>US Department of Education:</t>
  </si>
  <si>
    <t>US Department of Education- Passed through one LEA to Another:</t>
  </si>
  <si>
    <t>Regional Office of Career and Technical Education:</t>
  </si>
  <si>
    <t>Basic Grants to States - V.W. Carl D. Perkins</t>
  </si>
  <si>
    <t>84.048A</t>
  </si>
  <si>
    <t>TOTAL US DEPT OF EDUCATION PASSED THROUGH ONE LEA TO ANOTHER - CFDA #84.048A</t>
  </si>
  <si>
    <t>TOTAL US DEPT OF EDUCATION - CFDA #84.425N</t>
  </si>
  <si>
    <t>US Department of Education-Passed through the IL Department of Human Services:</t>
  </si>
  <si>
    <t>Rehabilitation Services Vocational Rehabilitation Grants to States</t>
  </si>
  <si>
    <t>TOTAL US DEPT OF EDUCATION PASSED THROUGH THE IL DEPT OF HUMAN SVCS - CFDA #84.126</t>
  </si>
  <si>
    <t>US Dept of Labor passed through the IL Dept of Commerce and Economic Opportunity:</t>
  </si>
  <si>
    <t>WIA-Flow Through Funding (See federal note #1)</t>
  </si>
  <si>
    <t>YTH 1901</t>
  </si>
  <si>
    <t>YTH 2002</t>
  </si>
  <si>
    <t>US Department of Vetern Affairs:</t>
  </si>
  <si>
    <t>Post 9/11-Veterans Educational Assistance</t>
  </si>
  <si>
    <t>TOTAL US DEPARTMENT OF VETERAN AFFAIRS - CFDA #64.028</t>
  </si>
  <si>
    <t>TOTAL FEDERAL FUNDING</t>
  </si>
  <si>
    <r>
      <t xml:space="preserve">The accompanying Schedule of Expenditures of Federal Awards includes the federal grant activity of Capital Area Career Center and is presented on the </t>
    </r>
    <r>
      <rPr>
        <b/>
        <sz val="9"/>
        <rFont val="Calibri"/>
        <family val="2"/>
        <scheme val="minor"/>
      </rPr>
      <t>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</si>
  <si>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Not applicable - not payments to subrecipients</t>
  </si>
  <si>
    <r>
      <t xml:space="preserve">The following amounts were expended in the form of non-cash assistance by </t>
    </r>
    <r>
      <rPr>
        <b/>
        <sz val="9"/>
        <rFont val="Calibri"/>
        <family val="2"/>
        <scheme val="minor"/>
      </rPr>
      <t>Capital Are Careen Center</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</si>
  <si>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</si>
  <si>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Student Financial Aid Cluster</t>
  </si>
  <si>
    <t>Federal Pell Grant Programs</t>
  </si>
  <si>
    <t>Federal Direct Student Loans</t>
  </si>
  <si>
    <t>N/a</t>
  </si>
  <si>
    <t>None</t>
  </si>
  <si>
    <t>WIOA Adult Programs</t>
  </si>
  <si>
    <t>WIOA Youth Activities</t>
  </si>
  <si>
    <t xml:space="preserve">   Total WIOA Youth Activites - CFDA #17.259</t>
  </si>
  <si>
    <t>TOTAL US DEPT OF LABOR PASSED THROUGH IL DEPT OF COMMERCE &amp; ECONOMIC OPPORTUNITY</t>
  </si>
  <si>
    <t>Capital Projects Fund - A/c 1999 - School Maintenance Grant  $50,000</t>
  </si>
  <si>
    <t>Education Fund - A/c 1999 - Misc Refunds and Reimbursements $4,510</t>
  </si>
  <si>
    <t>Of the federal expenditures presented in the schedule, Capital Area Career Center provided federal awards to subrecipients as follows:</t>
  </si>
  <si>
    <t>WIOA Cluster:</t>
  </si>
  <si>
    <t xml:space="preserve"> Capital Area Career Center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</si>
</sst>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57" fillId="0" borderId="69" xfId="3" applyFont="1" applyBorder="1" applyAlignment="1" applyProtection="1">
      <alignment horizontal="left"/>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1285875</xdr:colOff>
          <xdr:row>4</xdr:row>
          <xdr:rowOff>85725</xdr:rowOff>
        </xdr:from>
        <xdr:to>
          <xdr:col>1</xdr:col>
          <xdr:colOff>2200275</xdr:colOff>
          <xdr:row>8</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2000</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c r="C5" s="26" t="s">
        <v>904</v>
      </c>
      <c r="D5" s="81"/>
      <c r="E5" s="81"/>
      <c r="H5" s="38"/>
      <c r="I5" s="2125" t="s">
        <v>675</v>
      </c>
      <c r="J5" s="2070"/>
      <c r="K5" s="2070"/>
      <c r="L5" s="2070"/>
      <c r="M5" s="2070"/>
      <c r="N5" s="2070"/>
      <c r="O5" s="2070"/>
      <c r="P5" s="2070"/>
      <c r="Q5" s="2070"/>
      <c r="R5" s="2070"/>
      <c r="S5" s="2070"/>
      <c r="AF5" s="1827"/>
    </row>
    <row r="6" spans="1:32" ht="14.1" customHeight="1" x14ac:dyDescent="0.2">
      <c r="B6" s="101" t="s">
        <v>2055</v>
      </c>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t="s">
        <v>2055</v>
      </c>
      <c r="P12" s="97" t="s">
        <v>200</v>
      </c>
      <c r="Q12" s="71"/>
      <c r="R12" s="30"/>
      <c r="S12" s="30"/>
      <c r="T12" s="82" t="s">
        <v>263</v>
      </c>
      <c r="U12" s="48"/>
      <c r="V12" s="48"/>
      <c r="W12" s="48"/>
      <c r="X12" s="48"/>
      <c r="Y12" s="43"/>
      <c r="Z12" s="43"/>
      <c r="AA12" s="44"/>
    </row>
    <row r="13" spans="1:32" ht="13.5" customHeight="1" x14ac:dyDescent="0.2">
      <c r="A13" s="2086">
        <v>51084790040</v>
      </c>
      <c r="B13" s="2087"/>
      <c r="C13" s="2087"/>
      <c r="D13" s="2087"/>
      <c r="E13" s="2087"/>
      <c r="F13" s="2087"/>
      <c r="G13" s="2087"/>
      <c r="H13" s="2088"/>
      <c r="I13" s="31"/>
      <c r="J13" s="30"/>
      <c r="K13" s="28"/>
      <c r="L13" s="30"/>
      <c r="M13" s="30"/>
      <c r="N13" s="30"/>
      <c r="O13" s="30"/>
      <c r="P13" s="30"/>
      <c r="Q13" s="30"/>
      <c r="R13" s="30"/>
      <c r="S13" s="30"/>
      <c r="T13" s="2091" t="s">
        <v>2048</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2056</v>
      </c>
      <c r="B15" s="2089"/>
      <c r="C15" s="2089"/>
      <c r="D15" s="2089"/>
      <c r="E15" s="2089"/>
      <c r="F15" s="2089"/>
      <c r="G15" s="2089"/>
      <c r="H15" s="2090"/>
      <c r="T15" s="2052" t="s">
        <v>2057</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2127</v>
      </c>
      <c r="B17" s="2114"/>
      <c r="C17" s="2114"/>
      <c r="D17" s="2114"/>
      <c r="E17" s="2114"/>
      <c r="F17" s="2114"/>
      <c r="G17" s="2114"/>
      <c r="H17" s="2115"/>
      <c r="T17" s="2101" t="s">
        <v>2049</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2058</v>
      </c>
      <c r="B19" s="2085"/>
      <c r="C19" s="2085"/>
      <c r="D19" s="2085"/>
      <c r="E19" s="2085"/>
      <c r="F19" s="2085"/>
      <c r="G19" s="2085"/>
      <c r="H19" s="2083"/>
      <c r="I19" s="30"/>
      <c r="J19" s="96"/>
      <c r="K19" s="40"/>
      <c r="L19" s="38"/>
      <c r="M19" s="109" t="s">
        <v>312</v>
      </c>
      <c r="P19" s="27"/>
      <c r="Q19" s="27"/>
      <c r="R19" s="27"/>
      <c r="S19" s="31"/>
      <c r="T19" s="2084" t="s">
        <v>2050</v>
      </c>
      <c r="U19" s="2082"/>
      <c r="V19" s="2082"/>
      <c r="W19" s="2083"/>
      <c r="X19" s="2099" t="s">
        <v>2051</v>
      </c>
      <c r="Y19" s="2100"/>
      <c r="Z19" s="2097">
        <v>62702</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2059</v>
      </c>
      <c r="B21" s="2082"/>
      <c r="C21" s="2082"/>
      <c r="D21" s="2082"/>
      <c r="E21" s="2082"/>
      <c r="F21" s="2082"/>
      <c r="G21" s="2082"/>
      <c r="H21" s="2083"/>
      <c r="I21" s="2107" t="s">
        <v>673</v>
      </c>
      <c r="J21" s="2070"/>
      <c r="K21" s="2070"/>
      <c r="L21" s="2070"/>
      <c r="M21" s="2070"/>
      <c r="N21" s="2070"/>
      <c r="O21" s="2070"/>
      <c r="P21" s="2070"/>
      <c r="Q21" s="2070"/>
      <c r="R21" s="2070"/>
      <c r="S21" s="2071"/>
      <c r="T21" s="2049" t="s">
        <v>2052</v>
      </c>
      <c r="U21" s="2050"/>
      <c r="V21" s="2050"/>
      <c r="W21" s="2050"/>
      <c r="X21" s="2063" t="s">
        <v>2053</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c r="B23" s="2105"/>
      <c r="C23" s="2105"/>
      <c r="D23" s="2105"/>
      <c r="E23" s="2105"/>
      <c r="F23" s="2105"/>
      <c r="G23" s="2105"/>
      <c r="H23" s="2106"/>
      <c r="T23" s="2044" t="s">
        <v>2054</v>
      </c>
      <c r="U23" s="2045"/>
      <c r="V23" s="2045"/>
      <c r="W23" s="2045"/>
      <c r="X23" s="2060">
        <v>44197</v>
      </c>
      <c r="Y23" s="2061"/>
      <c r="Z23" s="2061"/>
      <c r="AA23" s="2062"/>
    </row>
    <row r="24" spans="1:27" ht="14.1" customHeight="1" x14ac:dyDescent="0.2">
      <c r="A24" s="85" t="s">
        <v>672</v>
      </c>
      <c r="B24" s="46"/>
      <c r="C24" s="46"/>
      <c r="D24" s="46"/>
      <c r="E24" s="46"/>
      <c r="F24" s="46"/>
      <c r="G24" s="46"/>
      <c r="H24" s="58"/>
      <c r="J24" s="2146" t="str">
        <f>IF(B5="x",IF(AUDITCHECK!D29="AFR form Incomplete.","",IF(AUDITCHECK!D29="Deficit reduction plan is required.","School District must complete a deficit reduction plan in the 2020-2021 Budget",)),"")</f>
        <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62712</v>
      </c>
      <c r="B25" s="2082"/>
      <c r="C25" s="2082"/>
      <c r="D25" s="2082"/>
      <c r="E25" s="2082"/>
      <c r="F25" s="2082"/>
      <c r="G25" s="2082"/>
      <c r="H25" s="2083"/>
      <c r="I25" s="110"/>
      <c r="J25" s="2148"/>
      <c r="K25" s="2148"/>
      <c r="L25" s="2148"/>
      <c r="M25" s="2148"/>
      <c r="N25" s="2148"/>
      <c r="O25" s="2148"/>
      <c r="P25" s="2148"/>
      <c r="Q25" s="2148"/>
      <c r="R25" s="2148"/>
      <c r="S25" s="2149"/>
      <c r="T25" s="2041" t="s">
        <v>2075</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2055</v>
      </c>
      <c r="F29" s="137" t="s">
        <v>1305</v>
      </c>
      <c r="G29" s="111"/>
      <c r="I29" s="51"/>
      <c r="J29" s="144" t="s">
        <v>2055</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2055</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2055</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2060</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2061</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2062</v>
      </c>
      <c r="B42" s="2131"/>
      <c r="C42" s="2132"/>
      <c r="D42" s="2145" t="s">
        <v>2063</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1776</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2003</v>
      </c>
      <c r="B24" s="2291"/>
      <c r="C24" s="2299"/>
      <c r="D24" s="2300"/>
      <c r="E24" s="2300"/>
      <c r="F24" s="2301"/>
    </row>
    <row r="25" spans="1:11" ht="13.5" thickBot="1" x14ac:dyDescent="0.25">
      <c r="A25" s="2305" t="s">
        <v>2004</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2078</v>
      </c>
      <c r="B31" s="595"/>
      <c r="C31" s="1734"/>
      <c r="D31" s="1735">
        <v>8</v>
      </c>
      <c r="E31" s="1734">
        <v>142461</v>
      </c>
      <c r="F31" s="1734"/>
      <c r="G31" s="1734">
        <v>-1720</v>
      </c>
      <c r="H31" s="1734"/>
      <c r="I31" s="1736">
        <f>((E31+F31)-H31)+G31</f>
        <v>140741</v>
      </c>
      <c r="J31" s="1734"/>
      <c r="K31" s="596"/>
    </row>
    <row r="32" spans="1:11" ht="12" customHeight="1" x14ac:dyDescent="0.2">
      <c r="A32" s="594" t="s">
        <v>2079</v>
      </c>
      <c r="B32" s="595"/>
      <c r="C32" s="1734"/>
      <c r="D32" s="1735">
        <v>8</v>
      </c>
      <c r="E32" s="1734">
        <v>130837</v>
      </c>
      <c r="F32" s="1734"/>
      <c r="G32" s="1734">
        <v>-122674</v>
      </c>
      <c r="H32" s="1734"/>
      <c r="I32" s="1736">
        <f>((E32+F32)-H32)+G32</f>
        <v>8163</v>
      </c>
      <c r="J32" s="1734"/>
      <c r="K32" s="596"/>
    </row>
    <row r="33" spans="1:11" ht="12" customHeight="1" x14ac:dyDescent="0.2">
      <c r="A33" s="594" t="s">
        <v>2077</v>
      </c>
      <c r="B33" s="595"/>
      <c r="C33" s="1734"/>
      <c r="D33" s="1735">
        <v>9</v>
      </c>
      <c r="E33" s="1734">
        <v>1461184</v>
      </c>
      <c r="F33" s="1734"/>
      <c r="G33" s="1734">
        <v>62077</v>
      </c>
      <c r="H33" s="1734"/>
      <c r="I33" s="1736">
        <f t="shared" ref="I33:I48" si="1">((E33+F33)-H33)+G33</f>
        <v>1523261</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1734482</v>
      </c>
      <c r="F49" s="1736">
        <f t="shared" si="2"/>
        <v>0</v>
      </c>
      <c r="G49" s="1736">
        <f t="shared" si="2"/>
        <v>-62317</v>
      </c>
      <c r="H49" s="1736">
        <f t="shared" si="2"/>
        <v>0</v>
      </c>
      <c r="I49" s="1736">
        <f t="shared" si="2"/>
        <v>1672165</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t="s">
        <v>2065</v>
      </c>
      <c r="G53" s="2314"/>
      <c r="H53" s="596"/>
      <c r="I53" s="596"/>
      <c r="J53" s="600"/>
    </row>
    <row r="54" spans="1:11" ht="11.25" customHeight="1" x14ac:dyDescent="0.2">
      <c r="A54" s="606" t="s">
        <v>908</v>
      </c>
      <c r="B54" s="601" t="s">
        <v>946</v>
      </c>
      <c r="C54" s="600"/>
      <c r="D54" s="597"/>
      <c r="E54" s="603" t="s">
        <v>495</v>
      </c>
      <c r="F54" s="2313" t="s">
        <v>2066</v>
      </c>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1786</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8" t="s">
        <v>1787</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0</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c r="I14" s="1749"/>
      <c r="J14" s="1751"/>
      <c r="K14" s="1745"/>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1783</v>
      </c>
      <c r="B19" s="2356"/>
      <c r="C19" s="2356"/>
      <c r="D19" s="2356"/>
      <c r="E19" s="2357"/>
      <c r="F19" s="635" t="s">
        <v>927</v>
      </c>
      <c r="G19" s="1753"/>
      <c r="H19" s="1753"/>
      <c r="I19" s="1753"/>
      <c r="J19" s="1745"/>
      <c r="K19" s="1763"/>
    </row>
    <row r="20" spans="1:15" x14ac:dyDescent="0.2">
      <c r="A20" s="2333" t="s">
        <v>1788</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1789</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1872</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300000</v>
      </c>
      <c r="D5" s="1770"/>
      <c r="E5" s="1770"/>
      <c r="F5" s="1765">
        <f>(C5+D5)-E5</f>
        <v>300000</v>
      </c>
      <c r="G5" s="676"/>
      <c r="H5" s="680"/>
      <c r="I5" s="680"/>
      <c r="J5" s="680"/>
      <c r="K5" s="637"/>
      <c r="L5" s="1442">
        <f>F5-K5</f>
        <v>300000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11044929</v>
      </c>
      <c r="D8" s="1771">
        <v>647466</v>
      </c>
      <c r="E8" s="1771"/>
      <c r="F8" s="1765">
        <f>(C8+D8)-E8</f>
        <v>11692395</v>
      </c>
      <c r="G8" s="681">
        <v>50</v>
      </c>
      <c r="H8" s="619">
        <v>10245930</v>
      </c>
      <c r="I8" s="619">
        <v>61118</v>
      </c>
      <c r="J8" s="619"/>
      <c r="K8" s="1442">
        <f>(H8+I8)-J8</f>
        <v>10307048</v>
      </c>
      <c r="L8" s="1442">
        <f>F8-K8</f>
        <v>1385347</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588573</v>
      </c>
      <c r="D10" s="1772">
        <v>43911</v>
      </c>
      <c r="E10" s="1772"/>
      <c r="F10" s="1773">
        <f>(C10+D10)-E10</f>
        <v>632484</v>
      </c>
      <c r="G10" s="681">
        <v>20</v>
      </c>
      <c r="H10" s="683">
        <v>168517</v>
      </c>
      <c r="I10" s="683">
        <v>45813</v>
      </c>
      <c r="J10" s="683"/>
      <c r="K10" s="1442">
        <f>(H10+I10)-J10</f>
        <v>214330</v>
      </c>
      <c r="L10" s="1442">
        <f>F10-K10</f>
        <v>418154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1494736</v>
      </c>
      <c r="D12" s="1771">
        <v>129271</v>
      </c>
      <c r="E12" s="1771">
        <v>29565</v>
      </c>
      <c r="F12" s="1765">
        <f>(C12+D12)-E12</f>
        <v>1594442</v>
      </c>
      <c r="G12" s="681">
        <v>10</v>
      </c>
      <c r="H12" s="619">
        <v>889757</v>
      </c>
      <c r="I12" s="619">
        <v>121826</v>
      </c>
      <c r="J12" s="619">
        <v>28087</v>
      </c>
      <c r="K12" s="1442">
        <f>(H12+I12)-J12</f>
        <v>983496</v>
      </c>
      <c r="L12" s="1442">
        <f>F12-K12</f>
        <v>610946</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21024</v>
      </c>
      <c r="D15" s="1771">
        <v>3615</v>
      </c>
      <c r="E15" s="1771">
        <v>21024</v>
      </c>
      <c r="F15" s="1765">
        <f>(C15+D15)-E15</f>
        <v>3615</v>
      </c>
      <c r="G15" s="685" t="s">
        <v>857</v>
      </c>
      <c r="H15" s="632"/>
      <c r="I15" s="632"/>
      <c r="J15" s="632"/>
      <c r="K15" s="632"/>
      <c r="L15" s="1442">
        <f>F15-K15</f>
        <v>3615</v>
      </c>
    </row>
    <row r="16" spans="1:14" ht="15" customHeight="1" thickTop="1" thickBot="1" x14ac:dyDescent="0.25">
      <c r="A16" s="1438" t="s">
        <v>638</v>
      </c>
      <c r="B16" s="1439">
        <v>200</v>
      </c>
      <c r="C16" s="1765">
        <f>SUM(C3,C5:C6,C8:C10,C12:C15)</f>
        <v>13449262</v>
      </c>
      <c r="D16" s="1765">
        <f>SUM(D3,D5:D6,D8:D10,D12:D15)</f>
        <v>824263</v>
      </c>
      <c r="E16" s="1765">
        <f>SUM(E3,E5:E6,E8:E10,E12:E15)</f>
        <v>50589</v>
      </c>
      <c r="F16" s="1765">
        <f>SUM(F3,F5:F6,F8:F10,F12:F15)</f>
        <v>14222936</v>
      </c>
      <c r="G16" s="681"/>
      <c r="H16" s="1435">
        <f>SUM(H3,H6,H8:H10,H12:H14,)</f>
        <v>11304204</v>
      </c>
      <c r="I16" s="1435">
        <f>SUM(I3,I6,I8:I10,I12:I14,)</f>
        <v>228757</v>
      </c>
      <c r="J16" s="1435">
        <f>SUM(J3,J6,J8:J10,J12:J14,)</f>
        <v>28087</v>
      </c>
      <c r="K16" s="1435">
        <f>(H16+I16)-J16</f>
        <v>11504874</v>
      </c>
      <c r="L16" s="1435">
        <f>F16-K16</f>
        <v>2718062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49522</v>
      </c>
      <c r="G17" s="676">
        <v>10</v>
      </c>
      <c r="H17" s="621"/>
      <c r="I17" s="1442">
        <f>F17/G17</f>
        <v>4952.2</v>
      </c>
      <c r="J17" s="621"/>
      <c r="K17" s="638"/>
      <c r="L17" s="638"/>
    </row>
    <row r="18" spans="1:12" ht="14.25" thickTop="1" thickBot="1" x14ac:dyDescent="0.25">
      <c r="A18" s="1440" t="s">
        <v>680</v>
      </c>
      <c r="B18" s="1441"/>
      <c r="C18" s="623"/>
      <c r="D18" s="623"/>
      <c r="E18" s="623"/>
      <c r="F18" s="686"/>
      <c r="G18" s="687"/>
      <c r="H18" s="624"/>
      <c r="I18" s="1435">
        <f>SUM(I16,I17)</f>
        <v>233709.2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5118170</v>
      </c>
      <c r="G8" s="701"/>
    </row>
    <row r="9" spans="1:9" x14ac:dyDescent="0.2">
      <c r="A9" s="705" t="s">
        <v>457</v>
      </c>
      <c r="B9" s="706" t="s">
        <v>1845</v>
      </c>
      <c r="C9" s="707"/>
      <c r="D9" s="705" t="s">
        <v>498</v>
      </c>
      <c r="E9" s="704"/>
      <c r="F9" s="1775">
        <f>'Expenditures 15-22'!K151</f>
        <v>0</v>
      </c>
      <c r="G9" s="708"/>
    </row>
    <row r="10" spans="1:9" x14ac:dyDescent="0.2">
      <c r="A10" s="705" t="s">
        <v>496</v>
      </c>
      <c r="B10" s="706" t="s">
        <v>1846</v>
      </c>
      <c r="C10" s="707"/>
      <c r="D10" s="705" t="s">
        <v>498</v>
      </c>
      <c r="E10" s="704"/>
      <c r="F10" s="1775">
        <f>'Expenditures 15-22'!K174</f>
        <v>0</v>
      </c>
      <c r="G10" s="708"/>
    </row>
    <row r="11" spans="1:9" x14ac:dyDescent="0.2">
      <c r="A11" s="705" t="s">
        <v>458</v>
      </c>
      <c r="B11" s="706" t="s">
        <v>1847</v>
      </c>
      <c r="C11" s="707"/>
      <c r="D11" s="705" t="s">
        <v>498</v>
      </c>
      <c r="E11" s="704"/>
      <c r="F11" s="1775">
        <f>'Expenditures 15-22'!K210</f>
        <v>0</v>
      </c>
      <c r="G11" s="708"/>
    </row>
    <row r="12" spans="1:9" x14ac:dyDescent="0.2">
      <c r="A12" s="705" t="s">
        <v>459</v>
      </c>
      <c r="B12" s="706" t="s">
        <v>1848</v>
      </c>
      <c r="C12" s="707"/>
      <c r="D12" s="705" t="s">
        <v>498</v>
      </c>
      <c r="E12" s="704"/>
      <c r="F12" s="1775">
        <f>'Expenditures 15-22'!K295</f>
        <v>0</v>
      </c>
      <c r="G12" s="708"/>
    </row>
    <row r="13" spans="1:9" x14ac:dyDescent="0.2">
      <c r="A13" s="705" t="s">
        <v>106</v>
      </c>
      <c r="B13" s="706" t="s">
        <v>1849</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5118170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1808093</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0</v>
      </c>
      <c r="G53" s="701"/>
    </row>
    <row r="54" spans="1:7" x14ac:dyDescent="0.2">
      <c r="A54" s="705" t="s">
        <v>456</v>
      </c>
      <c r="B54" s="705" t="s">
        <v>1459</v>
      </c>
      <c r="C54" s="724" t="s">
        <v>975</v>
      </c>
      <c r="D54" s="720" t="s">
        <v>1086</v>
      </c>
      <c r="E54" s="704"/>
      <c r="F54" s="1782">
        <f>'Expenditures 15-22'!G114</f>
        <v>160251</v>
      </c>
      <c r="G54" s="701"/>
    </row>
    <row r="55" spans="1:7" x14ac:dyDescent="0.2">
      <c r="A55" s="705" t="s">
        <v>456</v>
      </c>
      <c r="B55" s="705" t="s">
        <v>1460</v>
      </c>
      <c r="C55" s="724" t="s">
        <v>975</v>
      </c>
      <c r="D55" s="720" t="s">
        <v>288</v>
      </c>
      <c r="E55" s="704"/>
      <c r="F55" s="1782">
        <f>'Expenditures 15-22'!I114</f>
        <v>49522</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0</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2017866</v>
      </c>
      <c r="G77" s="701"/>
    </row>
    <row r="78" spans="1:9" s="728" customFormat="1" ht="12" customHeight="1" thickTop="1" thickBot="1" x14ac:dyDescent="0.25">
      <c r="A78" s="1450"/>
      <c r="B78" s="1448"/>
      <c r="C78" s="1445"/>
      <c r="D78" s="1449" t="s">
        <v>2009</v>
      </c>
      <c r="E78" s="1447"/>
      <c r="F78" s="1788">
        <f>(F14-F77)</f>
        <v>3100304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2010</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31574</v>
      </c>
      <c r="G95" s="745"/>
    </row>
    <row r="96" spans="1:7" x14ac:dyDescent="0.2">
      <c r="A96" s="741" t="s">
        <v>139</v>
      </c>
      <c r="B96" s="741" t="s">
        <v>174</v>
      </c>
      <c r="C96" s="743">
        <v>1700</v>
      </c>
      <c r="D96" s="751" t="str">
        <f>'Revenues 9-14'!A82</f>
        <v>Total District/School Activity Income</v>
      </c>
      <c r="E96" s="739"/>
      <c r="F96" s="1793">
        <f>SUM('Revenues 9-14'!C82,'Revenues 9-14'!D82)</f>
        <v>348824</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120822</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0</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1263</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0</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7215</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347000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22814</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0</v>
      </c>
      <c r="G126" s="763"/>
    </row>
    <row r="127" spans="1:7" x14ac:dyDescent="0.2">
      <c r="A127" s="760" t="s">
        <v>663</v>
      </c>
      <c r="B127" s="760" t="s">
        <v>1928</v>
      </c>
      <c r="C127" s="765">
        <v>4300</v>
      </c>
      <c r="D127" s="766" t="str">
        <f>'Revenues 9-14'!A204</f>
        <v>Total Title I</v>
      </c>
      <c r="E127" s="739"/>
      <c r="F127" s="1793">
        <f>SUM('Revenues 9-14'!C204,'Revenues 9-14'!D204,'Revenues 9-14'!F204,'Revenues 9-14'!G204)</f>
        <v>0</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65823</v>
      </c>
      <c r="G171" s="760"/>
    </row>
    <row r="172" spans="1:7" x14ac:dyDescent="0.2">
      <c r="A172" s="1529" t="s">
        <v>5</v>
      </c>
      <c r="B172" s="1530" t="s">
        <v>1882</v>
      </c>
      <c r="C172" s="1531">
        <v>3100</v>
      </c>
      <c r="D172" s="1532" t="s">
        <v>1884</v>
      </c>
      <c r="E172" s="739"/>
      <c r="F172" s="1794"/>
      <c r="G172" s="760"/>
    </row>
    <row r="173" spans="1:7" x14ac:dyDescent="0.2">
      <c r="A173" s="1529" t="s">
        <v>659</v>
      </c>
      <c r="B173" s="1530" t="s">
        <v>1882</v>
      </c>
      <c r="C173" s="1531">
        <v>3300</v>
      </c>
      <c r="D173" s="1532" t="s">
        <v>1885</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945335</v>
      </c>
    </row>
    <row r="176" spans="1:7" ht="12" customHeight="1" x14ac:dyDescent="0.2">
      <c r="A176" s="1443"/>
      <c r="B176" s="1453"/>
      <c r="C176" s="1454"/>
      <c r="D176" s="1455" t="s">
        <v>2011</v>
      </c>
      <c r="E176" s="1456"/>
      <c r="F176" s="1793">
        <f>'PCTC-OEPP 27-28'!F78-F175</f>
        <v>2154969</v>
      </c>
    </row>
    <row r="177" spans="1:9" ht="12" customHeight="1" x14ac:dyDescent="0.2">
      <c r="A177" s="1443"/>
      <c r="B177" s="1453"/>
      <c r="C177" s="1454"/>
      <c r="D177" s="1455" t="s">
        <v>1791</v>
      </c>
      <c r="E177" s="1456"/>
      <c r="F177" s="1793">
        <f>'Cap Outlay Deprec 26'!I18</f>
        <v>233709.2</v>
      </c>
    </row>
    <row r="178" spans="1:9" ht="12" customHeight="1" x14ac:dyDescent="0.2">
      <c r="A178" s="1443"/>
      <c r="B178" s="1453"/>
      <c r="C178" s="1454"/>
      <c r="D178" s="1455" t="s">
        <v>2012</v>
      </c>
      <c r="E178" s="1456"/>
      <c r="F178" s="1793">
        <f>F176+F177</f>
        <v>2388678.2000000002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2014</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77" t="s">
        <v>1792</v>
      </c>
      <c r="B4" s="2378"/>
      <c r="C4" s="2378"/>
      <c r="D4" s="2378"/>
      <c r="E4" s="2378"/>
      <c r="F4" s="2379"/>
    </row>
    <row r="5" spans="1:6" x14ac:dyDescent="0.25">
      <c r="A5" s="2380"/>
      <c r="B5" s="2381"/>
      <c r="C5" s="2381"/>
      <c r="D5" s="2381"/>
      <c r="E5" s="2381"/>
      <c r="F5" s="2382"/>
    </row>
    <row r="6" spans="1:6" ht="18.75" x14ac:dyDescent="0.25">
      <c r="A6" s="1867" t="s">
        <v>1793</v>
      </c>
      <c r="B6" s="1868"/>
      <c r="C6" s="1869"/>
      <c r="D6" s="1869"/>
      <c r="E6" s="1869"/>
      <c r="F6" s="1870"/>
    </row>
    <row r="7" spans="1:6" ht="47.25" customHeight="1" x14ac:dyDescent="0.25">
      <c r="A7" s="2383" t="s">
        <v>1982</v>
      </c>
      <c r="B7" s="2384"/>
      <c r="C7" s="2384"/>
      <c r="D7" s="2384"/>
      <c r="E7" s="2384"/>
      <c r="F7" s="2385"/>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6" t="s">
        <v>1978</v>
      </c>
      <c r="B10" s="2387"/>
      <c r="C10" s="2387"/>
      <c r="D10" s="2387"/>
      <c r="E10" s="2387"/>
      <c r="F10" s="2388"/>
    </row>
    <row r="11" spans="1:6" ht="33" customHeight="1" x14ac:dyDescent="0.25">
      <c r="A11" s="2383" t="s">
        <v>1983</v>
      </c>
      <c r="B11" s="2384"/>
      <c r="C11" s="2384"/>
      <c r="D11" s="2384"/>
      <c r="E11" s="2384"/>
      <c r="F11" s="2385"/>
    </row>
    <row r="12" spans="1:6" ht="15" customHeight="1" x14ac:dyDescent="0.25">
      <c r="A12" s="1873" t="s">
        <v>1979</v>
      </c>
      <c r="B12" s="1874"/>
      <c r="C12" s="1875"/>
      <c r="D12" s="1875"/>
      <c r="E12" s="1875"/>
      <c r="F12" s="1876"/>
    </row>
    <row r="13" spans="1:6" ht="17.25" customHeight="1" x14ac:dyDescent="0.25">
      <c r="A13" s="2383" t="s">
        <v>1980</v>
      </c>
      <c r="B13" s="2384"/>
      <c r="C13" s="2384"/>
      <c r="D13" s="2384"/>
      <c r="E13" s="2384"/>
      <c r="F13" s="2385"/>
    </row>
    <row r="14" spans="1:6" ht="15" customHeight="1" x14ac:dyDescent="0.25">
      <c r="A14" s="1873" t="s">
        <v>1797</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5" t="s">
        <v>2067</v>
      </c>
      <c r="B18" s="1908">
        <v>102540300</v>
      </c>
      <c r="C18" s="2036" t="s">
        <v>2068</v>
      </c>
      <c r="D18" s="1886">
        <v>44349</v>
      </c>
      <c r="E18" s="1906" t="str">
        <f t="shared" ref="E18:E81" si="0">IF(D18&lt;25000,D18,"25,000")</f>
        <v>25,000</v>
      </c>
      <c r="F18" s="1906">
        <f t="shared" ref="F18:F81" si="1">IF(D18&gt;=25000,(D18-E18),"0")</f>
        <v>19349</v>
      </c>
      <c r="G18" s="1887"/>
    </row>
    <row r="19" spans="1:7" x14ac:dyDescent="0.25">
      <c r="A19" s="2035" t="s">
        <v>2067</v>
      </c>
      <c r="B19" s="1908">
        <v>102540300</v>
      </c>
      <c r="C19" s="2036" t="s">
        <v>2069</v>
      </c>
      <c r="D19" s="1886">
        <v>36000</v>
      </c>
      <c r="E19" s="1906" t="str">
        <f t="shared" si="0"/>
        <v>25,000</v>
      </c>
      <c r="F19" s="1906">
        <f t="shared" si="1"/>
        <v>11000</v>
      </c>
    </row>
    <row r="20" spans="1:7" x14ac:dyDescent="0.25">
      <c r="A20" s="2035" t="s">
        <v>2070</v>
      </c>
      <c r="B20" s="1908">
        <v>101000300</v>
      </c>
      <c r="C20" s="2036" t="s">
        <v>2071</v>
      </c>
      <c r="D20" s="1886">
        <v>111433</v>
      </c>
      <c r="E20" s="1906" t="str">
        <f t="shared" si="0"/>
        <v>25,000</v>
      </c>
      <c r="F20" s="1906">
        <f t="shared" si="1"/>
        <v>86433</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191782</v>
      </c>
      <c r="E142" s="1893">
        <f>SUM(E18:E141)</f>
        <v>0</v>
      </c>
      <c r="F142" s="1894">
        <f>SUM(F18:F141)</f>
        <v>116782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B1" sqref="B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3282653</v>
      </c>
      <c r="F19" s="1802"/>
      <c r="G19" s="1804">
        <f>'Expenditures 15-22'!K33-SUM('Expenditures 15-22'!G33,'Expenditures 15-22'!I33)+'Expenditures 15-22'!D229</f>
        <v>3282653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109851</v>
      </c>
      <c r="F21" s="1805"/>
      <c r="G21" s="1808">
        <f>'Expenditures 15-22'!K42-SUM('Expenditures 15-22'!G42,'Expenditures 15-22'!I42)+'Expenditures 15-22'!K120-SUM('Expenditures 15-22'!G120,'Expenditures 15-22'!I120)+'Expenditures 15-22'!K180-SUM('Expenditures 15-22'!G180,'Expenditures 15-22'!I180)+'Expenditures 15-22'!D238</f>
        <v>109851</v>
      </c>
      <c r="H21" s="817"/>
      <c r="I21" s="157"/>
    </row>
    <row r="22" spans="1:9" s="542" customFormat="1" ht="12" customHeight="1" x14ac:dyDescent="0.2">
      <c r="A22" s="824" t="s">
        <v>560</v>
      </c>
      <c r="B22" s="825"/>
      <c r="C22" s="823">
        <v>2200</v>
      </c>
      <c r="D22" s="1805"/>
      <c r="E22" s="1807">
        <f>'Expenditures 15-22'!K47-SUM('Expenditures 15-22'!G47,'Expenditures 15-22'!I47)+'Expenditures 15-22'!D243</f>
        <v>11575</v>
      </c>
      <c r="F22" s="1805"/>
      <c r="G22" s="1808">
        <f>'Expenditures 15-22'!K47-SUM('Expenditures 15-22'!G47,'Expenditures 15-22'!I47)+'Expenditures 15-22'!D243</f>
        <v>11575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196881</v>
      </c>
      <c r="F23" s="1805"/>
      <c r="G23" s="1807">
        <f>'Expenditures 15-22'!K53-SUM('Expenditures 15-22'!G53,'Expenditures 15-22'!I53)+'Expenditures 15-22'!D257+'Expenditures 15-22'!K330-SUM('Expenditures 15-22'!G330,'Expenditures 15-22'!I330)</f>
        <v>196881</v>
      </c>
      <c r="H23" s="817"/>
      <c r="I23" s="157"/>
    </row>
    <row r="24" spans="1:9" s="542" customFormat="1" ht="12" customHeight="1" x14ac:dyDescent="0.2">
      <c r="A24" s="824" t="s">
        <v>562</v>
      </c>
      <c r="B24" s="825"/>
      <c r="C24" s="823">
        <v>2400</v>
      </c>
      <c r="D24" s="1805"/>
      <c r="E24" s="1807">
        <f>'Expenditures 15-22'!K57-SUM('Expenditures 15-22'!G57,'Expenditures 15-22'!I57)+'Expenditures 15-22'!D261</f>
        <v>101368</v>
      </c>
      <c r="F24" s="1805"/>
      <c r="G24" s="1808">
        <f>'Expenditures 15-22'!K57-SUM('Expenditures 15-22'!G57,'Expenditures 15-22'!I57)+'Expenditures 15-22'!D261</f>
        <v>101368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164291</v>
      </c>
      <c r="E26" s="1807">
        <f>'Expenditures 15-22'!K122-SUM('Expenditures 15-22'!G122,'Expenditures 15-22'!I122)+E7</f>
        <v>0</v>
      </c>
      <c r="F26" s="1807">
        <f>'Expenditures 15-22'!K59-SUM('Expenditures 15-22'!G59,'Expenditures 15-22'!I59)+'Expenditures 15-22'!D263-E7</f>
        <v>164291</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969806</v>
      </c>
      <c r="F28" s="1809">
        <f>'Expenditures 15-22'!K61-SUM('Expenditures 15-22'!G61,'Expenditures 15-22'!I61)+'Expenditures 15-22'!K124-SUM('Expenditures 15-22'!G124,'Expenditures 15-22'!I124)+'Expenditures 15-22'!D266-E9</f>
        <v>969806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1872</v>
      </c>
      <c r="F29" s="1805"/>
      <c r="G29" s="1808">
        <f>'Expenditures 15-22'!K62-SUM('Expenditures 15-22'!G62,'Expenditures 15-22'!I62)+'Expenditures 15-22'!K125-SUM('Expenditures 15-22'!G125,'Expenditures 15-22'!I125)+'Expenditures 15-22'!K182-SUM('Expenditures 15-22'!G182,'Expenditures 15-22'!I182)+'Expenditures 15-22'!D267</f>
        <v>1872</v>
      </c>
      <c r="H29" s="815"/>
    </row>
    <row r="30" spans="1:9" ht="12" customHeight="1" x14ac:dyDescent="0.2">
      <c r="A30" s="824" t="s">
        <v>100</v>
      </c>
      <c r="B30" s="827"/>
      <c r="C30" s="823">
        <v>2560</v>
      </c>
      <c r="D30" s="1805"/>
      <c r="E30" s="1807">
        <f>'Expenditures 15-22'!K63-SUM('Expenditures 15-22'!G63,'Expenditures 15-22'!I63)+'Expenditures 15-22'!D268-E10</f>
        <v>70100</v>
      </c>
      <c r="F30" s="1805"/>
      <c r="G30" s="1807">
        <f>'Expenditures 15-22'!K63-SUM('Expenditures 15-22'!G63,'Expenditures 15-22'!I63)+'Expenditures 15-22'!D268-E10</f>
        <v>70100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805"/>
      <c r="E40" s="1809">
        <f>-'Contracts Paid in CY 29'!F142</f>
        <v>-116782</v>
      </c>
      <c r="F40" s="1805"/>
      <c r="G40" s="1809">
        <f>-'Contracts Paid in CY 29'!F142</f>
        <v>-116782</v>
      </c>
    </row>
    <row r="41" spans="1:7" ht="12" customHeight="1" x14ac:dyDescent="0.2">
      <c r="A41" s="828" t="s">
        <v>155</v>
      </c>
      <c r="B41" s="829"/>
      <c r="C41" s="830"/>
      <c r="D41" s="1809">
        <f>SUM(D19:D39)</f>
        <v>164291</v>
      </c>
      <c r="E41" s="1809">
        <f>SUM(E19:E40)</f>
        <v>4627324</v>
      </c>
      <c r="F41" s="1809">
        <f>SUM(F19:F39)</f>
        <v>1134097</v>
      </c>
      <c r="G41" s="1809">
        <f>SUM(G19:G40)</f>
        <v>3657518</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164291</v>
      </c>
      <c r="F43" s="1458" t="s">
        <v>470</v>
      </c>
      <c r="G43" s="1810">
        <f>F41</f>
        <v>1134097</v>
      </c>
    </row>
    <row r="44" spans="1:7" ht="12" customHeight="1" x14ac:dyDescent="0.2">
      <c r="A44" s="817"/>
      <c r="B44" s="157"/>
      <c r="C44" s="831"/>
      <c r="D44" s="1458" t="s">
        <v>471</v>
      </c>
      <c r="E44" s="1810">
        <f>E41</f>
        <v>4627324</v>
      </c>
      <c r="F44" s="1458" t="s">
        <v>471</v>
      </c>
      <c r="G44" s="1810">
        <f>G41</f>
        <v>3657518</v>
      </c>
    </row>
    <row r="45" spans="1:7" ht="12" customHeight="1" x14ac:dyDescent="0.2">
      <c r="A45" s="817"/>
      <c r="B45" s="157"/>
      <c r="C45" s="157"/>
      <c r="D45" s="1459" t="s">
        <v>999</v>
      </c>
      <c r="E45" s="1811">
        <f>(E43/E44)</f>
        <v>3.5504537827910902E-2</v>
      </c>
      <c r="F45" s="1459" t="s">
        <v>999</v>
      </c>
      <c r="G45" s="1811">
        <f>(G43/G44)</f>
        <v>0.31007284174678018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D27" sqref="D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Capital Area Career Center</v>
      </c>
      <c r="D6" s="2404"/>
      <c r="E6" s="2404"/>
      <c r="F6" s="1482"/>
      <c r="G6" s="1507"/>
      <c r="L6" s="1507"/>
      <c r="M6" s="1855"/>
      <c r="N6" s="1855"/>
      <c r="O6" s="1855"/>
    </row>
    <row r="7" spans="1:15" ht="11.25" customHeight="1" thickBot="1" x14ac:dyDescent="0.3">
      <c r="A7" s="1480"/>
      <c r="B7" s="1481"/>
      <c r="C7" s="2405">
        <f>COVER!A13</f>
        <v>51084790040</v>
      </c>
      <c r="D7" s="2405"/>
      <c r="E7" s="2405"/>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2055</v>
      </c>
      <c r="D19" s="1495" t="s">
        <v>2055</v>
      </c>
      <c r="E19" s="1498"/>
      <c r="F19" s="1497" t="s">
        <v>2068</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0</v>
      </c>
      <c r="K34" s="1507">
        <f>SUM(H34:J34)</f>
        <v>10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B1" sqref="B1"/>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1999</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 xml:space="preserve"> Capital Area Career Center</v>
      </c>
      <c r="K6" s="2420"/>
      <c r="L6" s="2421"/>
      <c r="M6" s="838"/>
      <c r="N6" s="1998"/>
    </row>
    <row r="7" spans="1:14" x14ac:dyDescent="0.2">
      <c r="A7" s="2422" t="s">
        <v>864</v>
      </c>
      <c r="B7" s="2423"/>
      <c r="C7" s="2423"/>
      <c r="D7" s="2423"/>
      <c r="E7" s="2424"/>
      <c r="F7" s="839"/>
      <c r="G7" s="838"/>
      <c r="H7" s="838"/>
      <c r="I7" s="1924" t="s">
        <v>369</v>
      </c>
      <c r="J7" s="2425">
        <f>COVER!A13</f>
        <v>51084790040</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2015</v>
      </c>
      <c r="F9" s="1857"/>
      <c r="G9" s="1857"/>
      <c r="H9" s="1857"/>
      <c r="I9" s="1929" t="s">
        <v>2016</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2017</v>
      </c>
      <c r="H11" s="1939" t="s">
        <v>155</v>
      </c>
      <c r="I11" s="1937" t="s">
        <v>64</v>
      </c>
      <c r="J11" s="1937" t="s">
        <v>6</v>
      </c>
      <c r="K11" s="1938" t="s">
        <v>1998</v>
      </c>
      <c r="L11" s="1939" t="s">
        <v>155</v>
      </c>
      <c r="M11" s="838"/>
      <c r="N11" s="1998"/>
    </row>
    <row r="12" spans="1:14" x14ac:dyDescent="0.2">
      <c r="A12" s="2003">
        <v>1</v>
      </c>
      <c r="B12" s="1940" t="s">
        <v>813</v>
      </c>
      <c r="C12" s="842"/>
      <c r="D12" s="1941">
        <v>2320</v>
      </c>
      <c r="E12" s="1944">
        <f>'Expenditures 15-22'!K50</f>
        <v>155352</v>
      </c>
      <c r="F12" s="1942"/>
      <c r="G12" s="1968">
        <f>G68</f>
        <v>0</v>
      </c>
      <c r="H12" s="1944">
        <f t="shared" ref="H12:H18" si="0">SUM(E12:G12)</f>
        <v>155352</v>
      </c>
      <c r="I12" s="1943"/>
      <c r="J12" s="1942"/>
      <c r="K12" s="1943"/>
      <c r="L12" s="1944">
        <f t="shared" ref="L12:L18" si="1">SUM(I12:K12)</f>
        <v>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164291</v>
      </c>
      <c r="F15" s="1944">
        <f>'Expenditures 15-22'!K122</f>
        <v>0</v>
      </c>
      <c r="G15" s="1968">
        <f>J68</f>
        <v>0</v>
      </c>
      <c r="H15" s="1944">
        <f t="shared" si="0"/>
        <v>164291</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319643</v>
      </c>
      <c r="F19" s="1950">
        <f t="shared" si="2"/>
        <v>0</v>
      </c>
      <c r="G19" s="1950">
        <f t="shared" ref="G19" si="3">SUM(G12:G17)-G18</f>
        <v>0</v>
      </c>
      <c r="H19" s="1950">
        <f t="shared" si="2"/>
        <v>319643</v>
      </c>
      <c r="I19" s="1950">
        <f t="shared" si="2"/>
        <v>0</v>
      </c>
      <c r="J19" s="1950">
        <f t="shared" si="2"/>
        <v>0</v>
      </c>
      <c r="K19" s="1950">
        <f t="shared" si="2"/>
        <v>0</v>
      </c>
      <c r="L19" s="1950">
        <f t="shared" si="2"/>
        <v>0</v>
      </c>
      <c r="M19" s="838"/>
      <c r="N19" s="1998"/>
    </row>
    <row r="20" spans="1:14" ht="13.5" thickTop="1" x14ac:dyDescent="0.2">
      <c r="A20" s="2003">
        <v>9</v>
      </c>
      <c r="B20" s="2432" t="s">
        <v>2018</v>
      </c>
      <c r="C20" s="2432"/>
      <c r="D20" s="2433"/>
      <c r="E20" s="1951"/>
      <c r="F20" s="1951"/>
      <c r="G20" s="1951"/>
      <c r="H20" s="1951"/>
      <c r="I20" s="1951"/>
      <c r="J20" s="1951"/>
      <c r="K20" s="1951"/>
      <c r="L20" s="1952" t="str">
        <f>IF(AND(H19&gt;0,L19&gt;0),(((L19-H19)/H19)),"Enter Budget Data")</f>
        <v>Enter Budget Data</v>
      </c>
      <c r="M20" s="838"/>
      <c r="N20" s="1998"/>
    </row>
    <row r="21" spans="1:14" x14ac:dyDescent="0.2">
      <c r="A21" s="2005" t="s">
        <v>194</v>
      </c>
      <c r="B21" s="2006" t="s">
        <v>2043</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2019</v>
      </c>
      <c r="B24" s="2010"/>
      <c r="C24" s="2011"/>
      <c r="D24" s="2011"/>
      <c r="E24" s="2011"/>
      <c r="F24" s="2011"/>
      <c r="G24" s="2011"/>
      <c r="H24" s="2011"/>
      <c r="I24" s="2011"/>
      <c r="J24" s="2011"/>
      <c r="K24" s="2011"/>
      <c r="L24" s="838"/>
      <c r="M24" s="838"/>
      <c r="N24" s="1998"/>
    </row>
    <row r="25" spans="1:14" x14ac:dyDescent="0.2">
      <c r="A25" s="2009" t="s">
        <v>2020</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2021</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2022</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2023</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2024</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2025</v>
      </c>
      <c r="B45" s="1983"/>
      <c r="C45" s="1983"/>
      <c r="D45" s="1983"/>
      <c r="E45" s="1983"/>
      <c r="F45" s="1983"/>
      <c r="G45" s="1983"/>
      <c r="H45" s="1983"/>
      <c r="I45" s="1983"/>
      <c r="J45" s="1983"/>
      <c r="K45" s="1983"/>
      <c r="L45" s="1983"/>
      <c r="M45" s="1983"/>
      <c r="N45" s="1984"/>
    </row>
    <row r="46" spans="1:14" x14ac:dyDescent="0.2">
      <c r="A46" s="2447" t="s">
        <v>2026</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2042</v>
      </c>
      <c r="B49" s="2024"/>
      <c r="C49" s="2024"/>
      <c r="D49" s="2025"/>
      <c r="E49" s="2025"/>
      <c r="F49" s="2025"/>
      <c r="G49" s="2025"/>
      <c r="H49" s="2025"/>
      <c r="I49" s="2025"/>
      <c r="J49" s="2025"/>
      <c r="K49" s="2025"/>
      <c r="L49" s="2025"/>
      <c r="M49" s="2025"/>
      <c r="N49" s="2026"/>
    </row>
    <row r="50" spans="1:14" ht="15" x14ac:dyDescent="0.25">
      <c r="A50" s="2028" t="s">
        <v>2041</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 xml:space="preserve"> Capital Area Career Center</v>
      </c>
      <c r="M52" s="2420"/>
      <c r="N52" s="2450"/>
    </row>
    <row r="53" spans="1:14" x14ac:dyDescent="0.2">
      <c r="A53" s="1982"/>
      <c r="B53" s="1983"/>
      <c r="C53" s="1983"/>
      <c r="D53" s="1983"/>
      <c r="E53" s="1983"/>
      <c r="F53" s="1983"/>
      <c r="G53" s="1983"/>
      <c r="H53" s="1983"/>
      <c r="I53" s="1983"/>
      <c r="J53" s="1983"/>
      <c r="K53" s="1924" t="s">
        <v>369</v>
      </c>
      <c r="L53" s="2425">
        <f>J7</f>
        <v>51084790040</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2027</v>
      </c>
      <c r="H55" s="2454"/>
      <c r="I55" s="2454"/>
      <c r="J55" s="2454"/>
      <c r="K55" s="2454"/>
      <c r="L55" s="2454"/>
      <c r="M55" s="2454"/>
      <c r="N55" s="2455"/>
    </row>
    <row r="56" spans="1:14" ht="63.75" x14ac:dyDescent="0.2">
      <c r="A56" s="2456" t="s">
        <v>2028</v>
      </c>
      <c r="B56" s="2457"/>
      <c r="C56" s="2458"/>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2038</v>
      </c>
      <c r="B58" s="2439"/>
      <c r="C58" s="2439"/>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0</v>
      </c>
      <c r="F63" s="1972"/>
      <c r="G63" s="2031"/>
      <c r="H63" s="2032"/>
      <c r="I63" s="2032"/>
      <c r="J63" s="2032"/>
      <c r="K63" s="2032"/>
      <c r="L63" s="2032"/>
      <c r="M63" s="2032"/>
      <c r="N63" s="1975">
        <f t="shared" si="4"/>
        <v>0</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0</v>
      </c>
      <c r="F65" s="1972"/>
      <c r="G65" s="2031"/>
      <c r="H65" s="2032"/>
      <c r="I65" s="2032"/>
      <c r="J65" s="2032"/>
      <c r="K65" s="2032"/>
      <c r="L65" s="2032"/>
      <c r="M65" s="2032"/>
      <c r="N65" s="1975">
        <f t="shared" si="4"/>
        <v>0</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2039</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2040</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7"/>
  <sheetViews>
    <sheetView showGridLines="0" zoomScale="110" zoomScaleNormal="110" workbookViewId="0">
      <selection activeCell="B1" sqref="B1"/>
    </sheetView>
  </sheetViews>
  <sheetFormatPr defaultRowHeight="12.75" x14ac:dyDescent="0.2"/>
  <cols>
    <col min="1" max="1" width="3" style="307" customWidth="1"/>
    <col min="2" max="2" width="109.140625" style="307" customWidth="1"/>
    <col min="3" max="3" width="3.140625" style="307" customWidth="1"/>
    <col min="4" max="4" width="9.140625" style="307" customWidth="1"/>
    <col min="5" max="16384" width="9.140625" style="307"/>
  </cols>
  <sheetData>
    <row r="2" spans="1:2" x14ac:dyDescent="0.2">
      <c r="A2" s="366" t="s">
        <v>256</v>
      </c>
    </row>
    <row r="3" spans="1:2" x14ac:dyDescent="0.2">
      <c r="A3" s="307" t="s">
        <v>257</v>
      </c>
    </row>
    <row r="5" spans="1:2" x14ac:dyDescent="0.2">
      <c r="A5" s="847">
        <v>1</v>
      </c>
      <c r="B5" s="307" t="s">
        <v>2124</v>
      </c>
    </row>
    <row r="6" spans="1:2" x14ac:dyDescent="0.2">
      <c r="A6" s="847">
        <v>2</v>
      </c>
      <c r="B6" s="307" t="s">
        <v>2123</v>
      </c>
    </row>
    <row r="7" spans="1:2" x14ac:dyDescent="0.2">
      <c r="A7" s="847">
        <v>3</v>
      </c>
      <c r="B7" s="307" t="s">
        <v>2072</v>
      </c>
    </row>
    <row r="8" spans="1:2" x14ac:dyDescent="0.2">
      <c r="A8" s="847">
        <v>4</v>
      </c>
      <c r="B8" s="307" t="s">
        <v>2076</v>
      </c>
    </row>
    <row r="9" spans="1:2" x14ac:dyDescent="0.2">
      <c r="A9" s="847">
        <v>5</v>
      </c>
      <c r="B9" s="307" t="s">
        <v>2073</v>
      </c>
    </row>
    <row r="10" spans="1:2" x14ac:dyDescent="0.2">
      <c r="A10" s="847">
        <v>6</v>
      </c>
      <c r="B10" s="307" t="s">
        <v>2074</v>
      </c>
    </row>
    <row r="11" spans="1:2" x14ac:dyDescent="0.2">
      <c r="A11" s="847">
        <v>7</v>
      </c>
      <c r="B11" s="307" t="s">
        <v>2080</v>
      </c>
    </row>
    <row r="12" spans="1:2" x14ac:dyDescent="0.2">
      <c r="A12" s="847">
        <v>8</v>
      </c>
    </row>
    <row r="13" spans="1:2" x14ac:dyDescent="0.2">
      <c r="A13" s="847">
        <v>9</v>
      </c>
    </row>
    <row r="14" spans="1:2" x14ac:dyDescent="0.2">
      <c r="A14" s="847">
        <v>10</v>
      </c>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c r="B66" s="253" t="str">
        <f>COVER!A17</f>
        <v xml:space="preserve"> Capital Area Career Center</v>
      </c>
    </row>
    <row r="67" spans="1:2" x14ac:dyDescent="0.2">
      <c r="B67" s="849">
        <f>COVER!A13</f>
        <v>51084790040</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1" sqref="B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26" sqref="B2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 sqref="B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1285875</xdr:colOff>
                <xdr:row>4</xdr:row>
                <xdr:rowOff>85725</xdr:rowOff>
              </from>
              <to>
                <xdr:col>1</xdr:col>
                <xdr:colOff>2200275</xdr:colOff>
                <xdr:row>8</xdr:row>
                <xdr:rowOff>123825</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26" sqref="B2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1969</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5287816</v>
      </c>
      <c r="C8" s="1813">
        <f>'Acct Summary 7-8'!D8</f>
        <v>0</v>
      </c>
      <c r="D8" s="1813">
        <f>'Acct Summary 7-8'!F8</f>
        <v>0</v>
      </c>
      <c r="E8" s="1813">
        <f>'Acct Summary 7-8'!I8</f>
        <v>0</v>
      </c>
      <c r="F8" s="1813">
        <f>SUM(B8:E8)</f>
        <v>5287816</v>
      </c>
    </row>
    <row r="9" spans="1:8" s="858" customFormat="1" ht="14.25" customHeight="1" thickBot="1" x14ac:dyDescent="0.25">
      <c r="A9" s="857" t="s">
        <v>1353</v>
      </c>
      <c r="B9" s="1814">
        <f>'Acct Summary 7-8'!C17</f>
        <v>5118170</v>
      </c>
      <c r="C9" s="1814">
        <f>'Acct Summary 7-8'!D17</f>
        <v>0</v>
      </c>
      <c r="D9" s="1814">
        <f>'Acct Summary 7-8'!F17</f>
        <v>0</v>
      </c>
      <c r="E9" s="1813"/>
      <c r="F9" s="1813">
        <f>SUM(B9:E9)</f>
        <v>5118170</v>
      </c>
    </row>
    <row r="10" spans="1:8" s="858" customFormat="1" ht="14.25" thickTop="1" thickBot="1" x14ac:dyDescent="0.25">
      <c r="A10" s="859" t="s">
        <v>1354</v>
      </c>
      <c r="B10" s="1815">
        <f>(B8-B9)</f>
        <v>169646</v>
      </c>
      <c r="C10" s="1815">
        <f>(C8-C9)</f>
        <v>0</v>
      </c>
      <c r="D10" s="1815">
        <f>(D8-D9)</f>
        <v>0</v>
      </c>
      <c r="E10" s="1814">
        <f>(E8-E9)</f>
        <v>0</v>
      </c>
      <c r="F10" s="1816">
        <f>SUM(F8-F9)</f>
        <v>169646</v>
      </c>
    </row>
    <row r="11" spans="1:8" s="858" customFormat="1" ht="14.25" thickTop="1" thickBot="1" x14ac:dyDescent="0.25">
      <c r="A11" s="860" t="s">
        <v>1900</v>
      </c>
      <c r="B11" s="1817">
        <f>'Acct Summary 7-8'!C81</f>
        <v>2670617</v>
      </c>
      <c r="C11" s="1817">
        <f>'Acct Summary 7-8'!D81</f>
        <v>0</v>
      </c>
      <c r="D11" s="1817">
        <f>'Acct Summary 7-8'!F81</f>
        <v>0</v>
      </c>
      <c r="E11" s="1817">
        <f>'Acct Summary 7-8'!I81</f>
        <v>0</v>
      </c>
      <c r="F11" s="1818">
        <f>SUM(B11:E11)</f>
        <v>2670617</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24" sqref="D2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51084790040</v>
      </c>
      <c r="E2" s="1542">
        <v>2020</v>
      </c>
      <c r="F2" s="1542">
        <v>1</v>
      </c>
      <c r="G2" s="1899">
        <v>101000300</v>
      </c>
    </row>
    <row r="3" spans="1:7" ht="15" x14ac:dyDescent="0.25">
      <c r="A3" t="s">
        <v>950</v>
      </c>
      <c r="B3" s="135" t="str">
        <f>COVER!A15</f>
        <v>Sangamon</v>
      </c>
      <c r="E3" s="1830" t="s">
        <v>1968</v>
      </c>
      <c r="F3" s="1830" t="s">
        <v>1967</v>
      </c>
      <c r="G3" s="1899">
        <v>101000400</v>
      </c>
    </row>
    <row r="4" spans="1:7" ht="15" x14ac:dyDescent="0.25">
      <c r="A4" t="s">
        <v>1000</v>
      </c>
      <c r="B4" s="135" t="str">
        <f>COVER!A17</f>
        <v xml:space="preserve"> Capital Area Career Center</v>
      </c>
      <c r="E4" s="1828">
        <v>44119</v>
      </c>
      <c r="F4" s="1829">
        <v>44151</v>
      </c>
      <c r="G4" s="1899">
        <v>101000600</v>
      </c>
    </row>
    <row r="5" spans="1:7" ht="15" x14ac:dyDescent="0.25">
      <c r="A5" t="s">
        <v>699</v>
      </c>
      <c r="B5" s="135" t="str">
        <f>COVER!A38</f>
        <v>Jodi Ferriell, Director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066-005315</v>
      </c>
      <c r="G15" s="1899">
        <v>402100400</v>
      </c>
    </row>
    <row r="16" spans="1:7" ht="15" x14ac:dyDescent="0.25">
      <c r="A16" t="s">
        <v>419</v>
      </c>
      <c r="B16" s="135" t="str">
        <f>COVER!T13</f>
        <v>Pehlman and Dold, P.C.</v>
      </c>
      <c r="G16" s="1899">
        <v>402100600</v>
      </c>
    </row>
    <row r="17" spans="1:7" ht="15" x14ac:dyDescent="0.25">
      <c r="A17" t="s">
        <v>878</v>
      </c>
      <c r="B17" s="135" t="str">
        <f>COVER!T15</f>
        <v>Dorinda L Fitzgerald</v>
      </c>
      <c r="G17" s="1899">
        <v>402100800</v>
      </c>
    </row>
    <row r="18" spans="1:7" ht="15" x14ac:dyDescent="0.25">
      <c r="A18" t="s">
        <v>1140</v>
      </c>
      <c r="B18" s="135" t="str">
        <f>COVER!T17</f>
        <v>100 North Amos Avenue</v>
      </c>
      <c r="G18" s="1899">
        <v>102200300</v>
      </c>
    </row>
    <row r="19" spans="1:7" ht="15" x14ac:dyDescent="0.25">
      <c r="A19" t="s">
        <v>880</v>
      </c>
      <c r="B19" s="135" t="str">
        <f>COVER!T25</f>
        <v>dfitzgerald@p-dcpas.com</v>
      </c>
      <c r="G19" s="1899">
        <v>102200400</v>
      </c>
    </row>
    <row r="20" spans="1:7" ht="15" x14ac:dyDescent="0.25">
      <c r="A20" t="s">
        <v>881</v>
      </c>
      <c r="B20" s="135" t="str">
        <f>COVER!T19</f>
        <v>Springfield</v>
      </c>
      <c r="G20" s="1899">
        <v>102200600</v>
      </c>
    </row>
    <row r="21" spans="1:7" ht="15" x14ac:dyDescent="0.25">
      <c r="A21" t="s">
        <v>476</v>
      </c>
      <c r="B21" s="135" t="str">
        <f>COVER!X19</f>
        <v>IL</v>
      </c>
      <c r="G21" s="1899">
        <v>102200800</v>
      </c>
    </row>
    <row r="22" spans="1:7" ht="15" x14ac:dyDescent="0.25">
      <c r="A22" t="s">
        <v>882</v>
      </c>
      <c r="B22" s="135">
        <f>COVER!Z19</f>
        <v>62702</v>
      </c>
      <c r="G22" s="1899">
        <v>102300300</v>
      </c>
    </row>
    <row r="23" spans="1:7" ht="15" x14ac:dyDescent="0.25">
      <c r="A23" t="s">
        <v>1142</v>
      </c>
      <c r="B23" s="135" t="str">
        <f>COVER!T21</f>
        <v>(217) 787-0563</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3002802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16407</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332185</v>
      </c>
      <c r="C91" s="2" t="s">
        <v>569</v>
      </c>
      <c r="D91" s="2" t="str">
        <f t="shared" si="0"/>
        <v>Error?</v>
      </c>
      <c r="G91" s="1899">
        <v>102640400</v>
      </c>
    </row>
    <row r="92" spans="1:7" ht="15" x14ac:dyDescent="0.25">
      <c r="A92" s="5">
        <v>31</v>
      </c>
      <c r="B92" s="1832">
        <f>'Assets-Liab 5-6'!C39</f>
        <v>2670617</v>
      </c>
      <c r="D92" s="2" t="str">
        <f t="shared" si="0"/>
        <v>Error?</v>
      </c>
      <c r="G92" s="1899">
        <v>102640600</v>
      </c>
    </row>
    <row r="93" spans="1:7" ht="15" x14ac:dyDescent="0.25">
      <c r="A93" s="5">
        <v>32</v>
      </c>
      <c r="B93" s="1832">
        <f>'Assets-Liab 5-6'!C41</f>
        <v>3002802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139956</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89956</v>
      </c>
      <c r="D212" s="2" t="str">
        <f t="shared" si="2"/>
        <v>Error?</v>
      </c>
    </row>
    <row r="213" spans="1:4" x14ac:dyDescent="0.2">
      <c r="A213" s="12">
        <v>152</v>
      </c>
      <c r="B213" s="1832">
        <f>'Assets-Liab 5-6'!H41</f>
        <v>139956</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300000</v>
      </c>
      <c r="D273" s="2" t="str">
        <f t="shared" si="3"/>
        <v>Error?</v>
      </c>
    </row>
    <row r="274" spans="1:4" x14ac:dyDescent="0.2">
      <c r="A274" s="5">
        <v>213</v>
      </c>
      <c r="B274" s="1832">
        <f>'Assets-Liab 5-6'!M17</f>
        <v>11692395</v>
      </c>
      <c r="D274" s="2" t="str">
        <f t="shared" si="3"/>
        <v>Error?</v>
      </c>
    </row>
    <row r="275" spans="1:4" x14ac:dyDescent="0.2">
      <c r="A275" s="5">
        <v>214</v>
      </c>
      <c r="B275" s="1832">
        <f>'Assets-Liab 5-6'!M18</f>
        <v>632484</v>
      </c>
      <c r="D275" s="2" t="str">
        <f t="shared" si="3"/>
        <v>Error?</v>
      </c>
    </row>
    <row r="276" spans="1:4" x14ac:dyDescent="0.2">
      <c r="A276" s="5">
        <v>215</v>
      </c>
      <c r="B276" s="1832">
        <f>'Assets-Liab 5-6'!M19</f>
        <v>1594442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14222936</v>
      </c>
      <c r="C279" s="2" t="s">
        <v>569</v>
      </c>
      <c r="D279" s="2" t="str">
        <f t="shared" si="3"/>
        <v>Error?</v>
      </c>
    </row>
    <row r="280" spans="1:4" x14ac:dyDescent="0.2">
      <c r="A280" s="5">
        <v>219</v>
      </c>
      <c r="B280" s="1832">
        <f>'Assets-Liab 5-6'!M40</f>
        <v>14222936</v>
      </c>
      <c r="D280" s="2" t="str">
        <f t="shared" si="3"/>
        <v>Error?</v>
      </c>
    </row>
    <row r="281" spans="1:4" x14ac:dyDescent="0.2">
      <c r="A281" s="5">
        <v>220</v>
      </c>
      <c r="B281" s="1832">
        <f>'Assets-Liab 5-6'!M41</f>
        <v>14222936</v>
      </c>
      <c r="C281" s="2" t="s">
        <v>569</v>
      </c>
      <c r="D281" s="2" t="str">
        <f t="shared" si="3"/>
        <v>Error?</v>
      </c>
    </row>
    <row r="282" spans="1:4" x14ac:dyDescent="0.2">
      <c r="A282" s="5">
        <v>221</v>
      </c>
      <c r="B282" s="1832">
        <f>'Assets-Liab 5-6'!N21</f>
        <v>1672165</v>
      </c>
      <c r="D282" s="2" t="str">
        <f t="shared" si="3"/>
        <v>Error?</v>
      </c>
    </row>
    <row r="283" spans="1:4" x14ac:dyDescent="0.2">
      <c r="A283" s="5">
        <v>222</v>
      </c>
      <c r="B283" s="1832">
        <f>'Assets-Liab 5-6'!N22</f>
        <v>0</v>
      </c>
      <c r="D283" s="2" t="str">
        <f t="shared" si="3"/>
        <v>Error?</v>
      </c>
    </row>
    <row r="284" spans="1:4" x14ac:dyDescent="0.2">
      <c r="A284" s="5">
        <v>223</v>
      </c>
      <c r="B284" s="1832">
        <f>'Assets-Liab 5-6'!N23</f>
        <v>1672165</v>
      </c>
      <c r="C284" s="2" t="s">
        <v>569</v>
      </c>
      <c r="D284" s="2" t="str">
        <f t="shared" si="3"/>
        <v>Error?</v>
      </c>
    </row>
    <row r="285" spans="1:4" x14ac:dyDescent="0.2">
      <c r="A285" s="5">
        <v>224</v>
      </c>
      <c r="B285" s="1832">
        <f>'Assets-Liab 5-6'!N36</f>
        <v>1672165</v>
      </c>
      <c r="D285" s="2" t="str">
        <f t="shared" si="3"/>
        <v>Error?</v>
      </c>
    </row>
    <row r="286" spans="1:4" x14ac:dyDescent="0.2">
      <c r="A286" s="10">
        <v>225</v>
      </c>
      <c r="B286" s="1832"/>
      <c r="D286" s="2" t="str">
        <f t="shared" si="3"/>
        <v>OK</v>
      </c>
    </row>
    <row r="287" spans="1:4" x14ac:dyDescent="0.2">
      <c r="A287" s="5">
        <v>226</v>
      </c>
      <c r="B287" s="1832">
        <f>'Assets-Liab 5-6'!N37</f>
        <v>1672165</v>
      </c>
      <c r="C287" s="2" t="s">
        <v>569</v>
      </c>
      <c r="D287" s="2" t="str">
        <f t="shared" si="3"/>
        <v>Error?</v>
      </c>
    </row>
    <row r="288" spans="1:4" x14ac:dyDescent="0.2">
      <c r="A288" s="5">
        <v>227</v>
      </c>
      <c r="B288" s="1832">
        <f>'Assets-Liab 5-6'!N41</f>
        <v>1672165</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974836</v>
      </c>
      <c r="D716" s="2" t="str">
        <f t="shared" si="10"/>
        <v>Error?</v>
      </c>
    </row>
    <row r="717" spans="1:4" x14ac:dyDescent="0.2">
      <c r="A717" s="5">
        <v>656</v>
      </c>
      <c r="B717" s="1832">
        <f>'Expenditures 15-22'!C13</f>
        <v>940436</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1953800</v>
      </c>
      <c r="C720" s="2" t="s">
        <v>569</v>
      </c>
      <c r="D720" s="2" t="str">
        <f t="shared" si="10"/>
        <v>Error?</v>
      </c>
    </row>
    <row r="721" spans="1:4" x14ac:dyDescent="0.2">
      <c r="A721" s="5">
        <v>660</v>
      </c>
      <c r="B721" s="1832">
        <f>'Expenditures 15-22'!C36</f>
        <v>21052</v>
      </c>
      <c r="D721" s="2" t="str">
        <f t="shared" si="10"/>
        <v>Error?</v>
      </c>
    </row>
    <row r="722" spans="1:4" x14ac:dyDescent="0.2">
      <c r="A722" s="5">
        <v>661</v>
      </c>
      <c r="B722" s="1832">
        <f>'Expenditures 15-22'!C37</f>
        <v>31277</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52329</v>
      </c>
      <c r="C727" s="2" t="s">
        <v>569</v>
      </c>
      <c r="D727" s="2" t="str">
        <f t="shared" si="10"/>
        <v>Error?</v>
      </c>
    </row>
    <row r="728" spans="1:4" x14ac:dyDescent="0.2">
      <c r="A728" s="5">
        <v>667</v>
      </c>
      <c r="B728" s="1832">
        <f>'Expenditures 15-22'!C44</f>
        <v>510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510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123876</v>
      </c>
      <c r="D733" s="2" t="str">
        <f t="shared" si="10"/>
        <v>Error?</v>
      </c>
    </row>
    <row r="734" spans="1:4" x14ac:dyDescent="0.2">
      <c r="A734" s="5">
        <v>673</v>
      </c>
      <c r="B734" s="1832">
        <f>'Expenditures 15-22'!C53</f>
        <v>123876</v>
      </c>
      <c r="C734" s="2" t="s">
        <v>569</v>
      </c>
      <c r="D734" s="2" t="str">
        <f t="shared" si="10"/>
        <v>Error?</v>
      </c>
    </row>
    <row r="735" spans="1:4" x14ac:dyDescent="0.2">
      <c r="A735" s="5">
        <v>674</v>
      </c>
      <c r="B735" s="1832">
        <f>'Expenditures 15-22'!C55</f>
        <v>75533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75533</v>
      </c>
      <c r="C737" s="2" t="s">
        <v>569</v>
      </c>
      <c r="D737" s="2" t="str">
        <f t="shared" si="10"/>
        <v>Error?</v>
      </c>
    </row>
    <row r="738" spans="1:4" x14ac:dyDescent="0.2">
      <c r="A738" s="5">
        <v>677</v>
      </c>
      <c r="B738" s="1832">
        <f>'Expenditures 15-22'!C59</f>
        <v>108502</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289612</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44050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442164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694412</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2648212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254861</v>
      </c>
      <c r="D774" s="2" t="str">
        <f t="shared" si="11"/>
        <v>Error?</v>
      </c>
    </row>
    <row r="775" spans="1:4" x14ac:dyDescent="0.2">
      <c r="A775" s="5">
        <v>714</v>
      </c>
      <c r="B775" s="1832">
        <f>'Expenditures 15-22'!D13</f>
        <v>239841</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500355</v>
      </c>
      <c r="C778" s="2" t="s">
        <v>569</v>
      </c>
      <c r="D778" s="2" t="str">
        <f t="shared" si="11"/>
        <v>Error?</v>
      </c>
    </row>
    <row r="779" spans="1:4" x14ac:dyDescent="0.2">
      <c r="A779" s="5">
        <v>718</v>
      </c>
      <c r="B779" s="1832">
        <f>'Expenditures 15-22'!D36</f>
        <v>9982</v>
      </c>
      <c r="D779" s="2" t="str">
        <f t="shared" si="11"/>
        <v>Error?</v>
      </c>
    </row>
    <row r="780" spans="1:4" x14ac:dyDescent="0.2">
      <c r="A780" s="5">
        <v>719</v>
      </c>
      <c r="B780" s="1832">
        <f>'Expenditures 15-22'!D37</f>
        <v>11303</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21285</v>
      </c>
      <c r="C785" s="2" t="s">
        <v>569</v>
      </c>
      <c r="D785" s="2" t="str">
        <f t="shared" si="11"/>
        <v>Error?</v>
      </c>
    </row>
    <row r="786" spans="1:4" x14ac:dyDescent="0.2">
      <c r="A786" s="5">
        <v>725</v>
      </c>
      <c r="B786" s="1832">
        <f>'Expenditures 15-22'!D44</f>
        <v>14</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14</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28491</v>
      </c>
      <c r="D791" s="2" t="str">
        <f t="shared" si="11"/>
        <v>Error?</v>
      </c>
    </row>
    <row r="792" spans="1:4" x14ac:dyDescent="0.2">
      <c r="A792" s="5">
        <v>731</v>
      </c>
      <c r="B792" s="1832">
        <f>'Expenditures 15-22'!D53</f>
        <v>28491</v>
      </c>
      <c r="C792" s="2" t="s">
        <v>569</v>
      </c>
      <c r="D792" s="2" t="str">
        <f t="shared" si="11"/>
        <v>Error?</v>
      </c>
    </row>
    <row r="793" spans="1:4" x14ac:dyDescent="0.2">
      <c r="A793" s="5">
        <v>732</v>
      </c>
      <c r="B793" s="1832">
        <f>'Expenditures 15-22'!D55</f>
        <v>21548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21548</v>
      </c>
      <c r="C795" s="2" t="s">
        <v>569</v>
      </c>
      <c r="D795" s="2" t="str">
        <f t="shared" si="11"/>
        <v>Error?</v>
      </c>
    </row>
    <row r="796" spans="1:4" x14ac:dyDescent="0.2">
      <c r="A796" s="5">
        <v>735</v>
      </c>
      <c r="B796" s="1832">
        <f>'Expenditures 15-22'!D59</f>
        <v>27623</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88480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6266</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122369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193707</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694062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372169</v>
      </c>
      <c r="D832" s="2" t="str">
        <f t="shared" si="12"/>
        <v>Error?</v>
      </c>
    </row>
    <row r="833" spans="1:4" x14ac:dyDescent="0.2">
      <c r="A833" s="5">
        <v>772</v>
      </c>
      <c r="B833" s="1832">
        <f>'Expenditures 15-22'!E13</f>
        <v>136845</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509014</v>
      </c>
      <c r="C836" s="2" t="s">
        <v>569</v>
      </c>
      <c r="D836" s="2" t="str">
        <f t="shared" si="12"/>
        <v>Error?</v>
      </c>
    </row>
    <row r="837" spans="1:4" x14ac:dyDescent="0.2">
      <c r="A837" s="5">
        <v>776</v>
      </c>
      <c r="B837" s="1832">
        <f>'Expenditures 15-22'!E36</f>
        <v>13693</v>
      </c>
      <c r="D837" s="2" t="str">
        <f t="shared" si="12"/>
        <v>Error?</v>
      </c>
    </row>
    <row r="838" spans="1:4" x14ac:dyDescent="0.2">
      <c r="A838" s="5">
        <v>777</v>
      </c>
      <c r="B838" s="1832">
        <f>'Expenditures 15-22'!E37</f>
        <v>11588</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25281</v>
      </c>
      <c r="C843" s="2" t="s">
        <v>569</v>
      </c>
      <c r="D843" s="2" t="str">
        <f t="shared" si="12"/>
        <v>Error?</v>
      </c>
    </row>
    <row r="844" spans="1:4" x14ac:dyDescent="0.2">
      <c r="A844" s="5">
        <v>783</v>
      </c>
      <c r="B844" s="1832">
        <f>'Expenditures 15-22'!E44</f>
        <v>3497</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7554</v>
      </c>
      <c r="D846" s="2" t="str">
        <f t="shared" si="12"/>
        <v>Error?</v>
      </c>
    </row>
    <row r="847" spans="1:4" x14ac:dyDescent="0.2">
      <c r="A847" s="5">
        <v>786</v>
      </c>
      <c r="B847" s="1832">
        <f>'Expenditures 15-22'!E47</f>
        <v>11051</v>
      </c>
      <c r="C847" s="2" t="s">
        <v>569</v>
      </c>
      <c r="D847" s="2" t="str">
        <f t="shared" si="12"/>
        <v>Error?</v>
      </c>
    </row>
    <row r="848" spans="1:4" x14ac:dyDescent="0.2">
      <c r="A848" s="5">
        <v>787</v>
      </c>
      <c r="B848" s="1832">
        <f>'Expenditures 15-22'!E49</f>
        <v>37509</v>
      </c>
      <c r="D848" s="2" t="str">
        <f t="shared" si="12"/>
        <v>Error?</v>
      </c>
    </row>
    <row r="849" spans="1:4" x14ac:dyDescent="0.2">
      <c r="A849" s="5">
        <v>788</v>
      </c>
      <c r="B849" s="1832">
        <f>'Expenditures 15-22'!E50</f>
        <v>1778</v>
      </c>
      <c r="D849" s="2" t="str">
        <f t="shared" si="12"/>
        <v>Error?</v>
      </c>
    </row>
    <row r="850" spans="1:4" x14ac:dyDescent="0.2">
      <c r="A850" s="5">
        <v>789</v>
      </c>
      <c r="B850" s="1832">
        <f>'Expenditures 15-22'!E53</f>
        <v>39287</v>
      </c>
      <c r="C850" s="2" t="s">
        <v>569</v>
      </c>
      <c r="D850" s="2" t="str">
        <f t="shared" si="12"/>
        <v>Error?</v>
      </c>
    </row>
    <row r="851" spans="1:4" x14ac:dyDescent="0.2">
      <c r="A851" s="5">
        <v>790</v>
      </c>
      <c r="B851" s="1832">
        <f>'Expenditures 15-22'!E55</f>
        <v>3486</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3486</v>
      </c>
      <c r="C853" s="2" t="s">
        <v>569</v>
      </c>
      <c r="D853" s="2" t="str">
        <f t="shared" si="12"/>
        <v>Error?</v>
      </c>
    </row>
    <row r="854" spans="1:4" x14ac:dyDescent="0.2">
      <c r="A854" s="5">
        <v>793</v>
      </c>
      <c r="B854" s="1832">
        <f>'Expenditures 15-22'!E59</f>
        <v>16669</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529998</v>
      </c>
      <c r="D856" s="2" t="str">
        <f t="shared" si="12"/>
        <v>Error?</v>
      </c>
    </row>
    <row r="857" spans="1:4" x14ac:dyDescent="0.2">
      <c r="A857" s="5">
        <v>796</v>
      </c>
      <c r="B857" s="1832">
        <f>'Expenditures 15-22'!E62</f>
        <v>1872</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548539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627644</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1136658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201328</v>
      </c>
      <c r="D890" s="2" t="str">
        <f t="shared" si="12"/>
        <v>Error?</v>
      </c>
    </row>
    <row r="891" spans="1:4" x14ac:dyDescent="0.2">
      <c r="A891" s="5">
        <v>830</v>
      </c>
      <c r="B891" s="1832">
        <f>'Expenditures 15-22'!F13</f>
        <v>112093</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313856</v>
      </c>
      <c r="C894" s="2" t="s">
        <v>569</v>
      </c>
      <c r="D894" s="2" t="str">
        <f t="shared" si="12"/>
        <v>Error?</v>
      </c>
    </row>
    <row r="895" spans="1:4" x14ac:dyDescent="0.2">
      <c r="A895" s="5">
        <v>834</v>
      </c>
      <c r="B895" s="1832">
        <f>'Expenditures 15-22'!F36</f>
        <v>8450</v>
      </c>
      <c r="D895" s="2" t="str">
        <f t="shared" ref="D895:D958" si="13">IF(ISBLANK(B895),"OK",IF(A895-B895=0,"OK","Error?"))</f>
        <v>Error?</v>
      </c>
    </row>
    <row r="896" spans="1:4" x14ac:dyDescent="0.2">
      <c r="A896" s="5">
        <v>835</v>
      </c>
      <c r="B896" s="1832">
        <f>'Expenditures 15-22'!F37</f>
        <v>2341</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10791</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2036</v>
      </c>
      <c r="D906" s="2" t="str">
        <f t="shared" si="13"/>
        <v>Error?</v>
      </c>
    </row>
    <row r="907" spans="1:4" x14ac:dyDescent="0.2">
      <c r="A907" s="5">
        <v>846</v>
      </c>
      <c r="B907" s="1832">
        <f>'Expenditures 15-22'!F50</f>
        <v>44</v>
      </c>
      <c r="D907" s="2" t="str">
        <f t="shared" si="13"/>
        <v>Error?</v>
      </c>
    </row>
    <row r="908" spans="1:4" x14ac:dyDescent="0.2">
      <c r="A908" s="5">
        <v>847</v>
      </c>
      <c r="B908" s="1832">
        <f>'Expenditures 15-22'!F53</f>
        <v>2080</v>
      </c>
      <c r="C908" s="2" t="s">
        <v>569</v>
      </c>
      <c r="D908" s="2" t="str">
        <f t="shared" si="13"/>
        <v>Error?</v>
      </c>
    </row>
    <row r="909" spans="1:4" x14ac:dyDescent="0.2">
      <c r="A909" s="5">
        <v>848</v>
      </c>
      <c r="B909" s="1832">
        <f>'Expenditures 15-22'!F55</f>
        <v>175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175</v>
      </c>
      <c r="C911" s="2" t="s">
        <v>569</v>
      </c>
      <c r="D911" s="2" t="str">
        <f t="shared" si="13"/>
        <v>Error?</v>
      </c>
    </row>
    <row r="912" spans="1:4" x14ac:dyDescent="0.2">
      <c r="A912" s="5">
        <v>851</v>
      </c>
      <c r="B912" s="1832">
        <f>'Expenditures 15-22'!F59</f>
        <v>6375</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61716</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19784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87875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100921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414777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22281</v>
      </c>
      <c r="D948" s="2" t="str">
        <f t="shared" si="13"/>
        <v>Error?</v>
      </c>
    </row>
    <row r="949" spans="1:4" x14ac:dyDescent="0.2">
      <c r="A949" s="5">
        <v>888</v>
      </c>
      <c r="B949" s="1832">
        <f>'Expenditures 15-22'!G13</f>
        <v>55261</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77542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82709</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82709</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82709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160251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4899</v>
      </c>
      <c r="D1006" s="2" t="str">
        <f t="shared" si="14"/>
        <v>Error?</v>
      </c>
    </row>
    <row r="1007" spans="1:4" x14ac:dyDescent="0.2">
      <c r="A1007" s="5">
        <v>946</v>
      </c>
      <c r="B1007" s="1832">
        <f>'Expenditures 15-22'!H13</f>
        <v>729</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5628</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165</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165</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1984</v>
      </c>
      <c r="D1022" s="2" t="str">
        <f t="shared" si="14"/>
        <v>Error?</v>
      </c>
    </row>
    <row r="1023" spans="1:4" x14ac:dyDescent="0.2">
      <c r="A1023" s="5">
        <v>962</v>
      </c>
      <c r="B1023" s="1832">
        <f>'Expenditures 15-22'!H50</f>
        <v>1163</v>
      </c>
      <c r="D1023" s="2" t="str">
        <f t="shared" ref="D1023:D1086" si="15">IF(ISBLANK(B1023),"OK",IF(A1023-B1023=0,"OK","Error?"))</f>
        <v>Error?</v>
      </c>
    </row>
    <row r="1024" spans="1:4" x14ac:dyDescent="0.2">
      <c r="A1024" s="5">
        <v>963</v>
      </c>
      <c r="B1024" s="1832">
        <f>'Expenditures 15-22'!H53</f>
        <v>3147</v>
      </c>
      <c r="C1024" s="2" t="s">
        <v>569</v>
      </c>
      <c r="D1024" s="2" t="str">
        <f t="shared" si="15"/>
        <v>Error?</v>
      </c>
    </row>
    <row r="1025" spans="1:4" x14ac:dyDescent="0.2">
      <c r="A1025" s="5">
        <v>964</v>
      </c>
      <c r="B1025" s="1832">
        <f>'Expenditures 15-22'!H55</f>
        <v>626</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626</v>
      </c>
      <c r="C1027" s="2" t="s">
        <v>569</v>
      </c>
      <c r="D1027" s="2" t="str">
        <f t="shared" si="15"/>
        <v>Error?</v>
      </c>
    </row>
    <row r="1028" spans="1:4" x14ac:dyDescent="0.2">
      <c r="A1028" s="5">
        <v>967</v>
      </c>
      <c r="B1028" s="1832">
        <f>'Expenditures 15-22'!H59</f>
        <v>5122</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5122</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9060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14688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1847503</v>
      </c>
      <c r="C1104" s="2" t="s">
        <v>569</v>
      </c>
      <c r="D1104" s="2" t="str">
        <f t="shared" si="16"/>
        <v>Error?</v>
      </c>
    </row>
    <row r="1105" spans="1:4" x14ac:dyDescent="0.2">
      <c r="A1105" s="5">
        <v>1044</v>
      </c>
      <c r="B1105" s="1832">
        <f>'Expenditures 15-22'!K13</f>
        <v>1510769</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3402888</v>
      </c>
      <c r="C1108" s="2" t="s">
        <v>569</v>
      </c>
      <c r="D1108" s="2" t="str">
        <f t="shared" si="16"/>
        <v>Error?</v>
      </c>
    </row>
    <row r="1109" spans="1:4" x14ac:dyDescent="0.2">
      <c r="A1109" s="5">
        <v>1048</v>
      </c>
      <c r="B1109" s="1832">
        <f>'Expenditures 15-22'!K36</f>
        <v>53177</v>
      </c>
      <c r="C1109" s="2" t="s">
        <v>569</v>
      </c>
      <c r="D1109" s="2" t="str">
        <f t="shared" si="16"/>
        <v>Error?</v>
      </c>
    </row>
    <row r="1110" spans="1:4" x14ac:dyDescent="0.2">
      <c r="A1110" s="5">
        <v>1049</v>
      </c>
      <c r="B1110" s="1832">
        <f>'Expenditures 15-22'!K37</f>
        <v>56674</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109851</v>
      </c>
      <c r="C1115" s="2" t="s">
        <v>569</v>
      </c>
      <c r="D1115" s="2" t="str">
        <f t="shared" si="16"/>
        <v>Error?</v>
      </c>
    </row>
    <row r="1116" spans="1:4" x14ac:dyDescent="0.2">
      <c r="A1116" s="5">
        <v>1055</v>
      </c>
      <c r="B1116" s="1832">
        <f>'Expenditures 15-22'!K44</f>
        <v>4021</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7554</v>
      </c>
      <c r="C1118" s="2" t="s">
        <v>569</v>
      </c>
      <c r="D1118" s="2" t="str">
        <f t="shared" si="16"/>
        <v>Error?</v>
      </c>
    </row>
    <row r="1119" spans="1:4" x14ac:dyDescent="0.2">
      <c r="A1119" s="5">
        <v>1058</v>
      </c>
      <c r="B1119" s="1832">
        <f>'Expenditures 15-22'!K47</f>
        <v>11575</v>
      </c>
      <c r="C1119" s="2" t="s">
        <v>569</v>
      </c>
      <c r="D1119" s="2" t="str">
        <f t="shared" si="16"/>
        <v>Error?</v>
      </c>
    </row>
    <row r="1120" spans="1:4" x14ac:dyDescent="0.2">
      <c r="A1120" s="5">
        <v>1059</v>
      </c>
      <c r="B1120" s="1832">
        <f>'Expenditures 15-22'!K49</f>
        <v>41529</v>
      </c>
      <c r="C1120" s="2" t="s">
        <v>569</v>
      </c>
      <c r="D1120" s="2" t="str">
        <f t="shared" si="16"/>
        <v>Error?</v>
      </c>
    </row>
    <row r="1121" spans="1:4" x14ac:dyDescent="0.2">
      <c r="A1121" s="5">
        <v>1060</v>
      </c>
      <c r="B1121" s="1832">
        <f>'Expenditures 15-22'!K50</f>
        <v>155352</v>
      </c>
      <c r="C1121" s="2" t="s">
        <v>569</v>
      </c>
      <c r="D1121" s="2" t="str">
        <f t="shared" si="16"/>
        <v>Error?</v>
      </c>
    </row>
    <row r="1122" spans="1:4" x14ac:dyDescent="0.2">
      <c r="A1122" s="5">
        <v>1061</v>
      </c>
      <c r="B1122" s="1832">
        <f>'Expenditures 15-22'!K53</f>
        <v>196881</v>
      </c>
      <c r="C1122" s="2" t="s">
        <v>569</v>
      </c>
      <c r="D1122" s="2" t="str">
        <f t="shared" si="16"/>
        <v>Error?</v>
      </c>
    </row>
    <row r="1123" spans="1:4" x14ac:dyDescent="0.2">
      <c r="A1123" s="5">
        <v>1062</v>
      </c>
      <c r="B1123" s="1832">
        <f>'Expenditures 15-22'!K55</f>
        <v>102048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102048</v>
      </c>
      <c r="C1125" s="2" t="s">
        <v>569</v>
      </c>
      <c r="D1125" s="2" t="str">
        <f t="shared" si="16"/>
        <v>Error?</v>
      </c>
    </row>
    <row r="1126" spans="1:4" x14ac:dyDescent="0.2">
      <c r="A1126" s="5">
        <v>1065</v>
      </c>
      <c r="B1126" s="1832">
        <f>'Expenditures 15-22'!K59</f>
        <v>164291</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1058664</v>
      </c>
      <c r="C1128" s="2" t="s">
        <v>569</v>
      </c>
      <c r="D1128" s="2" t="str">
        <f t="shared" si="16"/>
        <v>Error?</v>
      </c>
    </row>
    <row r="1129" spans="1:4" x14ac:dyDescent="0.2">
      <c r="A1129" s="5">
        <v>1068</v>
      </c>
      <c r="B1129" s="1832">
        <f>'Expenditures 15-22'!K62</f>
        <v>1872</v>
      </c>
      <c r="C1129" s="2" t="s">
        <v>569</v>
      </c>
      <c r="D1129" s="2" t="str">
        <f t="shared" si="16"/>
        <v>Error?</v>
      </c>
    </row>
    <row r="1130" spans="1:4" x14ac:dyDescent="0.2">
      <c r="A1130" s="5">
        <v>1069</v>
      </c>
      <c r="B1130" s="1832">
        <f>'Expenditures 15-22'!K63</f>
        <v>70100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1294927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1715282</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5118170</v>
      </c>
      <c r="C1152" s="2" t="s">
        <v>569</v>
      </c>
      <c r="D1152" s="2" t="str">
        <f t="shared" si="17"/>
        <v>Error?</v>
      </c>
    </row>
    <row r="1153" spans="1:4" x14ac:dyDescent="0.2">
      <c r="A1153" s="5">
        <v>1092</v>
      </c>
      <c r="B1153" s="1832">
        <f>'Expenditures 15-22'!K115</f>
        <v>169646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642988</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642988</v>
      </c>
      <c r="C1547" s="2" t="s">
        <v>569</v>
      </c>
      <c r="D1547" s="2" t="str">
        <f t="shared" si="23"/>
        <v>Error?</v>
      </c>
    </row>
    <row r="1548" spans="1:4" x14ac:dyDescent="0.2">
      <c r="A1548" s="5">
        <v>1487</v>
      </c>
      <c r="B1548" s="1832">
        <f>'Expenditures 15-22'!G312</f>
        <v>642988</v>
      </c>
      <c r="C1548" s="2" t="s">
        <v>569</v>
      </c>
      <c r="D1548" s="2" t="str">
        <f t="shared" si="23"/>
        <v>Error?</v>
      </c>
    </row>
    <row r="1549" spans="1:4" x14ac:dyDescent="0.2">
      <c r="A1549" s="5">
        <v>1488</v>
      </c>
      <c r="B1549" s="1832">
        <f>'Expenditures 15-22'!H301</f>
        <v>234</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234</v>
      </c>
      <c r="C1553" s="2" t="s">
        <v>569</v>
      </c>
      <c r="D1553" s="2" t="str">
        <f t="shared" si="23"/>
        <v>Error?</v>
      </c>
    </row>
    <row r="1554" spans="1:4" x14ac:dyDescent="0.2">
      <c r="A1554" s="5">
        <v>1493</v>
      </c>
      <c r="B1554" s="1832">
        <f>'Expenditures 15-22'!H312</f>
        <v>234</v>
      </c>
      <c r="C1554" s="2" t="s">
        <v>569</v>
      </c>
      <c r="D1554" s="2" t="str">
        <f t="shared" si="23"/>
        <v>Error?</v>
      </c>
    </row>
    <row r="1555" spans="1:4" x14ac:dyDescent="0.2">
      <c r="A1555" s="5">
        <v>1494</v>
      </c>
      <c r="B1555" s="1832">
        <f>'Expenditures 15-22'!K301</f>
        <v>643222</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643222</v>
      </c>
      <c r="C1559" s="2" t="s">
        <v>569</v>
      </c>
      <c r="D1559" s="2" t="str">
        <f t="shared" si="23"/>
        <v>Error?</v>
      </c>
    </row>
    <row r="1560" spans="1:4" x14ac:dyDescent="0.2">
      <c r="A1560" s="5">
        <v>1499</v>
      </c>
      <c r="B1560" s="1832">
        <f>'Expenditures 15-22'!K312</f>
        <v>643222</v>
      </c>
      <c r="C1560" s="2" t="s">
        <v>569</v>
      </c>
      <c r="D1560" s="2" t="str">
        <f t="shared" si="23"/>
        <v>Error?</v>
      </c>
    </row>
    <row r="1561" spans="1:4" x14ac:dyDescent="0.2">
      <c r="A1561" s="5">
        <v>1500</v>
      </c>
      <c r="B1561" s="1832">
        <f>'Expenditures 15-22'!K313</f>
        <v>-585487</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3153971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2670617</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25443</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139956</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1734482</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300000</v>
      </c>
      <c r="D2008" s="2" t="str">
        <f t="shared" si="30"/>
        <v>Error?</v>
      </c>
    </row>
    <row r="2009" spans="1:4" x14ac:dyDescent="0.2">
      <c r="A2009" s="5">
        <v>1948</v>
      </c>
      <c r="B2009" s="1832">
        <f>'Cap Outlay Deprec 26'!C8</f>
        <v>11044929</v>
      </c>
      <c r="D2009" s="2" t="str">
        <f t="shared" si="30"/>
        <v>Error?</v>
      </c>
    </row>
    <row r="2010" spans="1:4" x14ac:dyDescent="0.2">
      <c r="A2010" s="5">
        <v>1949</v>
      </c>
      <c r="B2010" s="1832">
        <f>'Cap Outlay Deprec 26'!C10</f>
        <v>588573</v>
      </c>
      <c r="D2010" s="2" t="str">
        <f t="shared" si="30"/>
        <v>Error?</v>
      </c>
    </row>
    <row r="2011" spans="1:4" x14ac:dyDescent="0.2">
      <c r="A2011" s="5">
        <v>1950</v>
      </c>
      <c r="B2011" s="1832">
        <f>'Cap Outlay Deprec 26'!C12</f>
        <v>1494736</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13449262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647466</v>
      </c>
      <c r="D2015" s="2" t="str">
        <f t="shared" si="30"/>
        <v>Error?</v>
      </c>
    </row>
    <row r="2016" spans="1:4" x14ac:dyDescent="0.2">
      <c r="A2016" s="5">
        <v>1955</v>
      </c>
      <c r="B2016" s="1832">
        <f>'Cap Outlay Deprec 26'!D10</f>
        <v>43911</v>
      </c>
      <c r="D2016" s="2" t="str">
        <f t="shared" si="30"/>
        <v>Error?</v>
      </c>
    </row>
    <row r="2017" spans="1:4" x14ac:dyDescent="0.2">
      <c r="A2017" s="5">
        <v>1956</v>
      </c>
      <c r="B2017" s="1832">
        <f>'Cap Outlay Deprec 26'!D12</f>
        <v>129271</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824263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29565</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50589</v>
      </c>
      <c r="C2025" s="2" t="s">
        <v>569</v>
      </c>
      <c r="D2025" s="2" t="str">
        <f t="shared" si="30"/>
        <v>Error?</v>
      </c>
    </row>
    <row r="2026" spans="1:4" x14ac:dyDescent="0.2">
      <c r="A2026" s="5">
        <v>1965</v>
      </c>
      <c r="B2026" s="1832">
        <f>'Cap Outlay Deprec 26'!F5</f>
        <v>300000</v>
      </c>
      <c r="C2026" s="2" t="s">
        <v>569</v>
      </c>
      <c r="D2026" s="2" t="str">
        <f t="shared" si="30"/>
        <v>Error?</v>
      </c>
    </row>
    <row r="2027" spans="1:4" x14ac:dyDescent="0.2">
      <c r="A2027" s="5">
        <v>1966</v>
      </c>
      <c r="B2027" s="1832">
        <f>'Cap Outlay Deprec 26'!F8</f>
        <v>11692395</v>
      </c>
      <c r="C2027" s="2" t="s">
        <v>569</v>
      </c>
      <c r="D2027" s="2" t="str">
        <f t="shared" si="30"/>
        <v>Error?</v>
      </c>
    </row>
    <row r="2028" spans="1:4" x14ac:dyDescent="0.2">
      <c r="A2028" s="5">
        <v>1967</v>
      </c>
      <c r="B2028" s="1832">
        <f>'Cap Outlay Deprec 26'!F10</f>
        <v>632484</v>
      </c>
      <c r="C2028" s="2" t="s">
        <v>569</v>
      </c>
      <c r="D2028" s="2" t="str">
        <f t="shared" si="30"/>
        <v>Error?</v>
      </c>
    </row>
    <row r="2029" spans="1:4" x14ac:dyDescent="0.2">
      <c r="A2029" s="5">
        <v>1968</v>
      </c>
      <c r="B2029" s="1832">
        <f>'Cap Outlay Deprec 26'!F12</f>
        <v>1594442</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14222936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10245930</v>
      </c>
      <c r="D2033" s="2" t="str">
        <f t="shared" si="30"/>
        <v>Error?</v>
      </c>
    </row>
    <row r="2034" spans="1:4" x14ac:dyDescent="0.2">
      <c r="A2034" s="5">
        <v>1973</v>
      </c>
      <c r="B2034" s="1832">
        <f>'Cap Outlay Deprec 26'!H10</f>
        <v>168517</v>
      </c>
      <c r="D2034" s="2" t="str">
        <f t="shared" si="30"/>
        <v>Error?</v>
      </c>
    </row>
    <row r="2035" spans="1:4" x14ac:dyDescent="0.2">
      <c r="A2035" s="5">
        <v>1974</v>
      </c>
      <c r="B2035" s="1832">
        <f>'Cap Outlay Deprec 26'!H12</f>
        <v>889757</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11304204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61118</v>
      </c>
      <c r="D2039" s="2" t="str">
        <f t="shared" si="30"/>
        <v>Error?</v>
      </c>
    </row>
    <row r="2040" spans="1:4" x14ac:dyDescent="0.2">
      <c r="A2040" s="5">
        <v>1979</v>
      </c>
      <c r="B2040" s="1832">
        <f>'Cap Outlay Deprec 26'!I10</f>
        <v>45813</v>
      </c>
      <c r="D2040" s="2" t="str">
        <f t="shared" si="30"/>
        <v>Error?</v>
      </c>
    </row>
    <row r="2041" spans="1:4" x14ac:dyDescent="0.2">
      <c r="A2041" s="5">
        <v>1980</v>
      </c>
      <c r="B2041" s="1832">
        <f>'Cap Outlay Deprec 26'!I12</f>
        <v>121826</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228757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28087</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28087</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10307048</v>
      </c>
      <c r="C2051" s="2" t="s">
        <v>569</v>
      </c>
      <c r="D2051" s="2" t="str">
        <f t="shared" si="31"/>
        <v>Error?</v>
      </c>
    </row>
    <row r="2052" spans="1:4" x14ac:dyDescent="0.2">
      <c r="A2052" s="5">
        <v>1991</v>
      </c>
      <c r="B2052" s="1832">
        <f>'Cap Outlay Deprec 26'!K10</f>
        <v>214330</v>
      </c>
      <c r="C2052" s="2" t="s">
        <v>569</v>
      </c>
      <c r="D2052" s="2" t="str">
        <f t="shared" si="31"/>
        <v>Error?</v>
      </c>
    </row>
    <row r="2053" spans="1:4" x14ac:dyDescent="0.2">
      <c r="A2053" s="5">
        <v>1992</v>
      </c>
      <c r="B2053" s="1832">
        <f>'Cap Outlay Deprec 26'!K12</f>
        <v>983496</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11504874</v>
      </c>
      <c r="C2055" s="2" t="s">
        <v>569</v>
      </c>
      <c r="D2055" s="2" t="str">
        <f t="shared" si="31"/>
        <v>Error?</v>
      </c>
    </row>
    <row r="2056" spans="1:4" x14ac:dyDescent="0.2">
      <c r="A2056" s="5">
        <v>1995</v>
      </c>
      <c r="B2056" s="1832">
        <f>'Cap Outlay Deprec 26'!L5</f>
        <v>300000</v>
      </c>
      <c r="C2056" s="2" t="s">
        <v>569</v>
      </c>
      <c r="D2056" s="2" t="str">
        <f t="shared" si="31"/>
        <v>Error?</v>
      </c>
    </row>
    <row r="2057" spans="1:4" x14ac:dyDescent="0.2">
      <c r="A2057" s="5">
        <v>1996</v>
      </c>
      <c r="B2057" s="1832">
        <f>'Cap Outlay Deprec 26'!L8</f>
        <v>1385347</v>
      </c>
      <c r="C2057" s="2" t="s">
        <v>569</v>
      </c>
      <c r="D2057" s="2" t="str">
        <f t="shared" si="31"/>
        <v>Error?</v>
      </c>
    </row>
    <row r="2058" spans="1:4" x14ac:dyDescent="0.2">
      <c r="A2058" s="5">
        <v>1997</v>
      </c>
      <c r="B2058" s="1832">
        <f>'Cap Outlay Deprec 26'!L10</f>
        <v>418154</v>
      </c>
      <c r="C2058" s="2" t="s">
        <v>569</v>
      </c>
      <c r="D2058" s="2" t="str">
        <f t="shared" si="31"/>
        <v>Error?</v>
      </c>
    </row>
    <row r="2059" spans="1:4" x14ac:dyDescent="0.2">
      <c r="A2059" s="5">
        <v>1998</v>
      </c>
      <c r="B2059" s="1832">
        <f>'Cap Outlay Deprec 26'!L12</f>
        <v>610946</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2718062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50000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4241852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355478</v>
      </c>
      <c r="C2553" s="2" t="s">
        <v>569</v>
      </c>
      <c r="D2553" s="2" t="str">
        <f t="shared" si="38"/>
        <v>Error?</v>
      </c>
    </row>
    <row r="2554" spans="1:4" x14ac:dyDescent="0.2">
      <c r="A2554" s="5">
        <v>2493</v>
      </c>
      <c r="B2554" s="1832">
        <f>'Acct Summary 7-8'!C7</f>
        <v>88637</v>
      </c>
      <c r="C2554" s="2" t="s">
        <v>569</v>
      </c>
      <c r="D2554" s="2" t="str">
        <f t="shared" si="38"/>
        <v>Error?</v>
      </c>
    </row>
    <row r="2555" spans="1:4" x14ac:dyDescent="0.2">
      <c r="A2555" s="5">
        <v>2494</v>
      </c>
      <c r="B2555" s="1832">
        <f>'Acct Summary 7-8'!C8</f>
        <v>5287816</v>
      </c>
      <c r="C2555" s="2" t="s">
        <v>569</v>
      </c>
      <c r="D2555" s="2" t="str">
        <f t="shared" si="38"/>
        <v>Error?</v>
      </c>
    </row>
    <row r="2556" spans="1:4" x14ac:dyDescent="0.2">
      <c r="A2556" s="5">
        <v>2495</v>
      </c>
      <c r="B2556" s="1832">
        <f>'Acct Summary 7-8'!C12</f>
        <v>3402888</v>
      </c>
      <c r="C2556" s="2" t="s">
        <v>569</v>
      </c>
      <c r="D2556" s="2" t="str">
        <f t="shared" si="38"/>
        <v>Error?</v>
      </c>
    </row>
    <row r="2557" spans="1:4" x14ac:dyDescent="0.2">
      <c r="A2557" s="5">
        <v>2496</v>
      </c>
      <c r="B2557" s="1832">
        <f>'Acct Summary 7-8'!C13</f>
        <v>1715282</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5118170</v>
      </c>
      <c r="C2561" s="2" t="s">
        <v>569</v>
      </c>
      <c r="D2561" s="2" t="str">
        <f t="shared" si="39"/>
        <v>Error?</v>
      </c>
    </row>
    <row r="2562" spans="1:4" x14ac:dyDescent="0.2">
      <c r="A2562" s="5">
        <v>2501</v>
      </c>
      <c r="B2562" s="1832">
        <f>'Acct Summary 7-8'!C20</f>
        <v>169646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7735</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57735</v>
      </c>
      <c r="C2658" s="2" t="s">
        <v>569</v>
      </c>
      <c r="D2658" s="2" t="str">
        <f t="shared" si="40"/>
        <v>Error?</v>
      </c>
    </row>
    <row r="2659" spans="1:4" x14ac:dyDescent="0.2">
      <c r="A2659" s="5">
        <v>2598</v>
      </c>
      <c r="B2659" s="1832">
        <f>'Acct Summary 7-8'!H13</f>
        <v>643222</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643222</v>
      </c>
      <c r="C2661" s="2" t="s">
        <v>569</v>
      </c>
      <c r="D2661" s="2" t="str">
        <f t="shared" si="40"/>
        <v>Error?</v>
      </c>
    </row>
    <row r="2662" spans="1:4" x14ac:dyDescent="0.2">
      <c r="A2662" s="5">
        <v>2601</v>
      </c>
      <c r="B2662" s="1832">
        <f>'Acct Summary 7-8'!H20</f>
        <v>-585487</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700000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700000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3615</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35487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35487</v>
      </c>
      <c r="D2914" s="2" t="str">
        <f t="shared" si="44"/>
        <v>Error?</v>
      </c>
    </row>
    <row r="2915" spans="1:4" x14ac:dyDescent="0.2">
      <c r="A2915" s="10">
        <v>2854</v>
      </c>
      <c r="B2915" s="1832"/>
      <c r="D2915" s="2" t="str">
        <f t="shared" si="44"/>
        <v>OK</v>
      </c>
    </row>
    <row r="2916" spans="1:4" x14ac:dyDescent="0.2">
      <c r="A2916" s="5">
        <v>2855</v>
      </c>
      <c r="B2916" s="1832">
        <f>'Assets-Liab 5-6'!L34</f>
        <v>35487</v>
      </c>
      <c r="C2916" s="2" t="s">
        <v>569</v>
      </c>
      <c r="D2916" s="2" t="str">
        <f t="shared" si="44"/>
        <v>Error?</v>
      </c>
    </row>
    <row r="2917" spans="1:4" x14ac:dyDescent="0.2">
      <c r="A2917" s="5">
        <v>2856</v>
      </c>
      <c r="B2917" s="1832">
        <f>'Assets-Liab 5-6'!L41</f>
        <v>35487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38528</v>
      </c>
      <c r="D3055" s="2" t="str">
        <f t="shared" si="46"/>
        <v>Error?</v>
      </c>
    </row>
    <row r="3056" spans="1:4" x14ac:dyDescent="0.2">
      <c r="A3056" s="5">
        <v>2995</v>
      </c>
      <c r="B3056" s="1832">
        <f>'Expenditures 15-22'!D10</f>
        <v>5653</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435</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44616</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47000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700000</v>
      </c>
      <c r="C3231" s="2" t="s">
        <v>569</v>
      </c>
      <c r="D3231" s="2" t="str">
        <f t="shared" si="49"/>
        <v>Error?</v>
      </c>
    </row>
    <row r="3232" spans="1:4" x14ac:dyDescent="0.2">
      <c r="A3232" s="5">
        <v>3171</v>
      </c>
      <c r="B3232" s="1832">
        <f>'Acct Summary 7-8'!C77</f>
        <v>-653000</v>
      </c>
      <c r="C3232" s="2" t="s">
        <v>569</v>
      </c>
      <c r="D3232" s="2" t="str">
        <f t="shared" si="49"/>
        <v>Error?</v>
      </c>
    </row>
    <row r="3233" spans="1:4" x14ac:dyDescent="0.2">
      <c r="A3233" s="5">
        <v>3172</v>
      </c>
      <c r="B3233" s="1832">
        <f>'Acct Summary 7-8'!C78</f>
        <v>-483354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700000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700000</v>
      </c>
      <c r="C3299" s="2" t="s">
        <v>569</v>
      </c>
      <c r="D3299" s="2" t="str">
        <f t="shared" si="50"/>
        <v>Error?</v>
      </c>
    </row>
    <row r="3300" spans="1:4" x14ac:dyDescent="0.2">
      <c r="A3300" s="5">
        <v>3239</v>
      </c>
      <c r="B3300" s="1832">
        <f>'Acct Summary 7-8'!H78</f>
        <v>114513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601849</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2599585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139956</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35487</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21024</v>
      </c>
      <c r="D3451" s="2" t="str">
        <f t="shared" si="52"/>
        <v>Error?</v>
      </c>
    </row>
    <row r="3452" spans="1:4" x14ac:dyDescent="0.2">
      <c r="A3452" s="5">
        <v>3391</v>
      </c>
      <c r="B3452" s="1832">
        <f>'Cap Outlay Deprec 26'!D15</f>
        <v>3615</v>
      </c>
      <c r="D3452" s="2" t="str">
        <f t="shared" si="52"/>
        <v>Error?</v>
      </c>
    </row>
    <row r="3453" spans="1:4" x14ac:dyDescent="0.2">
      <c r="A3453" s="5">
        <v>3392</v>
      </c>
      <c r="B3453" s="1832">
        <f>'Cap Outlay Deprec 26'!E15</f>
        <v>21024</v>
      </c>
      <c r="D3453" s="2" t="str">
        <f t="shared" si="52"/>
        <v>Error?</v>
      </c>
    </row>
    <row r="3454" spans="1:4" x14ac:dyDescent="0.2">
      <c r="A3454" s="5">
        <v>3393</v>
      </c>
      <c r="B3454" s="1832">
        <f>'Cap Outlay Deprec 26'!F15</f>
        <v>3615</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3615</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47000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1156231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6444047</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57735</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1156231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6274401</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643222</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1672165</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-62317</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2670617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347000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50000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22814</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65823</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1672165</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6894</v>
      </c>
      <c r="D5078" s="2" t="str">
        <f t="shared" si="78"/>
        <v>Error?</v>
      </c>
    </row>
    <row r="5079" spans="1:4" x14ac:dyDescent="0.2">
      <c r="A5079" s="5">
        <v>5018</v>
      </c>
      <c r="B5079" s="1832">
        <f>'Revenues 9-14'!C29</f>
        <v>2352938</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1255771</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3615603</v>
      </c>
      <c r="C5087" s="2" t="s">
        <v>569</v>
      </c>
      <c r="D5087" s="2" t="str">
        <f t="shared" si="78"/>
        <v>Error?</v>
      </c>
    </row>
    <row r="5088" spans="1:4" x14ac:dyDescent="0.2">
      <c r="A5088" s="5">
        <v>5027</v>
      </c>
      <c r="B5088" s="1832">
        <f>'Revenues 9-14'!C65</f>
        <v>8286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8286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31574</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31574</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348824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348824</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100127</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100127</v>
      </c>
      <c r="C5112" s="2" t="s">
        <v>569</v>
      </c>
      <c r="D5112" s="2" t="str">
        <f t="shared" si="78"/>
        <v>Error?</v>
      </c>
    </row>
    <row r="5113" spans="1:4" x14ac:dyDescent="0.2">
      <c r="A5113" s="5">
        <v>5052</v>
      </c>
      <c r="B5113" s="1832">
        <f>'Revenues 9-14'!C95</f>
        <v>120822</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12106</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4510</v>
      </c>
      <c r="D5119" s="2" t="str">
        <f t="shared" ref="D5119:D5182" si="79">IF(ISBLANK(B5119),"OK",IF(A5119-B5119=0,"OK","Error?"))</f>
        <v>Error?</v>
      </c>
    </row>
    <row r="5120" spans="1:4" x14ac:dyDescent="0.2">
      <c r="A5120" s="5">
        <v>5059</v>
      </c>
      <c r="B5120" s="1832">
        <f>'Revenues 9-14'!C108</f>
        <v>137438</v>
      </c>
      <c r="C5120" s="2" t="s">
        <v>569</v>
      </c>
      <c r="D5120" s="2" t="str">
        <f t="shared" si="79"/>
        <v>Error?</v>
      </c>
    </row>
    <row r="5121" spans="1:4" x14ac:dyDescent="0.2">
      <c r="A5121" s="5">
        <v>5060</v>
      </c>
      <c r="B5121" s="1832">
        <f>'Revenues 9-14'!C109</f>
        <v>4241852</v>
      </c>
      <c r="C5121" s="2" t="s">
        <v>569</v>
      </c>
      <c r="D5121" s="2" t="str">
        <f t="shared" si="79"/>
        <v>Error?</v>
      </c>
    </row>
    <row r="5122" spans="1:4" x14ac:dyDescent="0.2">
      <c r="A5122" s="5">
        <v>5061</v>
      </c>
      <c r="B5122" s="1832">
        <f>'Revenues 9-14'!C111</f>
        <v>459051</v>
      </c>
      <c r="D5122" s="2" t="str">
        <f t="shared" si="79"/>
        <v>Error?</v>
      </c>
    </row>
    <row r="5123" spans="1:4" x14ac:dyDescent="0.2">
      <c r="A5123" s="5">
        <v>5062</v>
      </c>
      <c r="B5123" s="1832">
        <f>'Revenues 9-14'!C112</f>
        <v>142798</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601849</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1263</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7215</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7215</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355478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355478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22814</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65823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88637</v>
      </c>
      <c r="C5326" s="2" t="s">
        <v>569</v>
      </c>
      <c r="D5326" s="2" t="str">
        <f t="shared" si="82"/>
        <v>Error?</v>
      </c>
    </row>
    <row r="5327" spans="1:5" x14ac:dyDescent="0.2">
      <c r="A5327" s="5">
        <v>5266</v>
      </c>
      <c r="B5327" s="1832">
        <f>'Revenues 9-14'!C268</f>
        <v>5287816</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7735</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57735</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7735</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396078</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1664</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5475</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36351</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114762</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164665</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-483354</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114513</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-0.18098963647726349</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f>'Acct Summary 7-8'!H83</f>
        <v>0.81820715081882878</v>
      </c>
      <c r="D6281" s="2" t="str">
        <f t="shared" si="97"/>
        <v>Error?</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1263</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17129</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25564</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42693</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680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680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6149</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6149</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6829</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49522</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49522</v>
      </c>
      <c r="D7624" s="2" t="str">
        <f t="shared" si="124"/>
        <v>Error?</v>
      </c>
      <c r="E7624" s="2" t="s">
        <v>19</v>
      </c>
    </row>
    <row r="7625" spans="1:5" x14ac:dyDescent="0.2">
      <c r="A7625">
        <f t="shared" si="123"/>
        <v>7564</v>
      </c>
      <c r="B7625" s="1832">
        <f>'Cap Outlay Deprec 26'!I17</f>
        <v>4952.2</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233709.2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7735</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1811</v>
      </c>
      <c r="D7759" s="2" t="str">
        <f t="shared" si="127"/>
        <v>Error?</v>
      </c>
      <c r="E7759" s="4" t="s">
        <v>1322</v>
      </c>
    </row>
    <row r="7760" spans="1:6" x14ac:dyDescent="0.2">
      <c r="A7760">
        <v>7699</v>
      </c>
      <c r="B7760" s="1832">
        <f>'Aud Quest 2'!J90</f>
        <v>1811</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0</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0</v>
      </c>
      <c r="D7817" s="2" t="str">
        <f t="shared" si="128"/>
        <v>Error?</v>
      </c>
      <c r="E7817" s="4" t="s">
        <v>1963</v>
      </c>
    </row>
    <row r="7818" spans="1:5" x14ac:dyDescent="0.2">
      <c r="A7818">
        <v>7757</v>
      </c>
      <c r="B7818" s="1832">
        <f>'PCTC-OEPP 27-28'!F172</f>
        <v>0</v>
      </c>
      <c r="D7818" s="2" t="str">
        <f t="shared" si="128"/>
        <v>Error?</v>
      </c>
      <c r="E7818" s="4" t="s">
        <v>1977</v>
      </c>
    </row>
    <row r="7819" spans="1:5" x14ac:dyDescent="0.2">
      <c r="A7819">
        <v>7758</v>
      </c>
      <c r="B7819" s="1832">
        <f>'PCTC-OEPP 27-28'!F173</f>
        <v>0</v>
      </c>
      <c r="D7819" s="2" t="str">
        <f t="shared" si="128"/>
        <v>Error?</v>
      </c>
      <c r="E7819" s="4" t="s">
        <v>1977</v>
      </c>
    </row>
    <row r="7820" spans="1:5" x14ac:dyDescent="0.2">
      <c r="A7820">
        <v>7759</v>
      </c>
      <c r="B7820" s="1832">
        <f>'ICR Computation 30'!E40</f>
        <v>-116782</v>
      </c>
      <c r="D7820" s="2" t="str">
        <f t="shared" si="128"/>
        <v>Error?</v>
      </c>
    </row>
    <row r="7821" spans="1:5" x14ac:dyDescent="0.2">
      <c r="A7821">
        <v>7760</v>
      </c>
      <c r="B7821" s="1832">
        <f>'ICR Computation 30'!G40</f>
        <v>-116782</v>
      </c>
      <c r="D7821" s="2" t="str">
        <f t="shared" si="128"/>
        <v>Error?</v>
      </c>
    </row>
    <row r="7822" spans="1:5" x14ac:dyDescent="0.2">
      <c r="A7822" s="1">
        <v>7761</v>
      </c>
      <c r="B7822" s="1832">
        <f>'PCTC-OEPP 27-28'!F14</f>
        <v>5118170</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0</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1808093</v>
      </c>
      <c r="D7829" s="2" t="str">
        <f t="shared" si="129"/>
        <v>Error?</v>
      </c>
      <c r="E7829" s="4" t="s">
        <v>1995</v>
      </c>
    </row>
    <row r="7830" spans="1:5" x14ac:dyDescent="0.2">
      <c r="A7830">
        <v>7769</v>
      </c>
      <c r="B7830" s="1832">
        <f>'PCTC-OEPP 27-28'!F38</f>
        <v>0</v>
      </c>
      <c r="D7830" s="2" t="str">
        <f t="shared" si="129"/>
        <v>Error?</v>
      </c>
      <c r="E7830" s="4" t="s">
        <v>1995</v>
      </c>
    </row>
    <row r="7831" spans="1:5" x14ac:dyDescent="0.2">
      <c r="A7831">
        <v>7770</v>
      </c>
      <c r="B7831" s="1832">
        <f>'PCTC-OEPP 27-28'!F52</f>
        <v>0</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2017866</v>
      </c>
      <c r="D7834" s="2" t="str">
        <f t="shared" si="129"/>
        <v>Error?</v>
      </c>
      <c r="E7834" s="4" t="s">
        <v>1995</v>
      </c>
    </row>
    <row r="7835" spans="1:5" x14ac:dyDescent="0.2">
      <c r="A7835">
        <v>7774</v>
      </c>
      <c r="B7835" s="1832">
        <f>'PCTC-OEPP 27-28'!F78</f>
        <v>3100304</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t="str">
        <f>'PCTC-OEPP 27-28'!F80</f>
        <v xml:space="preserve"> Complete Line 79</v>
      </c>
      <c r="D7837" s="2" t="e">
        <f t="shared" si="129"/>
        <v>#VALUE!</v>
      </c>
      <c r="E7837" s="4" t="s">
        <v>1995</v>
      </c>
    </row>
    <row r="7838" spans="1:5" x14ac:dyDescent="0.2">
      <c r="A7838">
        <v>7777</v>
      </c>
      <c r="B7838" s="1832">
        <f>'PCTC-OEPP 27-28'!F96</f>
        <v>348824</v>
      </c>
      <c r="D7838" s="2" t="str">
        <f t="shared" si="129"/>
        <v>Error?</v>
      </c>
      <c r="E7838" s="4" t="s">
        <v>1995</v>
      </c>
    </row>
    <row r="7839" spans="1:5" x14ac:dyDescent="0.2">
      <c r="A7839">
        <v>7778</v>
      </c>
      <c r="B7839" s="1832">
        <f>'PCTC-OEPP 27-28'!F102</f>
        <v>120822</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0</v>
      </c>
      <c r="D7842" s="2" t="str">
        <f t="shared" si="129"/>
        <v>Error?</v>
      </c>
      <c r="E7842" s="4" t="s">
        <v>1995</v>
      </c>
    </row>
    <row r="7843" spans="1:5" x14ac:dyDescent="0.2">
      <c r="A7843">
        <v>7782</v>
      </c>
      <c r="B7843" s="1832">
        <f>'PCTC-OEPP 27-28'!F107</f>
        <v>1263</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0</v>
      </c>
      <c r="D7846" s="2" t="str">
        <f t="shared" si="129"/>
        <v>Error?</v>
      </c>
      <c r="E7846" s="4" t="s">
        <v>1995</v>
      </c>
    </row>
    <row r="7847" spans="1:5" x14ac:dyDescent="0.2">
      <c r="A7847">
        <v>7786</v>
      </c>
      <c r="B7847" s="1832">
        <f>'PCTC-OEPP 27-28'!F112</f>
        <v>7215</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347000</v>
      </c>
      <c r="D7855" s="2" t="str">
        <f t="shared" si="129"/>
        <v>Error?</v>
      </c>
      <c r="E7855" s="4" t="s">
        <v>1995</v>
      </c>
    </row>
    <row r="7856" spans="1:5" x14ac:dyDescent="0.2">
      <c r="A7856">
        <v>7795</v>
      </c>
      <c r="B7856" s="1832">
        <f>'PCTC-OEPP 27-28'!F124</f>
        <v>22814</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0</v>
      </c>
      <c r="D7858" s="2" t="str">
        <f t="shared" si="129"/>
        <v>Error?</v>
      </c>
      <c r="E7858" s="4" t="s">
        <v>1995</v>
      </c>
    </row>
    <row r="7859" spans="1:5" x14ac:dyDescent="0.2">
      <c r="A7859">
        <v>7798</v>
      </c>
      <c r="B7859" s="1832">
        <f>'PCTC-OEPP 27-28'!F127</f>
        <v>0</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0</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0</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0</v>
      </c>
      <c r="D7874" s="2" t="str">
        <f t="shared" si="129"/>
        <v>Error?</v>
      </c>
      <c r="E7874" s="4" t="s">
        <v>1995</v>
      </c>
    </row>
    <row r="7875" spans="1:5" x14ac:dyDescent="0.2">
      <c r="A7875">
        <v>7814</v>
      </c>
      <c r="B7875" s="1832">
        <f>'PCTC-OEPP 27-28'!F170</f>
        <v>0</v>
      </c>
      <c r="D7875" s="2" t="str">
        <f t="shared" si="129"/>
        <v>Error?</v>
      </c>
      <c r="E7875" s="4" t="s">
        <v>1995</v>
      </c>
    </row>
    <row r="7876" spans="1:5" x14ac:dyDescent="0.2">
      <c r="A7876">
        <v>7815</v>
      </c>
      <c r="B7876" s="1832">
        <f>'PCTC-OEPP 27-28'!F171</f>
        <v>65823</v>
      </c>
      <c r="D7876" s="2" t="str">
        <f t="shared" si="129"/>
        <v>Error?</v>
      </c>
      <c r="E7876" s="4" t="s">
        <v>1995</v>
      </c>
    </row>
    <row r="7877" spans="1:5" x14ac:dyDescent="0.2">
      <c r="A7877">
        <v>7816</v>
      </c>
      <c r="B7877" s="1832">
        <f>'PCTC-OEPP 27-28'!F175</f>
        <v>945335</v>
      </c>
      <c r="D7877" s="2" t="str">
        <f t="shared" si="129"/>
        <v>Error?</v>
      </c>
      <c r="E7877" s="4" t="s">
        <v>1995</v>
      </c>
    </row>
    <row r="7878" spans="1:5" x14ac:dyDescent="0.2">
      <c r="A7878">
        <v>7817</v>
      </c>
      <c r="B7878" s="1832">
        <f>'PCTC-OEPP 27-28'!F176</f>
        <v>2154969</v>
      </c>
      <c r="D7878" s="2" t="str">
        <f t="shared" si="129"/>
        <v>Error?</v>
      </c>
      <c r="E7878" s="4" t="s">
        <v>1995</v>
      </c>
    </row>
    <row r="7879" spans="1:5" x14ac:dyDescent="0.2">
      <c r="A7879">
        <v>7818</v>
      </c>
      <c r="B7879" s="1832">
        <f>'PCTC-OEPP 27-28'!F178</f>
        <v>2388678.2000000002</v>
      </c>
      <c r="D7879" s="2" t="str">
        <f t="shared" si="129"/>
        <v>Error?</v>
      </c>
      <c r="E7879" s="4" t="s">
        <v>1995</v>
      </c>
    </row>
    <row r="7880" spans="1:5" x14ac:dyDescent="0.2">
      <c r="A7880">
        <v>7819</v>
      </c>
      <c r="B7880" s="1832" t="e">
        <f>'PCTC-OEPP 27-28'!F180</f>
        <v>#DIV/0!</v>
      </c>
      <c r="D7880" s="2" t="e">
        <f t="shared" si="129"/>
        <v>#DIV/0!</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Capital Area Career Center</v>
      </c>
      <c r="B7" s="2536"/>
      <c r="C7" s="2536"/>
      <c r="D7" s="2537"/>
      <c r="E7" s="2538">
        <f>COVER!A13</f>
        <v>51084790040</v>
      </c>
      <c r="F7" s="2539"/>
      <c r="G7" s="2545" t="str">
        <f>COVER!T23</f>
        <v>066-005315</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Pehlman and Dold, P.C.</v>
      </c>
      <c r="H9" s="2551"/>
      <c r="I9" s="2551"/>
      <c r="J9" s="2551"/>
      <c r="K9" s="2551"/>
      <c r="L9" s="2552"/>
    </row>
    <row r="10" spans="1:29" ht="13.5" customHeight="1" x14ac:dyDescent="0.2">
      <c r="A10" s="2524" t="str">
        <f>COVER!A38</f>
        <v>Jodi Ferriell, Director</v>
      </c>
      <c r="B10" s="2525"/>
      <c r="C10" s="2525"/>
      <c r="D10" s="2525"/>
      <c r="E10" s="2525"/>
      <c r="F10" s="2526"/>
      <c r="G10" s="2518" t="str">
        <f>COVER!T17</f>
        <v>100 North Amos Avenue</v>
      </c>
      <c r="H10" s="2519"/>
      <c r="I10" s="2519"/>
      <c r="J10" s="2519"/>
      <c r="K10" s="2519"/>
      <c r="L10" s="2520"/>
    </row>
    <row r="11" spans="1:29" ht="13.5" customHeight="1" x14ac:dyDescent="0.2">
      <c r="A11" s="963" t="s">
        <v>1502</v>
      </c>
      <c r="B11" s="964"/>
      <c r="C11" s="965"/>
      <c r="D11" s="970"/>
      <c r="E11" s="965"/>
      <c r="F11" s="969"/>
      <c r="G11" s="2518" t="str">
        <f>COVER!T19</f>
        <v>Springfield</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dfitzgerald@p-dcpas.com</v>
      </c>
      <c r="J13" s="2531"/>
      <c r="K13" s="2531"/>
      <c r="L13" s="2532"/>
    </row>
    <row r="14" spans="1:29" ht="13.5" customHeight="1" x14ac:dyDescent="0.2">
      <c r="A14" s="2518" t="str">
        <f>COVER!A19</f>
        <v>2201 Toronto Road</v>
      </c>
      <c r="B14" s="2519"/>
      <c r="C14" s="2519"/>
      <c r="D14" s="2519"/>
      <c r="E14" s="2519"/>
      <c r="F14" s="2520"/>
      <c r="G14" s="974" t="s">
        <v>1175</v>
      </c>
      <c r="H14" s="972"/>
      <c r="I14" s="972"/>
      <c r="J14" s="972"/>
      <c r="K14" s="972"/>
      <c r="L14" s="973"/>
    </row>
    <row r="15" spans="1:29" ht="13.5" customHeight="1" x14ac:dyDescent="0.2">
      <c r="A15" s="2518" t="str">
        <f>COVER!A21</f>
        <v>Springfield, IL</v>
      </c>
      <c r="B15" s="2519"/>
      <c r="C15" s="2519"/>
      <c r="D15" s="2519"/>
      <c r="E15" s="2519"/>
      <c r="F15" s="2520"/>
      <c r="G15" s="2515" t="str">
        <f>COVER!T15</f>
        <v>Dorinda L Fitzgerald</v>
      </c>
      <c r="H15" s="2516"/>
      <c r="I15" s="2516"/>
      <c r="J15" s="2516"/>
      <c r="K15" s="2516"/>
      <c r="L15" s="2517"/>
    </row>
    <row r="16" spans="1:29" ht="12.2" customHeight="1" x14ac:dyDescent="0.2">
      <c r="A16" s="2541">
        <f>COVER!A25</f>
        <v>62712</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(217) 787-0563</v>
      </c>
      <c r="H18" s="2536"/>
      <c r="I18" s="2536"/>
      <c r="J18" s="2536"/>
      <c r="K18" s="2535" t="str">
        <f>COVER!X21</f>
        <v>(217) 787-9266</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Capital Area Career Center</v>
      </c>
      <c r="B1" s="2558"/>
      <c r="C1" s="2558"/>
      <c r="D1" s="2558"/>
    </row>
    <row r="2" spans="1:11" s="991" customFormat="1" ht="12.75" x14ac:dyDescent="0.2">
      <c r="A2" s="2559">
        <f>'Single Audit Cover'!E7</f>
        <v>51084790040</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Capital Area Career Center</v>
      </c>
      <c r="B1" s="2563"/>
      <c r="C1" s="2563"/>
      <c r="D1" s="2563"/>
      <c r="E1" s="2563"/>
    </row>
    <row r="2" spans="1:5" x14ac:dyDescent="0.2">
      <c r="A2" s="2564">
        <f>'Single Audit Cover'!E7</f>
        <v>51084790040</v>
      </c>
      <c r="B2" s="2564"/>
      <c r="C2" s="2564"/>
      <c r="D2" s="2564"/>
      <c r="E2" s="2564"/>
    </row>
    <row r="3" spans="1:5" ht="4.5" customHeight="1" x14ac:dyDescent="0.2"/>
    <row r="4" spans="1:5" x14ac:dyDescent="0.2">
      <c r="A4" s="2563" t="s">
        <v>1234</v>
      </c>
      <c r="B4" s="2563"/>
      <c r="C4" s="2563"/>
      <c r="D4" s="2563"/>
      <c r="E4" s="2563"/>
    </row>
    <row r="5" spans="1:5" x14ac:dyDescent="0.2">
      <c r="A5" s="2565" t="str">
        <f>'Single Audit Cover'!A4</f>
        <v>Year Ending June 30, 2020</v>
      </c>
      <c r="B5" s="2565"/>
      <c r="C5" s="2565"/>
      <c r="D5" s="2565"/>
      <c r="E5" s="2565"/>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88637</v>
      </c>
    </row>
    <row r="11" spans="1:5" ht="18" customHeight="1" x14ac:dyDescent="0.2">
      <c r="A11" s="1037" t="s">
        <v>1229</v>
      </c>
      <c r="B11" s="1038"/>
      <c r="C11" s="1038"/>
    </row>
    <row r="12" spans="1:5" x14ac:dyDescent="0.2">
      <c r="A12" s="1037" t="s">
        <v>1228</v>
      </c>
      <c r="B12" s="1038" t="s">
        <v>1227</v>
      </c>
      <c r="C12" s="1038"/>
      <c r="D12" s="1040">
        <f>SUM('Revenues 9-14'!C112:D112,'Revenues 9-14'!F112:G112)</f>
        <v>142798</v>
      </c>
    </row>
    <row r="13" spans="1:5" x14ac:dyDescent="0.2">
      <c r="A13" s="1037" t="s">
        <v>1226</v>
      </c>
      <c r="B13" s="1038"/>
      <c r="C13" s="1038"/>
    </row>
    <row r="14" spans="1:5" x14ac:dyDescent="0.2">
      <c r="A14" s="1037" t="s">
        <v>2001</v>
      </c>
      <c r="B14" s="1038"/>
      <c r="C14" s="1038"/>
      <c r="D14" s="1040">
        <f>'ICR Computation 30'!E11</f>
        <v>0</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0</v>
      </c>
    </row>
    <row r="19" spans="1:4" ht="13.5" thickBot="1" x14ac:dyDescent="0.25">
      <c r="A19" s="1041" t="s">
        <v>1224</v>
      </c>
      <c r="D19" s="1042">
        <f>SUM(D10:D17)</f>
        <v>231435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2" t="s">
        <v>2081</v>
      </c>
      <c r="B24" s="2562"/>
      <c r="D24" s="1044">
        <v>854102</v>
      </c>
    </row>
    <row r="25" spans="1:4" x14ac:dyDescent="0.2">
      <c r="A25" s="2562" t="s">
        <v>2082</v>
      </c>
      <c r="B25" s="2562"/>
      <c r="D25" s="1044">
        <v>574135</v>
      </c>
    </row>
    <row r="26" spans="1:4" x14ac:dyDescent="0.2">
      <c r="A26" s="2562" t="s">
        <v>2103</v>
      </c>
      <c r="B26" s="2562"/>
      <c r="D26" s="1044">
        <v>613676</v>
      </c>
    </row>
    <row r="27" spans="1:4" x14ac:dyDescent="0.2">
      <c r="A27" s="2562" t="s">
        <v>2083</v>
      </c>
      <c r="B27" s="2562"/>
      <c r="D27" s="1044">
        <v>29011</v>
      </c>
    </row>
    <row r="28" spans="1:4" x14ac:dyDescent="0.2">
      <c r="A28" s="2562" t="s">
        <v>2084</v>
      </c>
      <c r="B28" s="2562"/>
      <c r="D28" s="1044">
        <v>7586</v>
      </c>
    </row>
    <row r="29" spans="1:4" x14ac:dyDescent="0.2">
      <c r="A29" s="2561"/>
      <c r="B29" s="2561"/>
      <c r="D29" s="1044"/>
    </row>
    <row r="30" spans="1:4" x14ac:dyDescent="0.2">
      <c r="A30" s="2561"/>
      <c r="B30" s="2561"/>
      <c r="D30" s="1044"/>
    </row>
    <row r="32" spans="1:4" x14ac:dyDescent="0.2">
      <c r="A32" s="1036" t="s">
        <v>1222</v>
      </c>
      <c r="D32" s="1039">
        <f>SUM(D19:D30)</f>
        <v>2309945</v>
      </c>
    </row>
    <row r="33" spans="1:4" x14ac:dyDescent="0.2">
      <c r="D33" s="1045"/>
    </row>
    <row r="34" spans="1:4" x14ac:dyDescent="0.2">
      <c r="A34" s="295" t="s">
        <v>1221</v>
      </c>
    </row>
    <row r="35" spans="1:4" x14ac:dyDescent="0.2">
      <c r="A35" s="295" t="s">
        <v>1220</v>
      </c>
      <c r="B35" s="1034" t="s">
        <v>1219</v>
      </c>
      <c r="D35" s="1046">
        <v>2309945</v>
      </c>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2309945</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Capital Area Career Center</v>
      </c>
      <c r="C1" s="2566"/>
      <c r="D1" s="2566"/>
      <c r="E1" s="2566"/>
      <c r="F1" s="2566"/>
      <c r="G1" s="2566"/>
      <c r="H1" s="2566"/>
      <c r="I1" s="2566"/>
      <c r="J1" s="2566"/>
      <c r="K1" s="2566"/>
      <c r="L1" s="2566"/>
      <c r="M1" s="2566"/>
    </row>
    <row r="2" spans="2:14" ht="15" x14ac:dyDescent="0.2">
      <c r="B2" s="2567">
        <f>'Single Audit Cover'!E7</f>
        <v>51084790040</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2085</v>
      </c>
      <c r="C11" s="1821"/>
      <c r="D11" s="1822"/>
      <c r="E11" s="1823"/>
      <c r="F11" s="1823"/>
      <c r="G11" s="1823"/>
      <c r="H11" s="1823"/>
      <c r="I11" s="1823"/>
      <c r="J11" s="1823"/>
      <c r="K11" s="1823"/>
      <c r="L11" s="1823">
        <f>+G11+I11+K11</f>
        <v>0</v>
      </c>
      <c r="M11" s="1823"/>
    </row>
    <row r="12" spans="2:14" ht="20.100000000000001" customHeight="1" x14ac:dyDescent="0.2">
      <c r="B12" s="1113" t="s">
        <v>2086</v>
      </c>
      <c r="C12" s="1824">
        <v>84.268000000000001</v>
      </c>
      <c r="D12" s="1825" t="s">
        <v>2088</v>
      </c>
      <c r="E12" s="1826"/>
      <c r="F12" s="1826">
        <v>854102</v>
      </c>
      <c r="G12" s="1826"/>
      <c r="H12" s="1826"/>
      <c r="I12" s="1826">
        <v>854102</v>
      </c>
      <c r="J12" s="1826"/>
      <c r="K12" s="1826"/>
      <c r="L12" s="1823">
        <f t="shared" ref="L12:L27" si="0">+G12+I12+K12</f>
        <v>854102</v>
      </c>
      <c r="M12" s="1826" t="s">
        <v>2088</v>
      </c>
    </row>
    <row r="13" spans="2:14" ht="20.100000000000001" customHeight="1" x14ac:dyDescent="0.2">
      <c r="B13" s="1113" t="s">
        <v>2087</v>
      </c>
      <c r="C13" s="1824">
        <v>84.063000000000002</v>
      </c>
      <c r="D13" s="1825" t="s">
        <v>2088</v>
      </c>
      <c r="E13" s="1826"/>
      <c r="F13" s="1826">
        <v>574135</v>
      </c>
      <c r="G13" s="1826"/>
      <c r="H13" s="1826"/>
      <c r="I13" s="1826">
        <v>574135</v>
      </c>
      <c r="J13" s="1826"/>
      <c r="K13" s="1826"/>
      <c r="L13" s="1823">
        <f t="shared" si="0"/>
        <v>574135</v>
      </c>
      <c r="M13" s="1826" t="s">
        <v>2088</v>
      </c>
    </row>
    <row r="14" spans="2:14" ht="20.100000000000001" customHeight="1" x14ac:dyDescent="0.2">
      <c r="B14" s="1113" t="s">
        <v>2089</v>
      </c>
      <c r="C14" s="1824"/>
      <c r="D14" s="1825"/>
      <c r="E14" s="1826">
        <v>0</v>
      </c>
      <c r="F14" s="1826">
        <v>1428237</v>
      </c>
      <c r="G14" s="1826">
        <v>0</v>
      </c>
      <c r="H14" s="1826">
        <v>0</v>
      </c>
      <c r="I14" s="1826">
        <v>1428237</v>
      </c>
      <c r="J14" s="1826">
        <v>0</v>
      </c>
      <c r="K14" s="1826">
        <v>0</v>
      </c>
      <c r="L14" s="1823">
        <f t="shared" si="0"/>
        <v>1428237</v>
      </c>
      <c r="M14" s="1826"/>
    </row>
    <row r="15" spans="2:14" ht="20.100000000000001" customHeight="1" x14ac:dyDescent="0.2">
      <c r="B15" s="1113" t="s">
        <v>1159</v>
      </c>
      <c r="C15" s="1824"/>
      <c r="D15" s="1825"/>
      <c r="E15" s="1826"/>
      <c r="F15" s="1826"/>
      <c r="G15" s="1826"/>
      <c r="H15" s="1826"/>
      <c r="I15" s="1826"/>
      <c r="J15" s="1826"/>
      <c r="K15" s="1826"/>
      <c r="L15" s="1823"/>
      <c r="M15" s="1826"/>
    </row>
    <row r="16" spans="2:14" ht="20.100000000000001" customHeight="1" x14ac:dyDescent="0.2">
      <c r="B16" s="1113" t="s">
        <v>2092</v>
      </c>
      <c r="C16" s="1824"/>
      <c r="D16" s="1825"/>
      <c r="E16" s="1826"/>
      <c r="F16" s="1826"/>
      <c r="G16" s="1826"/>
      <c r="H16" s="1826"/>
      <c r="I16" s="1826"/>
      <c r="J16" s="1826"/>
      <c r="K16" s="1826"/>
      <c r="L16" s="1823"/>
      <c r="M16" s="1826"/>
    </row>
    <row r="17" spans="2:14" ht="20.100000000000001" customHeight="1" x14ac:dyDescent="0.2">
      <c r="B17" s="1113" t="s">
        <v>2090</v>
      </c>
      <c r="C17" s="1824" t="s">
        <v>2091</v>
      </c>
      <c r="D17" s="1825" t="s">
        <v>2088</v>
      </c>
      <c r="E17" s="1826"/>
      <c r="F17" s="1826">
        <v>22814</v>
      </c>
      <c r="G17" s="1826"/>
      <c r="H17" s="1826"/>
      <c r="I17" s="1826">
        <v>22814</v>
      </c>
      <c r="J17" s="1826"/>
      <c r="K17" s="1826"/>
      <c r="L17" s="1823">
        <f t="shared" si="0"/>
        <v>22814</v>
      </c>
      <c r="M17" s="1826">
        <v>128038</v>
      </c>
    </row>
    <row r="18" spans="2:14" ht="20.100000000000001" customHeight="1" x14ac:dyDescent="0.2">
      <c r="B18" s="1113" t="s">
        <v>2098</v>
      </c>
      <c r="C18" s="1824"/>
      <c r="D18" s="1825"/>
      <c r="E18" s="1826">
        <v>0</v>
      </c>
      <c r="F18" s="1826">
        <v>22814</v>
      </c>
      <c r="G18" s="1826">
        <v>0</v>
      </c>
      <c r="H18" s="1826">
        <v>0</v>
      </c>
      <c r="I18" s="1826">
        <v>22814</v>
      </c>
      <c r="J18" s="1826">
        <v>0</v>
      </c>
      <c r="K18" s="1826">
        <v>0</v>
      </c>
      <c r="L18" s="1823">
        <f t="shared" si="0"/>
        <v>22814</v>
      </c>
      <c r="M18" s="1826"/>
    </row>
    <row r="19" spans="2:14" ht="20.100000000000001" customHeight="1" x14ac:dyDescent="0.2">
      <c r="B19" s="1113"/>
      <c r="C19" s="1824"/>
      <c r="D19" s="1825"/>
      <c r="E19" s="1826"/>
      <c r="F19" s="1826"/>
      <c r="G19" s="1826"/>
      <c r="H19" s="1826"/>
      <c r="I19" s="1826"/>
      <c r="J19" s="1826"/>
      <c r="K19" s="1826"/>
      <c r="L19" s="1823"/>
      <c r="M19" s="1826"/>
    </row>
    <row r="20" spans="2:14" ht="20.100000000000001" customHeight="1" x14ac:dyDescent="0.2">
      <c r="B20" s="1113" t="s">
        <v>2093</v>
      </c>
      <c r="C20" s="1824"/>
      <c r="D20" s="1825"/>
      <c r="E20" s="1826"/>
      <c r="F20" s="1826"/>
      <c r="G20" s="1826"/>
      <c r="H20" s="1826"/>
      <c r="I20" s="1826"/>
      <c r="J20" s="1826"/>
      <c r="K20" s="1826"/>
      <c r="L20" s="1823"/>
      <c r="M20" s="1826"/>
    </row>
    <row r="21" spans="2:14" ht="20.100000000000001" customHeight="1" x14ac:dyDescent="0.2">
      <c r="B21" s="1113" t="s">
        <v>2094</v>
      </c>
      <c r="C21" s="1824"/>
      <c r="D21" s="1825"/>
      <c r="E21" s="1826"/>
      <c r="F21" s="1826"/>
      <c r="G21" s="1826"/>
      <c r="H21" s="1826"/>
      <c r="I21" s="1826"/>
      <c r="J21" s="1826"/>
      <c r="K21" s="1826"/>
      <c r="L21" s="1823"/>
      <c r="M21" s="1826"/>
    </row>
    <row r="22" spans="2:14" ht="20.100000000000001" customHeight="1" x14ac:dyDescent="0.2">
      <c r="B22" s="1113" t="s">
        <v>2095</v>
      </c>
      <c r="C22" s="1824" t="s">
        <v>2096</v>
      </c>
      <c r="D22" s="1825">
        <v>2020</v>
      </c>
      <c r="E22" s="1826"/>
      <c r="F22" s="1826">
        <v>142798</v>
      </c>
      <c r="G22" s="1826"/>
      <c r="H22" s="1826"/>
      <c r="I22" s="1826">
        <v>142798</v>
      </c>
      <c r="J22" s="1826"/>
      <c r="K22" s="1826"/>
      <c r="L22" s="1823">
        <f t="shared" si="0"/>
        <v>142798</v>
      </c>
      <c r="M22" s="1826">
        <v>140000</v>
      </c>
    </row>
    <row r="23" spans="2:14" ht="20.100000000000001" customHeight="1" x14ac:dyDescent="0.2">
      <c r="B23" s="1113" t="s">
        <v>2097</v>
      </c>
      <c r="C23" s="1824"/>
      <c r="D23" s="1825"/>
      <c r="E23" s="1826">
        <v>0</v>
      </c>
      <c r="F23" s="1826">
        <v>142798</v>
      </c>
      <c r="G23" s="1826">
        <v>0</v>
      </c>
      <c r="H23" s="1826">
        <v>0</v>
      </c>
      <c r="I23" s="1826">
        <v>142798</v>
      </c>
      <c r="J23" s="1826">
        <v>0</v>
      </c>
      <c r="K23" s="1826">
        <v>0</v>
      </c>
      <c r="L23" s="1823">
        <f t="shared" si="0"/>
        <v>142798</v>
      </c>
      <c r="M23" s="1826"/>
    </row>
    <row r="24" spans="2:14" ht="20.100000000000001" customHeight="1" x14ac:dyDescent="0.2">
      <c r="B24" s="1113"/>
      <c r="C24" s="1824"/>
      <c r="D24" s="1825"/>
      <c r="E24" s="1826"/>
      <c r="F24" s="1826"/>
      <c r="G24" s="1826"/>
      <c r="H24" s="1826"/>
      <c r="I24" s="1826"/>
      <c r="J24" s="1826"/>
      <c r="K24" s="1826"/>
      <c r="L24" s="1823"/>
      <c r="M24" s="1826"/>
    </row>
    <row r="25" spans="2:14" ht="20.100000000000001" customHeight="1" x14ac:dyDescent="0.2">
      <c r="B25" s="1113" t="s">
        <v>2099</v>
      </c>
      <c r="C25" s="1824"/>
      <c r="D25" s="1825"/>
      <c r="E25" s="1826"/>
      <c r="F25" s="1826"/>
      <c r="G25" s="1826"/>
      <c r="H25" s="1826"/>
      <c r="I25" s="1826"/>
      <c r="J25" s="1826"/>
      <c r="K25" s="1826"/>
      <c r="L25" s="1823"/>
      <c r="M25" s="1826"/>
    </row>
    <row r="26" spans="2:14" ht="20.100000000000001" customHeight="1" x14ac:dyDescent="0.2">
      <c r="B26" s="1113" t="s">
        <v>2100</v>
      </c>
      <c r="C26" s="1824">
        <v>84.126000000000005</v>
      </c>
      <c r="D26" s="1825" t="s">
        <v>2088</v>
      </c>
      <c r="E26" s="1826"/>
      <c r="F26" s="1826">
        <v>29011</v>
      </c>
      <c r="G26" s="1826"/>
      <c r="H26" s="1826"/>
      <c r="I26" s="1826">
        <v>29011</v>
      </c>
      <c r="J26" s="1826"/>
      <c r="K26" s="1826"/>
      <c r="L26" s="1823">
        <f t="shared" si="0"/>
        <v>29011</v>
      </c>
      <c r="M26" s="1826" t="s">
        <v>2088</v>
      </c>
    </row>
    <row r="27" spans="2:14" ht="20.100000000000001" customHeight="1" x14ac:dyDescent="0.2">
      <c r="B27" s="1113" t="s">
        <v>2101</v>
      </c>
      <c r="C27" s="1824"/>
      <c r="D27" s="1825"/>
      <c r="E27" s="1826">
        <v>0</v>
      </c>
      <c r="F27" s="1826">
        <v>29011</v>
      </c>
      <c r="G27" s="1826">
        <v>0</v>
      </c>
      <c r="H27" s="1826">
        <v>0</v>
      </c>
      <c r="I27" s="1826">
        <v>29011</v>
      </c>
      <c r="J27" s="1826">
        <v>0</v>
      </c>
      <c r="K27" s="1826">
        <v>0</v>
      </c>
      <c r="L27" s="1823">
        <f t="shared" si="0"/>
        <v>29011</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ADDFD-C4C4-4D4B-B1C5-D741947F623E}">
  <sheetPr>
    <pageSetUpPr fitToPage="1"/>
  </sheetPr>
  <dimension ref="B1:N152"/>
  <sheetViews>
    <sheetView showGridLines="0" zoomScaleNormal="100"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Capital Area Career Center</v>
      </c>
      <c r="C1" s="2566"/>
      <c r="D1" s="2566"/>
      <c r="E1" s="2566"/>
      <c r="F1" s="2566"/>
      <c r="G1" s="2566"/>
      <c r="H1" s="2566"/>
      <c r="I1" s="2566"/>
      <c r="J1" s="2566"/>
      <c r="K1" s="2566"/>
      <c r="L1" s="2566"/>
      <c r="M1" s="2566"/>
    </row>
    <row r="2" spans="2:14" ht="15" x14ac:dyDescent="0.2">
      <c r="B2" s="2567">
        <f>'Single Audit Cover'!E7</f>
        <v>51084790040</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2102</v>
      </c>
      <c r="C11" s="1821"/>
      <c r="D11" s="1822"/>
      <c r="E11" s="1823"/>
      <c r="F11" s="1823"/>
      <c r="G11" s="1823"/>
      <c r="H11" s="1823"/>
      <c r="I11" s="1823"/>
      <c r="J11" s="1823"/>
      <c r="K11" s="1823"/>
      <c r="L11" s="1823"/>
      <c r="M11" s="1823"/>
    </row>
    <row r="12" spans="2:14" ht="20.100000000000001" customHeight="1" x14ac:dyDescent="0.2">
      <c r="B12" s="1113" t="s">
        <v>2126</v>
      </c>
      <c r="C12" s="1824"/>
      <c r="D12" s="1825"/>
      <c r="E12" s="1826"/>
      <c r="F12" s="1826"/>
      <c r="G12" s="1826"/>
      <c r="H12" s="1826"/>
      <c r="I12" s="1826"/>
      <c r="J12" s="1826"/>
      <c r="K12" s="1826"/>
      <c r="L12" s="1823"/>
      <c r="M12" s="1826"/>
    </row>
    <row r="13" spans="2:14" ht="20.100000000000001" customHeight="1" x14ac:dyDescent="0.2">
      <c r="B13" s="1113" t="s">
        <v>2119</v>
      </c>
      <c r="C13" s="1824">
        <v>17.257999999999999</v>
      </c>
      <c r="D13" s="1825" t="s">
        <v>2088</v>
      </c>
      <c r="E13" s="1826"/>
      <c r="F13" s="1826">
        <v>613676</v>
      </c>
      <c r="G13" s="1826"/>
      <c r="H13" s="1826"/>
      <c r="I13" s="1826">
        <v>613676</v>
      </c>
      <c r="J13" s="1826"/>
      <c r="K13" s="1826"/>
      <c r="L13" s="1823">
        <f t="shared" ref="L13" si="0">+G13+I13+K13</f>
        <v>613676</v>
      </c>
      <c r="M13" s="1826" t="s">
        <v>2088</v>
      </c>
    </row>
    <row r="14" spans="2:14" ht="20.100000000000001" customHeight="1" x14ac:dyDescent="0.2">
      <c r="B14" s="1113" t="s">
        <v>2120</v>
      </c>
      <c r="C14" s="1824">
        <v>17.259</v>
      </c>
      <c r="D14" s="1825" t="s">
        <v>2104</v>
      </c>
      <c r="E14" s="1826">
        <v>2234</v>
      </c>
      <c r="F14" s="1826">
        <v>61377</v>
      </c>
      <c r="G14" s="1826">
        <v>3666</v>
      </c>
      <c r="H14" s="1826"/>
      <c r="I14" s="1826">
        <v>59945</v>
      </c>
      <c r="J14" s="1826"/>
      <c r="K14" s="1826"/>
      <c r="L14" s="1823">
        <f t="shared" ref="L14" si="1">+G14+I14+K14</f>
        <v>63611</v>
      </c>
      <c r="M14" s="1826">
        <v>89542</v>
      </c>
    </row>
    <row r="15" spans="2:14" ht="20.100000000000001" customHeight="1" x14ac:dyDescent="0.2">
      <c r="B15" s="1113" t="s">
        <v>2120</v>
      </c>
      <c r="C15" s="1824">
        <v>17.259</v>
      </c>
      <c r="D15" s="1825" t="s">
        <v>2105</v>
      </c>
      <c r="E15" s="1826"/>
      <c r="F15" s="1826">
        <v>4446</v>
      </c>
      <c r="G15" s="1826"/>
      <c r="H15" s="1826"/>
      <c r="I15" s="1826">
        <v>4446</v>
      </c>
      <c r="J15" s="1826"/>
      <c r="K15" s="1826"/>
      <c r="L15" s="1823">
        <f t="shared" ref="L15" si="2">+G15+I15+K15</f>
        <v>4446</v>
      </c>
      <c r="M15" s="1826">
        <v>160061</v>
      </c>
    </row>
    <row r="16" spans="2:14" ht="20.100000000000001" customHeight="1" x14ac:dyDescent="0.2">
      <c r="B16" s="1113" t="s">
        <v>2121</v>
      </c>
      <c r="C16" s="1824"/>
      <c r="D16" s="1825"/>
      <c r="E16" s="1826">
        <v>2234</v>
      </c>
      <c r="F16" s="1826">
        <v>65823</v>
      </c>
      <c r="G16" s="1826">
        <v>3666</v>
      </c>
      <c r="H16" s="1826">
        <v>0</v>
      </c>
      <c r="I16" s="1826">
        <v>64391</v>
      </c>
      <c r="J16" s="1826">
        <v>0</v>
      </c>
      <c r="K16" s="1826">
        <v>0</v>
      </c>
      <c r="L16" s="1823">
        <f t="shared" ref="L16" si="3">+G16+I16+K16</f>
        <v>68057</v>
      </c>
      <c r="M16" s="1826"/>
    </row>
    <row r="17" spans="2:14" ht="20.100000000000001" customHeight="1" x14ac:dyDescent="0.2">
      <c r="B17" s="1113" t="s">
        <v>2122</v>
      </c>
      <c r="C17" s="1824"/>
      <c r="D17" s="1825"/>
      <c r="E17" s="1826">
        <v>2234</v>
      </c>
      <c r="F17" s="1826">
        <v>679499</v>
      </c>
      <c r="G17" s="1826">
        <v>3666</v>
      </c>
      <c r="H17" s="1826">
        <v>0</v>
      </c>
      <c r="I17" s="1826">
        <v>678067</v>
      </c>
      <c r="J17" s="1826">
        <v>0</v>
      </c>
      <c r="K17" s="1826">
        <v>0</v>
      </c>
      <c r="L17" s="1823">
        <f t="shared" ref="L17" si="4">+G17+I17+K17</f>
        <v>681733</v>
      </c>
      <c r="M17" s="1826"/>
    </row>
    <row r="18" spans="2:14" ht="20.100000000000001" customHeight="1" x14ac:dyDescent="0.2">
      <c r="B18" s="1113"/>
      <c r="C18" s="1824"/>
      <c r="D18" s="1825"/>
      <c r="E18" s="1826"/>
      <c r="F18" s="1826"/>
      <c r="G18" s="1826"/>
      <c r="H18" s="1826"/>
      <c r="I18" s="1826"/>
      <c r="J18" s="1826"/>
      <c r="K18" s="1826"/>
      <c r="L18" s="1823"/>
      <c r="M18" s="1826"/>
    </row>
    <row r="19" spans="2:14" ht="20.100000000000001" customHeight="1" x14ac:dyDescent="0.2">
      <c r="B19" s="1113" t="s">
        <v>2106</v>
      </c>
      <c r="C19" s="1824"/>
      <c r="D19" s="1825"/>
      <c r="E19" s="1826"/>
      <c r="F19" s="1826"/>
      <c r="G19" s="1826"/>
      <c r="H19" s="1826"/>
      <c r="I19" s="1826"/>
      <c r="J19" s="1826"/>
      <c r="K19" s="1826"/>
      <c r="L19" s="1823"/>
      <c r="M19" s="1826"/>
    </row>
    <row r="20" spans="2:14" ht="20.100000000000001" customHeight="1" x14ac:dyDescent="0.2">
      <c r="B20" s="1113" t="s">
        <v>2107</v>
      </c>
      <c r="C20" s="1824">
        <v>64.028000000000006</v>
      </c>
      <c r="D20" s="1825" t="s">
        <v>2088</v>
      </c>
      <c r="E20" s="1826"/>
      <c r="F20" s="1826">
        <v>7586</v>
      </c>
      <c r="G20" s="1826"/>
      <c r="H20" s="1826"/>
      <c r="I20" s="1826">
        <v>7586</v>
      </c>
      <c r="J20" s="1826"/>
      <c r="K20" s="1826"/>
      <c r="L20" s="1823">
        <f t="shared" ref="L20" si="5">+G20+I20+K20</f>
        <v>7586</v>
      </c>
      <c r="M20" s="1826" t="s">
        <v>2088</v>
      </c>
    </row>
    <row r="21" spans="2:14" ht="20.100000000000001" customHeight="1" x14ac:dyDescent="0.2">
      <c r="B21" s="1113" t="s">
        <v>2108</v>
      </c>
      <c r="C21" s="1824"/>
      <c r="D21" s="1825"/>
      <c r="E21" s="1826">
        <v>0</v>
      </c>
      <c r="F21" s="1826">
        <v>7586</v>
      </c>
      <c r="G21" s="1826">
        <v>0</v>
      </c>
      <c r="H21" s="1826">
        <v>0</v>
      </c>
      <c r="I21" s="1826">
        <v>7586</v>
      </c>
      <c r="J21" s="1826">
        <v>0</v>
      </c>
      <c r="K21" s="1826">
        <v>0</v>
      </c>
      <c r="L21" s="1823">
        <f t="shared" ref="L21" si="6">+G21+I21+K21</f>
        <v>7586</v>
      </c>
      <c r="M21" s="1826"/>
    </row>
    <row r="22" spans="2:14" ht="20.100000000000001" customHeight="1" x14ac:dyDescent="0.2">
      <c r="B22" s="1113"/>
      <c r="C22" s="1824"/>
      <c r="D22" s="1825"/>
      <c r="E22" s="1826"/>
      <c r="F22" s="1826"/>
      <c r="G22" s="1826"/>
      <c r="H22" s="1826"/>
      <c r="I22" s="1826"/>
      <c r="J22" s="1826"/>
      <c r="K22" s="1826"/>
      <c r="L22" s="1823"/>
      <c r="M22" s="1826"/>
    </row>
    <row r="23" spans="2:14" ht="20.100000000000001" customHeight="1" x14ac:dyDescent="0.2">
      <c r="B23" s="1113"/>
      <c r="C23" s="1824"/>
      <c r="D23" s="1825"/>
      <c r="E23" s="1826"/>
      <c r="F23" s="1826"/>
      <c r="G23" s="1826"/>
      <c r="H23" s="1826"/>
      <c r="I23" s="1826"/>
      <c r="J23" s="1826"/>
      <c r="K23" s="1826"/>
      <c r="L23" s="1823"/>
      <c r="M23" s="1826"/>
    </row>
    <row r="24" spans="2:14" ht="20.100000000000001" customHeight="1" x14ac:dyDescent="0.2">
      <c r="B24" s="1113" t="s">
        <v>2109</v>
      </c>
      <c r="C24" s="1824"/>
      <c r="D24" s="1825"/>
      <c r="E24" s="1826">
        <v>2234</v>
      </c>
      <c r="F24" s="1826">
        <v>2309945</v>
      </c>
      <c r="G24" s="1826">
        <v>3366</v>
      </c>
      <c r="H24" s="1826">
        <v>0</v>
      </c>
      <c r="I24" s="1826">
        <v>2308513</v>
      </c>
      <c r="J24" s="1826">
        <v>0</v>
      </c>
      <c r="K24" s="1826">
        <v>0</v>
      </c>
      <c r="L24" s="1823">
        <f t="shared" ref="L24" si="7">+G24+I24+K24</f>
        <v>2311879</v>
      </c>
      <c r="M24" s="1826"/>
    </row>
    <row r="25" spans="2:14" ht="20.100000000000001" customHeight="1" x14ac:dyDescent="0.2">
      <c r="B25" s="1113"/>
      <c r="C25" s="1824"/>
      <c r="D25" s="1825"/>
      <c r="E25" s="1826"/>
      <c r="F25" s="1826"/>
      <c r="G25" s="1826"/>
      <c r="H25" s="1826"/>
      <c r="I25" s="1826"/>
      <c r="J25" s="1826"/>
      <c r="K25" s="1826"/>
      <c r="L25" s="1823"/>
      <c r="M25" s="1826"/>
    </row>
    <row r="26" spans="2:14" ht="20.100000000000001" customHeight="1" x14ac:dyDescent="0.2">
      <c r="B26" s="1113"/>
      <c r="C26" s="1824"/>
      <c r="D26" s="1825"/>
      <c r="E26" s="1826"/>
      <c r="F26" s="1826"/>
      <c r="G26" s="1826"/>
      <c r="H26" s="1826"/>
      <c r="I26" s="1826"/>
      <c r="J26" s="1826"/>
      <c r="K26" s="1826"/>
      <c r="L26" s="1823"/>
      <c r="M26" s="1826"/>
    </row>
    <row r="27" spans="2:14" ht="20.100000000000001" customHeight="1" x14ac:dyDescent="0.2">
      <c r="B27" s="1113"/>
      <c r="C27" s="1824"/>
      <c r="D27" s="1825"/>
      <c r="E27" s="1826"/>
      <c r="F27" s="1826"/>
      <c r="G27" s="1826"/>
      <c r="H27" s="1826"/>
      <c r="I27" s="1826"/>
      <c r="J27" s="1826"/>
      <c r="K27" s="1826"/>
      <c r="L27" s="1823"/>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D1" sqref="D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v>44104</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1986</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1986</v>
      </c>
      <c r="B88" s="2187"/>
      <c r="C88" s="2187"/>
      <c r="D88" s="2188"/>
      <c r="E88" s="1544"/>
      <c r="F88" s="1544"/>
      <c r="G88" s="1544">
        <v>1811</v>
      </c>
      <c r="H88" s="1544"/>
      <c r="I88" s="1904"/>
      <c r="J88" s="1727">
        <f>SUM(E88:I88)</f>
        <v>1811</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1811</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2048</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2064</v>
      </c>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Capital Area Career Center</v>
      </c>
      <c r="B1" s="2579"/>
      <c r="C1" s="2579"/>
      <c r="D1" s="2579"/>
      <c r="E1" s="2579"/>
      <c r="F1" s="2579"/>
    </row>
    <row r="2" spans="1:7" ht="13.5" customHeight="1" x14ac:dyDescent="0.2">
      <c r="A2" s="2567">
        <f>'Single Audit Cover'!E7</f>
        <v>51084790040</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2110</v>
      </c>
      <c r="B7" s="2578"/>
      <c r="C7" s="2578"/>
      <c r="D7" s="2578"/>
      <c r="E7" s="2578"/>
      <c r="F7" s="2578"/>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t="s">
        <v>2055</v>
      </c>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2125</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t="s">
        <v>2111</v>
      </c>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2112</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1808</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380</v>
      </c>
      <c r="D38" s="1526"/>
      <c r="E38" s="1062"/>
    </row>
    <row r="39" spans="1:6" ht="14.25" customHeight="1" x14ac:dyDescent="0.2">
      <c r="A39" s="306"/>
      <c r="B39" s="306" t="s">
        <v>1419</v>
      </c>
      <c r="C39" s="1068" t="s">
        <v>380</v>
      </c>
      <c r="D39" s="1526"/>
      <c r="E39" s="1062"/>
    </row>
    <row r="40" spans="1:6" ht="14.25" customHeight="1" x14ac:dyDescent="0.2">
      <c r="A40" s="306"/>
      <c r="B40" s="306" t="s">
        <v>1420</v>
      </c>
      <c r="C40" s="1068" t="s">
        <v>380</v>
      </c>
      <c r="D40" s="1526"/>
      <c r="E40" s="1062"/>
    </row>
    <row r="41" spans="1:6" ht="14.25" customHeight="1" x14ac:dyDescent="0.2">
      <c r="A41" s="306"/>
      <c r="B41" s="306" t="s">
        <v>1421</v>
      </c>
      <c r="C41" s="1068" t="s">
        <v>380</v>
      </c>
      <c r="D41" s="1526"/>
      <c r="E41" s="1062"/>
    </row>
    <row r="42" spans="1:6" ht="14.25" customHeight="1" x14ac:dyDescent="0.2">
      <c r="A42" s="306" t="s">
        <v>1422</v>
      </c>
      <c r="B42" s="306"/>
      <c r="C42" s="1524" t="s">
        <v>380</v>
      </c>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Capital Area Career Center</v>
      </c>
      <c r="C1" s="2594"/>
      <c r="D1" s="2594"/>
      <c r="E1" s="2594"/>
      <c r="F1" s="2594"/>
      <c r="G1" s="2594"/>
      <c r="H1" s="2594"/>
      <c r="I1" s="2594"/>
      <c r="J1" s="1178"/>
    </row>
    <row r="2" spans="2:10" s="295" customFormat="1" ht="12.75" customHeight="1" x14ac:dyDescent="0.2">
      <c r="B2" s="2595">
        <f>'Single Audit Cover'!E7</f>
        <v>51084790040</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t="s">
        <v>2113</v>
      </c>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2055</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2055</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2055</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2055</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2055</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t="s">
        <v>2113</v>
      </c>
      <c r="E29" s="2600"/>
      <c r="F29" s="2600"/>
      <c r="G29" s="2600"/>
      <c r="H29" s="2600"/>
      <c r="I29" s="2600"/>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2055</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01" t="s">
        <v>1725</v>
      </c>
      <c r="D37" s="2602"/>
      <c r="E37" s="2602"/>
      <c r="F37" s="2603"/>
      <c r="G37" s="2601" t="s">
        <v>1575</v>
      </c>
      <c r="H37" s="2602"/>
      <c r="I37" s="2603"/>
    </row>
    <row r="38" spans="2:9" ht="16.5" customHeight="1" x14ac:dyDescent="0.2">
      <c r="B38" s="1200"/>
      <c r="C38" s="2589" t="s">
        <v>2114</v>
      </c>
      <c r="D38" s="2590"/>
      <c r="E38" s="2590"/>
      <c r="F38" s="2591"/>
      <c r="G38" s="2604"/>
      <c r="H38" s="2605"/>
      <c r="I38" s="2606"/>
    </row>
    <row r="39" spans="2:9" ht="16.5" customHeight="1" x14ac:dyDescent="0.2">
      <c r="B39" s="1200">
        <v>84.063000000000002</v>
      </c>
      <c r="C39" s="2589" t="s">
        <v>2115</v>
      </c>
      <c r="D39" s="2590"/>
      <c r="E39" s="2590"/>
      <c r="F39" s="2591"/>
      <c r="G39" s="2592">
        <v>574135</v>
      </c>
      <c r="H39" s="2592"/>
      <c r="I39" s="2592"/>
    </row>
    <row r="40" spans="2:9" ht="16.5" customHeight="1" x14ac:dyDescent="0.2">
      <c r="B40" s="1200">
        <v>84.268000000000001</v>
      </c>
      <c r="C40" s="2589" t="s">
        <v>2116</v>
      </c>
      <c r="D40" s="2590"/>
      <c r="E40" s="2590"/>
      <c r="F40" s="2591"/>
      <c r="G40" s="2592">
        <v>854102</v>
      </c>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1428237</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2308513</v>
      </c>
      <c r="E45" s="2587"/>
    </row>
    <row r="46" spans="2:9" ht="5.25" customHeight="1" x14ac:dyDescent="0.2">
      <c r="B46" s="1201"/>
      <c r="D46" s="1202"/>
      <c r="E46" s="1203"/>
    </row>
    <row r="47" spans="2:9" ht="12.75" customHeight="1" x14ac:dyDescent="0.2">
      <c r="B47" s="1076" t="s">
        <v>1577</v>
      </c>
      <c r="C47" s="1076"/>
      <c r="D47" s="1204">
        <f>+G43/D45</f>
        <v>0.6186826758177234</v>
      </c>
      <c r="E47" s="1205"/>
      <c r="F47" s="1206"/>
      <c r="I47" s="1207"/>
    </row>
    <row r="48" spans="2:9" ht="9.9499999999999993" customHeight="1" x14ac:dyDescent="0.2"/>
    <row r="49" spans="1:9" x14ac:dyDescent="0.2">
      <c r="B49" s="1138" t="s">
        <v>1262</v>
      </c>
      <c r="C49" s="1058"/>
      <c r="D49" s="1058"/>
      <c r="E49" s="2588">
        <v>750000</v>
      </c>
      <c r="F49" s="2588"/>
      <c r="G49" s="2588"/>
      <c r="H49" s="300"/>
    </row>
    <row r="51" spans="1:9" ht="13.5" customHeight="1" x14ac:dyDescent="0.2">
      <c r="B51" s="1138" t="s">
        <v>1261</v>
      </c>
      <c r="C51" s="1058"/>
      <c r="E51" s="1194" t="s">
        <v>2055</v>
      </c>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Capital Area Career Center</v>
      </c>
      <c r="C1" s="2593"/>
      <c r="D1" s="2593"/>
      <c r="E1" s="2593"/>
      <c r="F1" s="2593"/>
      <c r="G1" s="2593"/>
      <c r="H1" s="2593"/>
      <c r="I1" s="2593"/>
      <c r="J1" s="2593"/>
      <c r="K1" s="2593"/>
      <c r="L1" s="1144"/>
      <c r="M1" s="1144"/>
    </row>
    <row r="2" spans="1:13" ht="12" customHeight="1" x14ac:dyDescent="0.2">
      <c r="B2" s="2595">
        <f>'Single Audit Cover'!E7</f>
        <v>51084790040</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t="s">
        <v>2117</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Capital Area Career Center</v>
      </c>
      <c r="C1" s="2616"/>
      <c r="D1" s="2616"/>
      <c r="E1" s="2616"/>
      <c r="F1" s="2616"/>
      <c r="G1" s="2616"/>
      <c r="H1" s="2616"/>
      <c r="I1" s="2616"/>
      <c r="J1" s="2616"/>
      <c r="K1" s="2616"/>
      <c r="L1" s="1221"/>
    </row>
    <row r="2" spans="1:12" ht="12.75" customHeight="1" x14ac:dyDescent="0.2">
      <c r="B2" s="2617">
        <f>'Single Audit Cover'!E7</f>
        <v>51084790040</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9" t="str">
        <f>'AFR20'!$E$2&amp;"-"</f>
        <v>2020-</v>
      </c>
      <c r="D8" s="1223" t="s">
        <v>2117</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Capital Area Career Center</v>
      </c>
      <c r="C1" s="2593"/>
      <c r="D1" s="2593"/>
      <c r="E1" s="1240"/>
    </row>
    <row r="2" spans="2:5" s="1058" customFormat="1" ht="12.75" customHeight="1" x14ac:dyDescent="0.2">
      <c r="B2" s="2595">
        <f>'Single Audit Cover'!E7</f>
        <v>51084790040</v>
      </c>
      <c r="C2" s="2595"/>
      <c r="D2" s="2595"/>
      <c r="E2" s="1241"/>
    </row>
    <row r="3" spans="2:5" ht="12.75" customHeight="1" x14ac:dyDescent="0.2">
      <c r="B3" s="2609" t="s">
        <v>1740</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c r="C7" s="302"/>
      <c r="D7" s="302"/>
      <c r="E7" s="302"/>
    </row>
    <row r="8" spans="2:5" ht="13.5" customHeight="1" x14ac:dyDescent="0.2">
      <c r="B8" s="1245" t="s">
        <v>2118</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5287816</v>
      </c>
      <c r="E16" s="1547"/>
      <c r="F16" s="1546">
        <f>SUM('Acct Summary 7-8'!C17,'Acct Summary 7-8'!D17,'Acct Summary 7-8'!F17)</f>
        <v>5118170</v>
      </c>
      <c r="G16" s="1547"/>
      <c r="H16" s="1546">
        <f>SUM(D16-F16)</f>
        <v>169646</v>
      </c>
      <c r="I16" s="1548"/>
      <c r="J16" s="1546">
        <f>SUM('Acct Summary 7-8'!C81,'Acct Summary 7-8'!D81,'Acct Summary 7-8'!F81,'Acct Summary 7-8'!I81)</f>
        <v>2670617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1672165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Capital Area Career Center</v>
      </c>
      <c r="E7" s="368"/>
      <c r="G7" s="247"/>
      <c r="H7" s="364"/>
      <c r="I7" s="364"/>
      <c r="J7" s="364"/>
      <c r="K7" s="364"/>
      <c r="L7" s="307"/>
      <c r="M7" s="307"/>
      <c r="N7" s="307"/>
      <c r="O7" s="307"/>
      <c r="P7" s="307"/>
    </row>
    <row r="8" spans="1:18" ht="12.75" x14ac:dyDescent="0.2">
      <c r="A8" s="307"/>
      <c r="B8" s="307"/>
      <c r="C8" s="366" t="s">
        <v>1115</v>
      </c>
      <c r="D8" s="369">
        <f>COVER!A13</f>
        <v>51084790040</v>
      </c>
      <c r="E8" s="370"/>
      <c r="G8" s="307"/>
      <c r="H8" s="307"/>
      <c r="I8" s="307"/>
      <c r="J8" s="307"/>
      <c r="K8" s="307"/>
      <c r="L8" s="307"/>
      <c r="M8" s="307"/>
      <c r="N8" s="307"/>
      <c r="O8" s="307"/>
      <c r="P8" s="307"/>
    </row>
    <row r="9" spans="1:18" ht="12.75" x14ac:dyDescent="0.2">
      <c r="A9" s="307"/>
      <c r="B9" s="307"/>
      <c r="C9" s="366" t="s">
        <v>708</v>
      </c>
      <c r="D9" s="371" t="str">
        <f>COVER!A15</f>
        <v>Sangamon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2670617</v>
      </c>
      <c r="I12" s="380"/>
      <c r="J12" s="380"/>
      <c r="K12" s="1559">
        <f>TRUNC((H12/H13*100000),5)/100000</f>
        <v>0.50505104560000003</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5287816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5118170</v>
      </c>
      <c r="I17" s="380"/>
      <c r="J17" s="389"/>
      <c r="K17" s="1559">
        <f>TRUNC((H17/H18*100000),5)/100000</f>
        <v>0.96791756740000001</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5287816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2599585</v>
      </c>
      <c r="I24" s="394"/>
      <c r="J24" s="394"/>
      <c r="K24" s="1555">
        <f>TRUNC(((H24/H25*100000)/100000),2)</f>
        <v>182.84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14217.13889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1672165</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L21" sqref="L21"/>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2599585</v>
      </c>
      <c r="D4" s="1573"/>
      <c r="E4" s="1573"/>
      <c r="F4" s="1573"/>
      <c r="G4" s="1573"/>
      <c r="H4" s="1573">
        <v>139956</v>
      </c>
      <c r="I4" s="1573"/>
      <c r="J4" s="1574"/>
      <c r="K4" s="1573"/>
      <c r="L4" s="1573">
        <v>35487</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v>396078</v>
      </c>
      <c r="D8" s="1574"/>
      <c r="E8" s="1574"/>
      <c r="F8" s="1574"/>
      <c r="G8" s="1583"/>
      <c r="H8" s="1574"/>
      <c r="I8" s="1579"/>
      <c r="J8" s="1579"/>
      <c r="K8" s="1584"/>
      <c r="L8" s="1585"/>
      <c r="M8" s="1575"/>
      <c r="N8" s="1576"/>
    </row>
    <row r="9" spans="1:14" ht="13.5" customHeight="1" x14ac:dyDescent="0.2">
      <c r="A9" s="430" t="s">
        <v>268</v>
      </c>
      <c r="B9" s="429">
        <v>160</v>
      </c>
      <c r="C9" s="1581">
        <v>1664</v>
      </c>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5475</v>
      </c>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3002802</v>
      </c>
      <c r="D13" s="1587">
        <f t="shared" ref="D13:L13" si="0">SUM(D4:D12)</f>
        <v>0</v>
      </c>
      <c r="E13" s="1587">
        <f t="shared" si="0"/>
        <v>0</v>
      </c>
      <c r="F13" s="1587">
        <f t="shared" si="0"/>
        <v>0</v>
      </c>
      <c r="G13" s="1587">
        <f t="shared" si="0"/>
        <v>0</v>
      </c>
      <c r="H13" s="1587">
        <f t="shared" si="0"/>
        <v>139956</v>
      </c>
      <c r="I13" s="1587">
        <f t="shared" si="0"/>
        <v>0</v>
      </c>
      <c r="J13" s="1587">
        <f t="shared" si="0"/>
        <v>0</v>
      </c>
      <c r="K13" s="1587">
        <f t="shared" si="0"/>
        <v>0</v>
      </c>
      <c r="L13" s="1587">
        <f t="shared" si="0"/>
        <v>35487</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300000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11692395</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632484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1594442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3615</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1672165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14222936</v>
      </c>
      <c r="N23" s="1594">
        <f>SUM(N21:N22)</f>
        <v>1672165</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v>36351</v>
      </c>
      <c r="D26" s="1574"/>
      <c r="E26" s="1574"/>
      <c r="F26" s="1574"/>
      <c r="G26" s="1574"/>
      <c r="H26" s="1574"/>
      <c r="I26" s="1574"/>
      <c r="J26" s="1579"/>
      <c r="K26" s="1574"/>
      <c r="L26" s="1575"/>
      <c r="M26" s="1575"/>
      <c r="N26" s="1575"/>
    </row>
    <row r="27" spans="1:14" ht="13.5" customHeight="1" x14ac:dyDescent="0.2">
      <c r="A27" s="430" t="s">
        <v>642</v>
      </c>
      <c r="B27" s="429">
        <v>430</v>
      </c>
      <c r="C27" s="1574">
        <v>114762</v>
      </c>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164665</v>
      </c>
      <c r="D30" s="1579"/>
      <c r="E30" s="1574"/>
      <c r="F30" s="1574"/>
      <c r="G30" s="1574"/>
      <c r="H30" s="1574"/>
      <c r="I30" s="1574"/>
      <c r="J30" s="1574"/>
      <c r="K30" s="1583"/>
      <c r="L30" s="1575"/>
      <c r="M30" s="1575"/>
      <c r="N30" s="1575"/>
    </row>
    <row r="31" spans="1:14" ht="13.5" customHeight="1" x14ac:dyDescent="0.2">
      <c r="A31" s="430" t="s">
        <v>646</v>
      </c>
      <c r="B31" s="429">
        <v>480</v>
      </c>
      <c r="C31" s="1573">
        <v>16407</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35487</v>
      </c>
      <c r="M33" s="1575"/>
      <c r="N33" s="1576"/>
    </row>
    <row r="34" spans="1:14" ht="13.5" customHeight="1" thickBot="1" x14ac:dyDescent="0.25">
      <c r="A34" s="1427" t="s">
        <v>649</v>
      </c>
      <c r="B34" s="1428"/>
      <c r="C34" s="1600">
        <f>SUM(C25:C33)</f>
        <v>332185</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35487</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1672165</v>
      </c>
    </row>
    <row r="37" spans="1:14" ht="13.5" thickBot="1" x14ac:dyDescent="0.25">
      <c r="A37" s="1426" t="s">
        <v>648</v>
      </c>
      <c r="B37" s="1429"/>
      <c r="C37" s="1582"/>
      <c r="D37" s="1582"/>
      <c r="E37" s="1582"/>
      <c r="F37" s="1582"/>
      <c r="G37" s="1582"/>
      <c r="H37" s="1582"/>
      <c r="I37" s="1582"/>
      <c r="J37" s="1582"/>
      <c r="K37" s="1582"/>
      <c r="L37" s="1585"/>
      <c r="M37" s="1575"/>
      <c r="N37" s="1594">
        <f>SUM(N36:N36)</f>
        <v>1672165</v>
      </c>
    </row>
    <row r="38" spans="1:14" s="307" customFormat="1" ht="13.5" customHeight="1" thickTop="1" x14ac:dyDescent="0.2">
      <c r="A38" s="438" t="s">
        <v>417</v>
      </c>
      <c r="B38" s="432">
        <v>714</v>
      </c>
      <c r="C38" s="1573"/>
      <c r="D38" s="1573"/>
      <c r="E38" s="1573"/>
      <c r="F38" s="1573"/>
      <c r="G38" s="1573"/>
      <c r="H38" s="1573">
        <v>50000</v>
      </c>
      <c r="I38" s="1573"/>
      <c r="J38" s="1574"/>
      <c r="K38" s="1573"/>
      <c r="L38" s="1586"/>
      <c r="M38" s="1604"/>
      <c r="N38" s="1604"/>
    </row>
    <row r="39" spans="1:14" s="307" customFormat="1" ht="13.5" customHeight="1" x14ac:dyDescent="0.2">
      <c r="A39" s="438" t="s">
        <v>339</v>
      </c>
      <c r="B39" s="432">
        <v>730</v>
      </c>
      <c r="C39" s="1573">
        <v>2670617</v>
      </c>
      <c r="D39" s="1573"/>
      <c r="E39" s="1573"/>
      <c r="F39" s="1573"/>
      <c r="G39" s="1573"/>
      <c r="H39" s="1573">
        <v>89956</v>
      </c>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14222936</v>
      </c>
      <c r="N40" s="1604"/>
    </row>
    <row r="41" spans="1:14" ht="13.5" customHeight="1" thickBot="1" x14ac:dyDescent="0.25">
      <c r="A41" s="1426" t="s">
        <v>650</v>
      </c>
      <c r="B41" s="1405"/>
      <c r="C41" s="1594">
        <f>(SUM(C34,C37,C38,C39))</f>
        <v>3002802</v>
      </c>
      <c r="D41" s="1594">
        <f t="shared" ref="D41:L41" si="2">SUM(D34,D37,D38:D39)</f>
        <v>0</v>
      </c>
      <c r="E41" s="1594">
        <f t="shared" si="2"/>
        <v>0</v>
      </c>
      <c r="F41" s="1594">
        <f t="shared" si="2"/>
        <v>0</v>
      </c>
      <c r="G41" s="1594">
        <f t="shared" si="2"/>
        <v>0</v>
      </c>
      <c r="H41" s="1594">
        <f t="shared" si="2"/>
        <v>139956</v>
      </c>
      <c r="I41" s="1594">
        <f t="shared" si="2"/>
        <v>0</v>
      </c>
      <c r="J41" s="1594">
        <f t="shared" si="2"/>
        <v>0</v>
      </c>
      <c r="K41" s="1594">
        <f t="shared" si="2"/>
        <v>0</v>
      </c>
      <c r="L41" s="1594">
        <f t="shared" si="2"/>
        <v>35487</v>
      </c>
      <c r="M41" s="1594">
        <f>SUM(M40)</f>
        <v>14222936</v>
      </c>
      <c r="N41" s="1594">
        <f>SUM(N37)</f>
        <v>1672165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L21" sqref="L21"/>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4241852</v>
      </c>
      <c r="D4" s="1606">
        <f>'Revenues 9-14'!D109</f>
        <v>0</v>
      </c>
      <c r="E4" s="1606">
        <f>'Revenues 9-14'!E109</f>
        <v>0</v>
      </c>
      <c r="F4" s="1606">
        <f>'Revenues 9-14'!F109</f>
        <v>0</v>
      </c>
      <c r="G4" s="1606">
        <f>'Revenues 9-14'!G109</f>
        <v>0</v>
      </c>
      <c r="H4" s="1606">
        <f>'Revenues 9-14'!H109</f>
        <v>7735</v>
      </c>
      <c r="I4" s="1606">
        <f>'Revenues 9-14'!I109</f>
        <v>0</v>
      </c>
      <c r="J4" s="1606">
        <f>'Revenues 9-14'!J109</f>
        <v>0</v>
      </c>
      <c r="K4" s="1606">
        <f>'Revenues 9-14'!K109</f>
        <v>0</v>
      </c>
      <c r="L4" s="325"/>
    </row>
    <row r="5" spans="1:13" ht="15.75" customHeight="1" x14ac:dyDescent="0.2">
      <c r="A5" s="1314" t="s">
        <v>1483</v>
      </c>
      <c r="B5" s="1315">
        <v>2000</v>
      </c>
      <c r="C5" s="1607">
        <f>'Revenues 9-14'!C114</f>
        <v>601849</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355478</v>
      </c>
      <c r="D6" s="1607">
        <f>'Revenues 9-14'!D170</f>
        <v>0</v>
      </c>
      <c r="E6" s="1607">
        <f>'Revenues 9-14'!E170</f>
        <v>0</v>
      </c>
      <c r="F6" s="1607">
        <f>'Revenues 9-14'!F170</f>
        <v>0</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88637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5287816</v>
      </c>
      <c r="D8" s="1594">
        <f t="shared" ref="D8:K8" si="0">SUM(D4:D7)</f>
        <v>0</v>
      </c>
      <c r="E8" s="1594">
        <f t="shared" si="0"/>
        <v>0</v>
      </c>
      <c r="F8" s="1594">
        <f t="shared" si="0"/>
        <v>0</v>
      </c>
      <c r="G8" s="1594">
        <f t="shared" si="0"/>
        <v>0</v>
      </c>
      <c r="H8" s="1594">
        <f t="shared" si="0"/>
        <v>57735</v>
      </c>
      <c r="I8" s="1594">
        <f t="shared" si="0"/>
        <v>0</v>
      </c>
      <c r="J8" s="1594">
        <f t="shared" si="0"/>
        <v>0</v>
      </c>
      <c r="K8" s="1594">
        <f t="shared" si="0"/>
        <v>0</v>
      </c>
      <c r="L8" s="325"/>
    </row>
    <row r="9" spans="1:13" ht="15.75" thickTop="1" x14ac:dyDescent="0.2">
      <c r="A9" s="449" t="s">
        <v>1634</v>
      </c>
      <c r="B9" s="450">
        <v>3998</v>
      </c>
      <c r="C9" s="1586">
        <v>1156231</v>
      </c>
      <c r="D9" s="1613"/>
      <c r="E9" s="1586"/>
      <c r="F9" s="1586"/>
      <c r="G9" s="1614"/>
      <c r="H9" s="1586"/>
      <c r="I9" s="1609" t="s">
        <v>1159</v>
      </c>
      <c r="J9" s="1583"/>
      <c r="K9" s="1586"/>
      <c r="L9" s="325"/>
    </row>
    <row r="10" spans="1:13" s="452" customFormat="1" ht="13.5" thickBot="1" x14ac:dyDescent="0.25">
      <c r="A10" s="1426" t="s">
        <v>1163</v>
      </c>
      <c r="B10" s="1407"/>
      <c r="C10" s="1594">
        <f>SUM(C8:C9)</f>
        <v>6444047</v>
      </c>
      <c r="D10" s="1594">
        <f t="shared" ref="D10:K10" si="1">SUM(D8:D9)</f>
        <v>0</v>
      </c>
      <c r="E10" s="1594">
        <f t="shared" si="1"/>
        <v>0</v>
      </c>
      <c r="F10" s="1594">
        <f t="shared" si="1"/>
        <v>0</v>
      </c>
      <c r="G10" s="1594">
        <f t="shared" si="1"/>
        <v>0</v>
      </c>
      <c r="H10" s="1594">
        <f t="shared" si="1"/>
        <v>57735</v>
      </c>
      <c r="I10" s="1594">
        <f t="shared" si="1"/>
        <v>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3402888</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1715282</v>
      </c>
      <c r="D13" s="1607">
        <f>'Expenditures 15-22'!K129</f>
        <v>0</v>
      </c>
      <c r="E13" s="1576" t="s">
        <v>1159</v>
      </c>
      <c r="F13" s="1607">
        <f>'Expenditures 15-22'!K184</f>
        <v>0</v>
      </c>
      <c r="G13" s="1607">
        <f>'Expenditures 15-22'!K279</f>
        <v>0</v>
      </c>
      <c r="H13" s="1607">
        <f>'Expenditures 15-22'!K303</f>
        <v>643222</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5118170</v>
      </c>
      <c r="D17" s="1594">
        <f t="shared" si="2"/>
        <v>0</v>
      </c>
      <c r="E17" s="1594">
        <f t="shared" si="2"/>
        <v>0</v>
      </c>
      <c r="F17" s="1594">
        <f t="shared" si="2"/>
        <v>0</v>
      </c>
      <c r="G17" s="1594">
        <f t="shared" si="2"/>
        <v>0</v>
      </c>
      <c r="H17" s="1594">
        <f t="shared" si="2"/>
        <v>643222</v>
      </c>
      <c r="I17" s="1575"/>
      <c r="J17" s="1594">
        <f>SUM(J12:J16)</f>
        <v>0</v>
      </c>
      <c r="K17" s="1594">
        <f>SUM(K12:K16)</f>
        <v>0</v>
      </c>
      <c r="L17" s="325"/>
    </row>
    <row r="18" spans="1:12" ht="15" customHeight="1" thickTop="1" x14ac:dyDescent="0.2">
      <c r="A18" s="1430" t="s">
        <v>1635</v>
      </c>
      <c r="B18" s="1431">
        <v>4180</v>
      </c>
      <c r="C18" s="1606">
        <f t="shared" ref="C18:H18" si="3">C9</f>
        <v>1156231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6274401</v>
      </c>
      <c r="D19" s="1594">
        <f t="shared" si="4"/>
        <v>0</v>
      </c>
      <c r="E19" s="1594">
        <f t="shared" si="4"/>
        <v>0</v>
      </c>
      <c r="F19" s="1594">
        <f t="shared" si="4"/>
        <v>0</v>
      </c>
      <c r="G19" s="1594">
        <f t="shared" si="4"/>
        <v>0</v>
      </c>
      <c r="H19" s="1594">
        <f t="shared" si="4"/>
        <v>643222</v>
      </c>
      <c r="I19" s="1575"/>
      <c r="J19" s="1594">
        <f>SUM(J17:J18)</f>
        <v>0</v>
      </c>
      <c r="K19" s="1594">
        <f>SUM(K17:K18)</f>
        <v>0</v>
      </c>
      <c r="L19" s="325"/>
    </row>
    <row r="20" spans="1:12" ht="16.5" thickTop="1" thickBot="1" x14ac:dyDescent="0.25">
      <c r="A20" s="2231" t="s">
        <v>1636</v>
      </c>
      <c r="B20" s="2232"/>
      <c r="C20" s="1622">
        <f>C8-C17</f>
        <v>169646</v>
      </c>
      <c r="D20" s="1622">
        <f t="shared" ref="D20:K20" si="5">D8-D17</f>
        <v>0</v>
      </c>
      <c r="E20" s="1622">
        <f t="shared" si="5"/>
        <v>0</v>
      </c>
      <c r="F20" s="1622">
        <f t="shared" si="5"/>
        <v>0</v>
      </c>
      <c r="G20" s="1622">
        <f t="shared" si="5"/>
        <v>0</v>
      </c>
      <c r="H20" s="1622">
        <f t="shared" si="5"/>
        <v>-585487</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v>700000</v>
      </c>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v>47000</v>
      </c>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47000</v>
      </c>
      <c r="D44" s="1624">
        <f t="shared" ref="D44:K44" si="6">SUM(D24:D43)</f>
        <v>0</v>
      </c>
      <c r="E44" s="1624">
        <f t="shared" si="6"/>
        <v>0</v>
      </c>
      <c r="F44" s="1624">
        <f t="shared" si="6"/>
        <v>0</v>
      </c>
      <c r="G44" s="1624">
        <f t="shared" si="6"/>
        <v>0</v>
      </c>
      <c r="H44" s="1624">
        <f t="shared" si="6"/>
        <v>700000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v>700000</v>
      </c>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700000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-653000</v>
      </c>
      <c r="D77" s="1624">
        <f t="shared" si="8"/>
        <v>0</v>
      </c>
      <c r="E77" s="1624">
        <f t="shared" si="8"/>
        <v>0</v>
      </c>
      <c r="F77" s="1624">
        <f t="shared" si="8"/>
        <v>0</v>
      </c>
      <c r="G77" s="1624">
        <f t="shared" si="8"/>
        <v>0</v>
      </c>
      <c r="H77" s="1624">
        <f t="shared" si="8"/>
        <v>700000</v>
      </c>
      <c r="I77" s="1624">
        <f t="shared" si="8"/>
        <v>0</v>
      </c>
      <c r="J77" s="1624">
        <f t="shared" si="8"/>
        <v>0</v>
      </c>
      <c r="K77" s="1624">
        <f t="shared" si="8"/>
        <v>0</v>
      </c>
      <c r="L77" s="325"/>
    </row>
    <row r="78" spans="1:12" ht="21.75" customHeight="1" thickTop="1" thickBot="1" x14ac:dyDescent="0.25">
      <c r="A78" s="2227" t="s">
        <v>593</v>
      </c>
      <c r="B78" s="2228"/>
      <c r="C78" s="1629">
        <f t="shared" ref="C78:K78" si="9">C20+C77</f>
        <v>-483354</v>
      </c>
      <c r="D78" s="1629">
        <f t="shared" si="9"/>
        <v>0</v>
      </c>
      <c r="E78" s="1629">
        <f t="shared" si="9"/>
        <v>0</v>
      </c>
      <c r="F78" s="1629">
        <f t="shared" si="9"/>
        <v>0</v>
      </c>
      <c r="G78" s="1629">
        <f t="shared" si="9"/>
        <v>0</v>
      </c>
      <c r="H78" s="1629">
        <f t="shared" si="9"/>
        <v>114513</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3153971</v>
      </c>
      <c r="D79" s="1630"/>
      <c r="E79" s="1630"/>
      <c r="F79" s="1630"/>
      <c r="G79" s="1630"/>
      <c r="H79" s="1630">
        <v>25443</v>
      </c>
      <c r="I79" s="1630"/>
      <c r="J79" s="1630"/>
      <c r="K79" s="1630"/>
      <c r="L79" s="325"/>
    </row>
    <row r="80" spans="1:12" x14ac:dyDescent="0.2">
      <c r="A80" s="2233" t="s">
        <v>1769</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2670617</v>
      </c>
      <c r="D81" s="1594">
        <f>SUM(D78:D80)</f>
        <v>0</v>
      </c>
      <c r="E81" s="1594">
        <f t="shared" ref="E81:K81" si="10">SUM(E78:E80)</f>
        <v>0</v>
      </c>
      <c r="F81" s="1594">
        <f t="shared" si="10"/>
        <v>0</v>
      </c>
      <c r="G81" s="1594">
        <f t="shared" si="10"/>
        <v>0</v>
      </c>
      <c r="H81" s="1594">
        <f t="shared" si="10"/>
        <v>139956</v>
      </c>
      <c r="I81" s="1594">
        <f t="shared" si="10"/>
        <v>0</v>
      </c>
      <c r="J81" s="1594">
        <f t="shared" si="10"/>
        <v>0</v>
      </c>
      <c r="K81" s="1594">
        <f t="shared" si="10"/>
        <v>0</v>
      </c>
      <c r="L81" s="325"/>
    </row>
    <row r="82" spans="1:12" ht="0.75" customHeight="1" thickTop="1" thickBot="1" x14ac:dyDescent="0.25">
      <c r="A82" s="459" t="s">
        <v>340</v>
      </c>
      <c r="B82" s="460"/>
      <c r="C82" s="461">
        <f>(C81-C79)</f>
        <v>-483354</v>
      </c>
      <c r="D82" s="461">
        <f t="shared" ref="D82:K82" si="11">(D81-D79)</f>
        <v>0</v>
      </c>
      <c r="E82" s="461">
        <f t="shared" si="11"/>
        <v>0</v>
      </c>
      <c r="F82" s="461">
        <f t="shared" si="11"/>
        <v>0</v>
      </c>
      <c r="G82" s="461">
        <f t="shared" si="11"/>
        <v>0</v>
      </c>
      <c r="H82" s="461">
        <f t="shared" si="11"/>
        <v>114513</v>
      </c>
      <c r="I82" s="461">
        <f t="shared" si="11"/>
        <v>0</v>
      </c>
      <c r="J82" s="461">
        <f t="shared" si="11"/>
        <v>0</v>
      </c>
      <c r="K82" s="461">
        <f t="shared" si="11"/>
        <v>0</v>
      </c>
    </row>
    <row r="83" spans="1:12" ht="14.25" hidden="1" thickTop="1" thickBot="1" x14ac:dyDescent="0.25">
      <c r="A83" s="462" t="s">
        <v>341</v>
      </c>
      <c r="B83" s="428"/>
      <c r="C83" s="463">
        <f>C82/C81</f>
        <v>-0.18098963647726349</v>
      </c>
      <c r="D83" s="463" t="e">
        <f t="shared" ref="D83:K83" si="12">D82/D81</f>
        <v>#DIV/0!</v>
      </c>
      <c r="E83" s="463" t="e">
        <f t="shared" si="12"/>
        <v>#DIV/0!</v>
      </c>
      <c r="F83" s="463" t="e">
        <f t="shared" si="12"/>
        <v>#DIV/0!</v>
      </c>
      <c r="G83" s="463" t="e">
        <f t="shared" si="12"/>
        <v>#DIV/0!</v>
      </c>
      <c r="H83" s="463">
        <f t="shared" si="12"/>
        <v>0.81820715081882878</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L21" sqref="L21"/>
      <selection pane="bottomLeft" activeCell="C29" sqref="C2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1776</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v>6894</v>
      </c>
      <c r="D28" s="1575"/>
      <c r="E28" s="1575"/>
      <c r="F28" s="1575"/>
      <c r="G28" s="1575"/>
      <c r="H28" s="1575"/>
      <c r="I28" s="1575"/>
      <c r="J28" s="1575"/>
      <c r="K28" s="1575"/>
    </row>
    <row r="29" spans="1:11" ht="12.75" customHeight="1" x14ac:dyDescent="0.2">
      <c r="A29" s="427" t="s">
        <v>829</v>
      </c>
      <c r="B29" s="429">
        <v>1332</v>
      </c>
      <c r="C29" s="1632">
        <v>2352938</v>
      </c>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v>1255771</v>
      </c>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3615603</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8286</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8286</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31574</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31574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348824</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348824</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v>100127</v>
      </c>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100127</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120822</v>
      </c>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12106</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v>7735</v>
      </c>
      <c r="I106" s="1617"/>
      <c r="J106" s="1574"/>
      <c r="K106" s="1574"/>
    </row>
    <row r="107" spans="1:12" ht="12.75" customHeight="1" x14ac:dyDescent="0.2">
      <c r="A107" s="427" t="s">
        <v>78</v>
      </c>
      <c r="B107" s="429">
        <v>1999</v>
      </c>
      <c r="C107" s="1632">
        <v>4510</v>
      </c>
      <c r="D107" s="1573"/>
      <c r="E107" s="1573"/>
      <c r="F107" s="1573"/>
      <c r="G107" s="1573"/>
      <c r="H107" s="1573"/>
      <c r="I107" s="1573"/>
      <c r="J107" s="1574"/>
      <c r="K107" s="1573"/>
    </row>
    <row r="108" spans="1:12" ht="12.75" customHeight="1" thickBot="1" x14ac:dyDescent="0.25">
      <c r="A108" s="1406" t="s">
        <v>484</v>
      </c>
      <c r="B108" s="1408"/>
      <c r="C108" s="1633">
        <f>SUM(C95:C107)</f>
        <v>137438</v>
      </c>
      <c r="D108" s="1633">
        <f t="shared" ref="D108:K108" si="3">SUM(D95:D107)</f>
        <v>0</v>
      </c>
      <c r="E108" s="1633">
        <f t="shared" si="3"/>
        <v>0</v>
      </c>
      <c r="F108" s="1633">
        <f t="shared" si="3"/>
        <v>0</v>
      </c>
      <c r="G108" s="1633">
        <f t="shared" si="3"/>
        <v>0</v>
      </c>
      <c r="H108" s="1633">
        <f t="shared" si="3"/>
        <v>7735</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4241852</v>
      </c>
      <c r="D109" s="1641">
        <f t="shared" si="4"/>
        <v>0</v>
      </c>
      <c r="E109" s="1641">
        <f t="shared" si="4"/>
        <v>0</v>
      </c>
      <c r="F109" s="1641">
        <f t="shared" si="4"/>
        <v>0</v>
      </c>
      <c r="G109" s="1641">
        <f t="shared" si="4"/>
        <v>0</v>
      </c>
      <c r="H109" s="1641">
        <f t="shared" si="4"/>
        <v>7735</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459051</v>
      </c>
      <c r="D111" s="1586"/>
      <c r="E111" s="1640"/>
      <c r="F111" s="1586"/>
      <c r="G111" s="1586"/>
      <c r="H111" s="1640"/>
      <c r="I111" s="1575"/>
      <c r="J111" s="1575"/>
      <c r="K111" s="1575"/>
    </row>
    <row r="112" spans="1:12" ht="12.75" customHeight="1" x14ac:dyDescent="0.2">
      <c r="A112" s="427" t="s">
        <v>819</v>
      </c>
      <c r="B112" s="429">
        <v>2200</v>
      </c>
      <c r="C112" s="1632">
        <v>142798</v>
      </c>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601849</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1263</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1263</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7215</v>
      </c>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7215</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347000</v>
      </c>
      <c r="D168" s="1655"/>
      <c r="E168" s="1655"/>
      <c r="F168" s="1655"/>
      <c r="G168" s="1656"/>
      <c r="H168" s="1657">
        <v>50000</v>
      </c>
      <c r="I168" s="1656"/>
      <c r="J168" s="1656"/>
      <c r="K168" s="1657"/>
    </row>
    <row r="169" spans="1:11" ht="12.75" customHeight="1" thickTop="1" thickBot="1" x14ac:dyDescent="0.25">
      <c r="A169" s="2249" t="s">
        <v>395</v>
      </c>
      <c r="B169" s="2250"/>
      <c r="C169" s="1658">
        <f t="shared" ref="C169:K169" si="6">SUM(C132,C141,C145,C146:C150,C155,C156:C167,C168)</f>
        <v>355478</v>
      </c>
      <c r="D169" s="1658">
        <f t="shared" si="6"/>
        <v>0</v>
      </c>
      <c r="E169" s="1658">
        <f t="shared" si="6"/>
        <v>0</v>
      </c>
      <c r="F169" s="1658">
        <f t="shared" si="6"/>
        <v>0</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355478</v>
      </c>
      <c r="D170" s="1641">
        <f t="shared" si="7"/>
        <v>0</v>
      </c>
      <c r="E170" s="1641">
        <f t="shared" si="7"/>
        <v>0</v>
      </c>
      <c r="F170" s="1641">
        <f t="shared" si="7"/>
        <v>0</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v>22814</v>
      </c>
      <c r="D180" s="1573"/>
      <c r="E180" s="1575"/>
      <c r="F180" s="1573"/>
      <c r="G180" s="1573"/>
      <c r="H180" s="1573"/>
      <c r="I180" s="1575"/>
      <c r="J180" s="1575"/>
      <c r="K180" s="1573"/>
    </row>
    <row r="181" spans="1:11" ht="13.5" thickBot="1" x14ac:dyDescent="0.25">
      <c r="A181" s="2257" t="s">
        <v>780</v>
      </c>
      <c r="B181" s="2258"/>
      <c r="C181" s="1633">
        <f>SUM(C177:C180)</f>
        <v>22814</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1777</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v>65823</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65823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88637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5287816</v>
      </c>
      <c r="D268" s="1641">
        <f t="shared" si="12"/>
        <v>0</v>
      </c>
      <c r="E268" s="1641">
        <f t="shared" si="12"/>
        <v>0</v>
      </c>
      <c r="F268" s="1641">
        <f t="shared" si="12"/>
        <v>0</v>
      </c>
      <c r="G268" s="1641">
        <f t="shared" si="12"/>
        <v>0</v>
      </c>
      <c r="H268" s="1641">
        <f t="shared" si="12"/>
        <v>57735</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&amp;F&amp;RThe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L21" sqref="L21"/>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38528</v>
      </c>
      <c r="D10" s="1573">
        <v>5653</v>
      </c>
      <c r="E10" s="1573"/>
      <c r="F10" s="1573">
        <v>435</v>
      </c>
      <c r="G10" s="1573"/>
      <c r="H10" s="1573"/>
      <c r="I10" s="1574"/>
      <c r="J10" s="1574"/>
      <c r="K10" s="1672">
        <f t="shared" si="0"/>
        <v>44616</v>
      </c>
      <c r="L10" s="1573">
        <v>51135</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v>974836</v>
      </c>
      <c r="D12" s="1573">
        <v>254861</v>
      </c>
      <c r="E12" s="1573">
        <v>372169</v>
      </c>
      <c r="F12" s="1573">
        <v>201328</v>
      </c>
      <c r="G12" s="1573">
        <v>22281</v>
      </c>
      <c r="H12" s="1573">
        <v>4899</v>
      </c>
      <c r="I12" s="1574">
        <v>17129</v>
      </c>
      <c r="J12" s="1574"/>
      <c r="K12" s="1672">
        <f t="shared" si="0"/>
        <v>1847503</v>
      </c>
      <c r="L12" s="1573">
        <v>2270299</v>
      </c>
    </row>
    <row r="13" spans="1:14" x14ac:dyDescent="0.2">
      <c r="A13" s="1274" t="s">
        <v>718</v>
      </c>
      <c r="B13" s="503">
        <v>1400</v>
      </c>
      <c r="C13" s="1573">
        <v>940436</v>
      </c>
      <c r="D13" s="1573">
        <v>239841</v>
      </c>
      <c r="E13" s="1573">
        <v>136845</v>
      </c>
      <c r="F13" s="1573">
        <v>112093</v>
      </c>
      <c r="G13" s="1573">
        <v>55261</v>
      </c>
      <c r="H13" s="1573">
        <v>729</v>
      </c>
      <c r="I13" s="1574">
        <v>25564</v>
      </c>
      <c r="J13" s="1574"/>
      <c r="K13" s="1672">
        <f t="shared" si="0"/>
        <v>1510769</v>
      </c>
      <c r="L13" s="1573">
        <v>1449833</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v>49154</v>
      </c>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1953800</v>
      </c>
      <c r="D33" s="1674">
        <f t="shared" ref="D33:L33" si="1">SUM(D5:D32)</f>
        <v>500355</v>
      </c>
      <c r="E33" s="1674">
        <f t="shared" si="1"/>
        <v>509014</v>
      </c>
      <c r="F33" s="1674">
        <f t="shared" si="1"/>
        <v>313856</v>
      </c>
      <c r="G33" s="1674">
        <f t="shared" si="1"/>
        <v>77542</v>
      </c>
      <c r="H33" s="1674">
        <f t="shared" si="1"/>
        <v>5628</v>
      </c>
      <c r="I33" s="1674">
        <f t="shared" si="1"/>
        <v>42693</v>
      </c>
      <c r="J33" s="1674">
        <f t="shared" si="1"/>
        <v>0</v>
      </c>
      <c r="K33" s="1674">
        <f t="shared" si="1"/>
        <v>3402888</v>
      </c>
      <c r="L33" s="1674">
        <f t="shared" si="1"/>
        <v>3820421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21052</v>
      </c>
      <c r="D36" s="1586">
        <v>9982</v>
      </c>
      <c r="E36" s="1586">
        <v>13693</v>
      </c>
      <c r="F36" s="1586">
        <v>8450</v>
      </c>
      <c r="G36" s="1586"/>
      <c r="H36" s="1586"/>
      <c r="I36" s="1574"/>
      <c r="J36" s="1574"/>
      <c r="K36" s="1672">
        <f t="shared" ref="K36:K41" si="2">SUM(C36:J36)</f>
        <v>53177</v>
      </c>
      <c r="L36" s="1573">
        <v>58973</v>
      </c>
    </row>
    <row r="37" spans="1:14" x14ac:dyDescent="0.2">
      <c r="A37" s="1274" t="s">
        <v>1081</v>
      </c>
      <c r="B37" s="503">
        <v>2120</v>
      </c>
      <c r="C37" s="1573">
        <v>31277</v>
      </c>
      <c r="D37" s="1573">
        <v>11303</v>
      </c>
      <c r="E37" s="1573">
        <v>11588</v>
      </c>
      <c r="F37" s="1573">
        <v>2341</v>
      </c>
      <c r="G37" s="1573"/>
      <c r="H37" s="1573">
        <v>165</v>
      </c>
      <c r="I37" s="1574"/>
      <c r="J37" s="1574"/>
      <c r="K37" s="1672">
        <f t="shared" si="2"/>
        <v>56674</v>
      </c>
      <c r="L37" s="1573">
        <v>59263</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52329</v>
      </c>
      <c r="D42" s="1674">
        <f t="shared" ref="D42:L42" si="3">SUM(D36:D41)</f>
        <v>21285</v>
      </c>
      <c r="E42" s="1674">
        <f t="shared" si="3"/>
        <v>25281</v>
      </c>
      <c r="F42" s="1674">
        <f t="shared" si="3"/>
        <v>10791</v>
      </c>
      <c r="G42" s="1674">
        <f t="shared" si="3"/>
        <v>0</v>
      </c>
      <c r="H42" s="1674">
        <f t="shared" si="3"/>
        <v>165</v>
      </c>
      <c r="I42" s="1674">
        <f t="shared" si="3"/>
        <v>0</v>
      </c>
      <c r="J42" s="1674">
        <f t="shared" si="3"/>
        <v>0</v>
      </c>
      <c r="K42" s="1674">
        <f t="shared" si="3"/>
        <v>109851</v>
      </c>
      <c r="L42" s="1674">
        <f t="shared" si="3"/>
        <v>118236</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510</v>
      </c>
      <c r="D44" s="1586">
        <v>14</v>
      </c>
      <c r="E44" s="1586">
        <v>3497</v>
      </c>
      <c r="F44" s="1586"/>
      <c r="G44" s="1586"/>
      <c r="H44" s="1586"/>
      <c r="I44" s="1574"/>
      <c r="J44" s="1574"/>
      <c r="K44" s="1678">
        <f>SUM(C44:J44)</f>
        <v>4021</v>
      </c>
      <c r="L44" s="1586">
        <v>9546</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v>7554</v>
      </c>
      <c r="F46" s="1573"/>
      <c r="G46" s="1573"/>
      <c r="H46" s="1573"/>
      <c r="I46" s="1574"/>
      <c r="J46" s="1574"/>
      <c r="K46" s="1678">
        <f>SUM(C46:J46)</f>
        <v>7554</v>
      </c>
      <c r="L46" s="1573">
        <v>7500</v>
      </c>
    </row>
    <row r="47" spans="1:14" ht="12.75" customHeight="1" thickBot="1" x14ac:dyDescent="0.25">
      <c r="A47" s="1380" t="s">
        <v>557</v>
      </c>
      <c r="B47" s="1381" t="s">
        <v>32</v>
      </c>
      <c r="C47" s="1674">
        <f>SUM(C44:C46)</f>
        <v>510</v>
      </c>
      <c r="D47" s="1674">
        <f t="shared" ref="D47:K47" si="4">SUM(D44:D46)</f>
        <v>14</v>
      </c>
      <c r="E47" s="1674">
        <f t="shared" si="4"/>
        <v>11051</v>
      </c>
      <c r="F47" s="1674">
        <f t="shared" si="4"/>
        <v>0</v>
      </c>
      <c r="G47" s="1674">
        <f t="shared" si="4"/>
        <v>0</v>
      </c>
      <c r="H47" s="1674">
        <f t="shared" si="4"/>
        <v>0</v>
      </c>
      <c r="I47" s="1674">
        <f t="shared" si="4"/>
        <v>0</v>
      </c>
      <c r="J47" s="1674">
        <f t="shared" si="4"/>
        <v>0</v>
      </c>
      <c r="K47" s="1674">
        <f t="shared" si="4"/>
        <v>11575</v>
      </c>
      <c r="L47" s="1674">
        <f>SUM(L44:L46)</f>
        <v>17046</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37509</v>
      </c>
      <c r="F49" s="1586">
        <v>2036</v>
      </c>
      <c r="G49" s="1586"/>
      <c r="H49" s="1586">
        <v>1984</v>
      </c>
      <c r="I49" s="1574"/>
      <c r="J49" s="1574"/>
      <c r="K49" s="1678">
        <f>SUM(C49:J49)</f>
        <v>41529</v>
      </c>
      <c r="L49" s="1586">
        <v>36340</v>
      </c>
    </row>
    <row r="50" spans="1:14" x14ac:dyDescent="0.2">
      <c r="A50" s="1274" t="s">
        <v>813</v>
      </c>
      <c r="B50" s="503">
        <v>2320</v>
      </c>
      <c r="C50" s="1573">
        <v>123876</v>
      </c>
      <c r="D50" s="1573">
        <v>28491</v>
      </c>
      <c r="E50" s="1573">
        <v>1778</v>
      </c>
      <c r="F50" s="1573">
        <v>44</v>
      </c>
      <c r="G50" s="1573"/>
      <c r="H50" s="1573">
        <v>1163</v>
      </c>
      <c r="I50" s="1574"/>
      <c r="J50" s="1574"/>
      <c r="K50" s="1678">
        <f>SUM(C50:J50)</f>
        <v>155352</v>
      </c>
      <c r="L50" s="1573">
        <v>156559</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123876</v>
      </c>
      <c r="D53" s="1674">
        <f t="shared" ref="D53:L53" si="5">SUM(D49:D52)</f>
        <v>28491</v>
      </c>
      <c r="E53" s="1674">
        <f t="shared" si="5"/>
        <v>39287</v>
      </c>
      <c r="F53" s="1674">
        <f t="shared" si="5"/>
        <v>2080</v>
      </c>
      <c r="G53" s="1674">
        <f t="shared" si="5"/>
        <v>0</v>
      </c>
      <c r="H53" s="1674">
        <f t="shared" si="5"/>
        <v>3147</v>
      </c>
      <c r="I53" s="1674">
        <f t="shared" si="5"/>
        <v>0</v>
      </c>
      <c r="J53" s="1674">
        <f t="shared" si="5"/>
        <v>0</v>
      </c>
      <c r="K53" s="1674">
        <f t="shared" si="5"/>
        <v>196881</v>
      </c>
      <c r="L53" s="1674">
        <f t="shared" si="5"/>
        <v>192899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75533</v>
      </c>
      <c r="D55" s="1586">
        <v>21548</v>
      </c>
      <c r="E55" s="1586">
        <v>3486</v>
      </c>
      <c r="F55" s="1586">
        <v>175</v>
      </c>
      <c r="G55" s="1586"/>
      <c r="H55" s="1586">
        <v>626</v>
      </c>
      <c r="I55" s="1574">
        <v>680</v>
      </c>
      <c r="J55" s="1574"/>
      <c r="K55" s="1678">
        <f>SUM(C55:J55)</f>
        <v>102048</v>
      </c>
      <c r="L55" s="1586">
        <v>102031</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75533</v>
      </c>
      <c r="D57" s="1679">
        <f t="shared" ref="D57:K57" si="6">SUM(D55:D56)</f>
        <v>21548</v>
      </c>
      <c r="E57" s="1679">
        <f t="shared" si="6"/>
        <v>3486</v>
      </c>
      <c r="F57" s="1679">
        <f t="shared" si="6"/>
        <v>175</v>
      </c>
      <c r="G57" s="1679">
        <f t="shared" si="6"/>
        <v>0</v>
      </c>
      <c r="H57" s="1679">
        <f t="shared" si="6"/>
        <v>626</v>
      </c>
      <c r="I57" s="1679">
        <f t="shared" si="6"/>
        <v>680</v>
      </c>
      <c r="J57" s="1679">
        <f t="shared" si="6"/>
        <v>0</v>
      </c>
      <c r="K57" s="1679">
        <f t="shared" si="6"/>
        <v>102048</v>
      </c>
      <c r="L57" s="1674">
        <f>SUM(L55:L56)</f>
        <v>102031</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108502</v>
      </c>
      <c r="D59" s="1586">
        <v>27623</v>
      </c>
      <c r="E59" s="1586">
        <v>16669</v>
      </c>
      <c r="F59" s="1586">
        <v>6375</v>
      </c>
      <c r="G59" s="1586"/>
      <c r="H59" s="1586">
        <v>5122</v>
      </c>
      <c r="I59" s="1574"/>
      <c r="J59" s="1574"/>
      <c r="K59" s="1678">
        <f t="shared" ref="K59:K64" si="7">SUM(C59:J59)</f>
        <v>164291</v>
      </c>
      <c r="L59" s="1586">
        <v>166882</v>
      </c>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v>289612</v>
      </c>
      <c r="D61" s="1573">
        <v>88480</v>
      </c>
      <c r="E61" s="1573">
        <v>529998</v>
      </c>
      <c r="F61" s="1573">
        <v>61716</v>
      </c>
      <c r="G61" s="1573">
        <v>82709</v>
      </c>
      <c r="H61" s="1573"/>
      <c r="I61" s="1574">
        <v>6149</v>
      </c>
      <c r="J61" s="1574"/>
      <c r="K61" s="1678">
        <f t="shared" si="7"/>
        <v>1058664</v>
      </c>
      <c r="L61" s="1573">
        <v>1206533</v>
      </c>
      <c r="M61" s="501"/>
      <c r="N61" s="501"/>
    </row>
    <row r="62" spans="1:14" s="321" customFormat="1" x14ac:dyDescent="0.2">
      <c r="A62" s="1274" t="s">
        <v>947</v>
      </c>
      <c r="B62" s="503">
        <v>2550</v>
      </c>
      <c r="C62" s="1573"/>
      <c r="D62" s="1573"/>
      <c r="E62" s="1573">
        <v>1872</v>
      </c>
      <c r="F62" s="1573"/>
      <c r="G62" s="1573"/>
      <c r="H62" s="1573"/>
      <c r="I62" s="1574"/>
      <c r="J62" s="1574"/>
      <c r="K62" s="1678">
        <f t="shared" si="7"/>
        <v>1872</v>
      </c>
      <c r="L62" s="1573">
        <v>10000</v>
      </c>
      <c r="M62" s="501"/>
      <c r="N62" s="501"/>
    </row>
    <row r="63" spans="1:14" s="501" customFormat="1" x14ac:dyDescent="0.2">
      <c r="A63" s="1274" t="s">
        <v>100</v>
      </c>
      <c r="B63" s="503">
        <v>2560</v>
      </c>
      <c r="C63" s="1573">
        <v>44050</v>
      </c>
      <c r="D63" s="1573">
        <v>6266</v>
      </c>
      <c r="E63" s="1573"/>
      <c r="F63" s="1573">
        <v>19784</v>
      </c>
      <c r="G63" s="1573"/>
      <c r="H63" s="1573"/>
      <c r="I63" s="1574"/>
      <c r="J63" s="1574"/>
      <c r="K63" s="1678">
        <f t="shared" si="7"/>
        <v>70100</v>
      </c>
      <c r="L63" s="1573">
        <v>71931</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442164</v>
      </c>
      <c r="D65" s="1674">
        <f t="shared" ref="D65:L65" si="8">SUM(D59:D64)</f>
        <v>122369</v>
      </c>
      <c r="E65" s="1674">
        <f t="shared" si="8"/>
        <v>548539</v>
      </c>
      <c r="F65" s="1674">
        <f t="shared" si="8"/>
        <v>87875</v>
      </c>
      <c r="G65" s="1674">
        <f t="shared" si="8"/>
        <v>82709</v>
      </c>
      <c r="H65" s="1674">
        <f t="shared" si="8"/>
        <v>5122</v>
      </c>
      <c r="I65" s="1674">
        <f t="shared" si="8"/>
        <v>6149</v>
      </c>
      <c r="J65" s="1674">
        <f t="shared" si="8"/>
        <v>0</v>
      </c>
      <c r="K65" s="1674">
        <f t="shared" si="8"/>
        <v>1294927</v>
      </c>
      <c r="L65" s="1674">
        <f t="shared" si="8"/>
        <v>1455346</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694412</v>
      </c>
      <c r="D74" s="1681">
        <f t="shared" ref="D74:K74" si="10">SUM(D42,D47,D53,D57,D65,D72,D73)</f>
        <v>193707</v>
      </c>
      <c r="E74" s="1681">
        <f t="shared" si="10"/>
        <v>627644</v>
      </c>
      <c r="F74" s="1681">
        <f t="shared" si="10"/>
        <v>100921</v>
      </c>
      <c r="G74" s="1681">
        <f t="shared" si="10"/>
        <v>82709</v>
      </c>
      <c r="H74" s="1681">
        <f t="shared" si="10"/>
        <v>9060</v>
      </c>
      <c r="I74" s="1681">
        <f t="shared" si="10"/>
        <v>6829</v>
      </c>
      <c r="J74" s="1681">
        <f t="shared" si="10"/>
        <v>0</v>
      </c>
      <c r="K74" s="1681">
        <f t="shared" si="10"/>
        <v>1715282</v>
      </c>
      <c r="L74" s="1681">
        <f>SUM(L42,L47,L53,L57,L65,L72,L73)</f>
        <v>1885558</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0</v>
      </c>
      <c r="I102" s="1582"/>
      <c r="J102" s="1582"/>
      <c r="K102" s="1681">
        <f>SUM(K84,K92,K100,K101)</f>
        <v>0</v>
      </c>
      <c r="L102" s="1681">
        <f>SUM(L84,L92,L100,L101)</f>
        <v>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2648212</v>
      </c>
      <c r="D114" s="1674">
        <f t="shared" ref="D114:K114" si="13">SUM(D33,D74,D75,D102,D112,D113)</f>
        <v>694062</v>
      </c>
      <c r="E114" s="1674">
        <f t="shared" si="13"/>
        <v>1136658</v>
      </c>
      <c r="F114" s="1674">
        <f t="shared" si="13"/>
        <v>414777</v>
      </c>
      <c r="G114" s="1674">
        <f t="shared" si="13"/>
        <v>160251</v>
      </c>
      <c r="H114" s="1674">
        <f>SUM(H33,H74,H75,H102,H112,H113)</f>
        <v>14688</v>
      </c>
      <c r="I114" s="1674">
        <f t="shared" si="13"/>
        <v>49522</v>
      </c>
      <c r="J114" s="1674">
        <f t="shared" si="13"/>
        <v>0</v>
      </c>
      <c r="K114" s="1674">
        <f t="shared" si="13"/>
        <v>5118170</v>
      </c>
      <c r="L114" s="1674">
        <f>SUM(L33,L74,L75,L102,L112,L113)</f>
        <v>5705979</v>
      </c>
    </row>
    <row r="115" spans="1:14" ht="13.5" thickTop="1" x14ac:dyDescent="0.2">
      <c r="A115" s="2286" t="s">
        <v>989</v>
      </c>
      <c r="B115" s="2287"/>
      <c r="C115" s="1675"/>
      <c r="D115" s="1675"/>
      <c r="E115" s="1675"/>
      <c r="F115" s="1675"/>
      <c r="G115" s="1675"/>
      <c r="H115" s="1675"/>
      <c r="I115" s="1675"/>
      <c r="J115" s="1675"/>
      <c r="K115" s="1689">
        <f>'Revenues 9-14'!C268-'Expenditures 15-22'!K114</f>
        <v>169646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86" t="s">
        <v>989</v>
      </c>
      <c r="B175" s="2287"/>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86" t="s">
        <v>989</v>
      </c>
      <c r="B211" s="2287"/>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86" t="s">
        <v>989</v>
      </c>
      <c r="B296" s="2287"/>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642988</v>
      </c>
      <c r="H301" s="1573">
        <v>234</v>
      </c>
      <c r="I301" s="1574"/>
      <c r="J301" s="1574"/>
      <c r="K301" s="1672">
        <f>SUM(C301:J301)</f>
        <v>643222</v>
      </c>
      <c r="L301" s="1574">
        <v>700000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642988</v>
      </c>
      <c r="H303" s="1681">
        <f t="shared" si="23"/>
        <v>234</v>
      </c>
      <c r="I303" s="1681">
        <f t="shared" si="23"/>
        <v>0</v>
      </c>
      <c r="J303" s="1681">
        <f t="shared" si="23"/>
        <v>0</v>
      </c>
      <c r="K303" s="1681">
        <f t="shared" si="23"/>
        <v>643222</v>
      </c>
      <c r="L303" s="1681">
        <f t="shared" si="23"/>
        <v>700000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642988</v>
      </c>
      <c r="H312" s="1674">
        <f>SUM(H303,H310)</f>
        <v>234</v>
      </c>
      <c r="I312" s="1674">
        <f>SUM(I303)</f>
        <v>0</v>
      </c>
      <c r="J312" s="1674">
        <f>SUM(J303)</f>
        <v>0</v>
      </c>
      <c r="K312" s="1674">
        <f>SUM(K303,K310,K311)</f>
        <v>643222</v>
      </c>
      <c r="L312" s="1674">
        <f>SUM(L303,L310,L311)</f>
        <v>700000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-585487</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6" t="s">
        <v>989</v>
      </c>
      <c r="B368" s="2287"/>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&amp;F&amp;RThe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www.w3.org/XML/1998/namespace"/>
    <ds:schemaRef ds:uri="4d435f69-8686-490b-bd6d-b153bf22ab50"/>
    <ds:schemaRef ds:uri="http://purl.org/dc/terms/"/>
    <ds:schemaRef ds:uri="d21dc803-237d-4c68-8692-8d731fd29118"/>
    <ds:schemaRef ds:uri="http://schemas.microsoft.com/office/2006/documentManagement/types"/>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2020-11-11T20:54:06Z</cp:lastPrinted>
  <dcterms:created xsi:type="dcterms:W3CDTF">2003-10-29T19:06:34Z</dcterms:created>
  <dcterms:modified xsi:type="dcterms:W3CDTF">2020-12-01T00:02:35Z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