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197C667C-A8CC-4083-A0DC-5D9BDF98E48A}" xr6:coauthVersionLast="36" xr6:coauthVersionMax="36" xr10:uidLastSave="{00000000-0000-0000-0000-000000000000}"/>
  <bookViews>
    <workbookView xWindow="-28920" yWindow="-1155"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24" i="24"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B7883" i="106"/>
  <c r="B7882" i="106"/>
  <c r="D7882" i="106" s="1"/>
  <c r="D7884" i="106"/>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B7198" i="106" l="1"/>
  <c r="D7198" i="106" s="1"/>
  <c r="E65" i="184"/>
  <c r="N65" i="184" s="1"/>
  <c r="B7126" i="106"/>
  <c r="D7126" i="106" s="1"/>
  <c r="E57" i="184"/>
  <c r="B7696" i="106"/>
  <c r="D7696" i="106" s="1"/>
  <c r="E66" i="184"/>
  <c r="N66" i="184" s="1"/>
  <c r="F37" i="34"/>
  <c r="B7829" i="106" s="1"/>
  <c r="D7829" i="106" s="1"/>
  <c r="B7189" i="106"/>
  <c r="D7189" i="106" s="1"/>
  <c r="E64" i="184"/>
  <c r="N64" i="184" s="1"/>
  <c r="C352" i="29"/>
  <c r="H76" i="4"/>
  <c r="B3298" i="106" s="1"/>
  <c r="D3298" i="106" s="1"/>
  <c r="D31" i="108"/>
  <c r="E16" i="184"/>
  <c r="H16" i="184" s="1"/>
  <c r="H12" i="184"/>
  <c r="E19" i="184"/>
  <c r="B7180" i="106"/>
  <c r="D7180" i="106" s="1"/>
  <c r="E63" i="184"/>
  <c r="N63" i="184" s="1"/>
  <c r="F77" i="4"/>
  <c r="B3255" i="106" s="1"/>
  <c r="D3255" i="106" s="1"/>
  <c r="G33" i="108"/>
  <c r="E17" i="184"/>
  <c r="H17" i="184" s="1"/>
  <c r="B7171" i="106"/>
  <c r="D7171" i="106" s="1"/>
  <c r="E62" i="184"/>
  <c r="N62" i="184" s="1"/>
  <c r="B7135" i="106"/>
  <c r="D7135" i="106" s="1"/>
  <c r="E58" i="184"/>
  <c r="N58" i="184" s="1"/>
  <c r="B7162" i="106"/>
  <c r="D7162" i="106" s="1"/>
  <c r="E61" i="184"/>
  <c r="N61" i="184" s="1"/>
  <c r="H365" i="29"/>
  <c r="B7242" i="106" s="1"/>
  <c r="D7242" i="106" s="1"/>
  <c r="B7153" i="106"/>
  <c r="D7153" i="106" s="1"/>
  <c r="E60" i="184"/>
  <c r="N60" i="184" s="1"/>
  <c r="C342" i="29"/>
  <c r="B7216" i="106" s="1"/>
  <c r="D7216" i="106" s="1"/>
  <c r="B7705" i="106"/>
  <c r="D7705" i="106" s="1"/>
  <c r="E67" i="184"/>
  <c r="N6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F41" i="108" s="1"/>
  <c r="G43" i="108" s="1"/>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L114" i="29" s="1"/>
  <c r="K33" i="29"/>
  <c r="B720" i="106"/>
  <c r="D720" i="106" s="1"/>
  <c r="B7618" i="106"/>
  <c r="L14" i="11"/>
  <c r="B7623" i="106" s="1"/>
  <c r="B7230" i="106"/>
  <c r="D7230" i="106" s="1"/>
  <c r="I352" i="29"/>
  <c r="I367" i="29"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L16" i="11" l="1"/>
  <c r="B2061" i="106" s="1"/>
  <c r="D2061" i="106" s="1"/>
  <c r="D44" i="36"/>
  <c r="B7215" i="106"/>
  <c r="D7215" i="106" s="1"/>
  <c r="B7220" i="106"/>
  <c r="D7220" i="106" s="1"/>
  <c r="F75" i="34"/>
  <c r="B7886" i="106" s="1"/>
  <c r="D7886" i="106" s="1"/>
  <c r="H19" i="184"/>
  <c r="L20" i="184" s="1"/>
  <c r="E367" i="29"/>
  <c r="B3635" i="106"/>
  <c r="N57" i="184"/>
  <c r="N68" i="184" s="1"/>
  <c r="E68" i="184"/>
  <c r="B7222" i="106"/>
  <c r="D7222" i="106" s="1"/>
  <c r="F76" i="34"/>
  <c r="B7887" i="106" s="1"/>
  <c r="D7887" i="106" s="1"/>
  <c r="B7235" i="106"/>
  <c r="D7235"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7" i="34" l="1"/>
  <c r="B7834" i="106" s="1"/>
  <c r="D7834"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<sst xmlns="http://schemas.openxmlformats.org/spreadsheetml/2006/main" count="5127" uniqueCount="2068">
  <si>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</si>
  <si>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</si>
  <si>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</si>
  <si>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</si>
  <si>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</si>
  <si>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</si>
  <si>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</si>
  <si>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</si>
  <si>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</si>
  <si>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</si>
  <si>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</si>
  <si>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</si>
  <si>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</si>
  <si>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</si>
  <si>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</si>
  <si>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</si>
  <si>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</si>
  <si>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</si>
  <si>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</si>
  <si>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</si>
  <si>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</si>
  <si>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</si>
  <si>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</si>
  <si>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</si>
  <si>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</si>
  <si>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</si>
  <si>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</si>
  <si>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</si>
  <si>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</si>
  <si>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</si>
  <si>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</si>
  <si>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</si>
  <si>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</si>
  <si>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</si>
  <si>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</si>
  <si>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</si>
  <si>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</si>
  <si>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</si>
  <si>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</si>
  <si>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</si>
  <si>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</si>
  <si>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</si>
  <si>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</si>
  <si>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</si>
  <si>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</si>
  <si>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</si>
  <si>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</si>
  <si>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</si>
  <si>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</si>
  <si>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</si>
  <si>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</si>
  <si>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</si>
  <si>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</si>
  <si>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</si>
  <si>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</si>
  <si>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</si>
  <si>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</si>
  <si>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</si>
  <si>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</si>
  <si>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</si>
  <si>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</si>
  <si>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</si>
  <si>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</si>
  <si>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</si>
  <si>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</si>
  <si>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</si>
  <si>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</si>
  <si>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</si>
  <si>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</si>
  <si>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</si>
  <si>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</si>
  <si>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</si>
  <si>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</si>
  <si>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</si>
  <si>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</si>
  <si>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</si>
  <si>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</si>
  <si>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</si>
  <si>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</si>
  <si>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</si>
  <si>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</si>
  <si>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</si>
  <si>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</si>
  <si>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</si>
  <si>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</si>
  <si>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</si>
  <si>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</si>
  <si>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</si>
  <si>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</si>
  <si>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</si>
  <si>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</si>
  <si>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</si>
  <si>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</si>
  <si>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</si>
  <si>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</si>
  <si>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</si>
  <si>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</si>
  <si>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</si>
  <si>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</si>
  <si>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</si>
  <si>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</si>
  <si>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</si>
  <si>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</si>
  <si>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</si>
  <si>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</si>
  <si>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</si>
  <si>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</si>
  <si>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</si>
  <si>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</si>
  <si>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</si>
  <si>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</si>
  <si>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</si>
  <si>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</si>
  <si>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</si>
  <si>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</si>
  <si>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</si>
  <si>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</si>
  <si>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</si>
  <si>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</si>
  <si>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</si>
  <si>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</si>
  <si>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</si>
  <si>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</si>
  <si>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</si>
  <si>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</si>
  <si>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</si>
  <si>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</si>
  <si>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</si>
  <si>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</si>
  <si>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</si>
  <si>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</si>
  <si>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</si>
  <si>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</si>
  <si>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</si>
  <si>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</si>
  <si>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</si>
  <si>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</si>
  <si>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</si>
  <si>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</si>
  <si>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</si>
  <si>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</si>
  <si>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</si>
  <si>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</si>
  <si>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</si>
  <si>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</si>
  <si>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</si>
  <si>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</si>
  <si>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</si>
  <si>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</si>
  <si>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</si>
  <si>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</si>
  <si>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</si>
  <si>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</si>
  <si>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</si>
  <si>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</si>
  <si>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</si>
  <si>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</si>
  <si>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</si>
  <si>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</si>
  <si>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</si>
  <si>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</si>
  <si>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</si>
  <si>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</si>
  <si>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</si>
  <si>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</si>
  <si>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</si>
  <si>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</si>
  <si>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</si>
  <si>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</si>
  <si>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</si>
  <si>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</si>
  <si>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</si>
  <si>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</si>
  <si>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</si>
  <si>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</si>
  <si>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</si>
  <si>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</si>
  <si>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</si>
  <si>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</si>
  <si>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</si>
  <si>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</si>
  <si>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</si>
  <si>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</si>
  <si>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</si>
  <si>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</si>
  <si>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</si>
  <si>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</si>
  <si>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</si>
  <si>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</si>
  <si>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</si>
  <si>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</si>
  <si>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</si>
  <si>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</si>
  <si>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</si>
  <si>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</si>
  <si>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</si>
  <si>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</si>
  <si>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</si>
  <si>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</si>
  <si>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</si>
  <si>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</si>
  <si>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</si>
  <si>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</si>
  <si>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</si>
  <si>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</si>
  <si>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</si>
  <si>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</si>
  <si>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</si>
  <si>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</si>
  <si>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</si>
  <si>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</si>
  <si>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</si>
  <si>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</si>
  <si>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</si>
  <si>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</si>
  <si>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</si>
  <si>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</si>
  <si>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</si>
  <si>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</si>
  <si>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</si>
  <si>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</si>
  <si>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</si>
  <si>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</si>
  <si>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</si>
  <si>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</si>
  <si>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</si>
  <si>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</si>
  <si>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</si>
  <si>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</si>
  <si>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</si>
  <si>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</si>
  <si>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</si>
  <si>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</si>
  <si>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</si>
  <si>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</si>
  <si>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</si>
  <si>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</si>
  <si>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</si>
  <si>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</si>
  <si>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</si>
  <si>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</si>
  <si>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</si>
  <si>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</si>
  <si>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</si>
  <si>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</si>
  <si>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</si>
  <si>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</si>
  <si>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</si>
  <si>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</si>
  <si>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</si>
  <si>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</si>
  <si>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</si>
  <si>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</si>
  <si>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</si>
  <si>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</si>
  <si>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</si>
  <si>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</si>
  <si>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</si>
  <si>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</si>
  <si>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</si>
  <si>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</si>
  <si>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</si>
  <si>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</si>
  <si>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</si>
  <si>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</si>
  <si>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</si>
  <si>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</si>
  <si>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</si>
  <si>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</si>
  <si>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</si>
  <si>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</si>
  <si>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</si>
  <si>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</si>
  <si>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</si>
  <si>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</si>
  <si>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</si>
  <si>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</si>
  <si>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</si>
  <si>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</si>
  <si>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</si>
  <si>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</si>
  <si>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</si>
  <si>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</si>
  <si>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</si>
  <si>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</si>
  <si>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</si>
  <si>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</si>
  <si>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</si>
  <si>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</si>
  <si>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</si>
  <si>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</si>
  <si>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</si>
  <si>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</si>
  <si>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</si>
  <si>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</si>
  <si>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</si>
  <si>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</si>
  <si>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</si>
  <si>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</si>
  <si>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</si>
  <si>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</si>
  <si>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</si>
  <si>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</si>
  <si>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</si>
  <si>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</si>
  <si>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</si>
  <si>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</si>
  <si>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</si>
  <si>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</si>
  <si>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</si>
  <si>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</si>
  <si>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</si>
  <si>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</si>
  <si>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</si>
  <si>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</si>
  <si>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</si>
  <si>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</si>
  <si>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</si>
  <si>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</si>
  <si>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</si>
  <si>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</si>
  <si>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</si>
  <si>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</si>
  <si>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</si>
  <si>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</si>
  <si>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</si>
  <si>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</si>
  <si>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</si>
  <si>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</si>
  <si>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</si>
  <si>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</si>
  <si>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</si>
  <si>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</si>
  <si>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</si>
  <si>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</si>
  <si>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</si>
  <si>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</si>
  <si>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</si>
  <si>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</si>
  <si>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</si>
  <si>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</si>
  <si>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</si>
  <si>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</si>
  <si>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</si>
  <si>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</si>
  <si>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</si>
  <si>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</si>
  <si>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</si>
  <si>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</si>
  <si>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</si>
  <si>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</si>
  <si>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</si>
  <si>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</si>
  <si>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</si>
  <si>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</si>
  <si>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</si>
  <si>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</si>
  <si>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</si>
  <si>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</si>
  <si>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</si>
  <si>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</si>
  <si>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</si>
  <si>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</si>
  <si>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</si>
  <si>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</si>
  <si>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</si>
  <si>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</si>
  <si>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</si>
  <si>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</si>
  <si>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</si>
  <si>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</si>
  <si>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</si>
  <si>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</si>
  <si>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</si>
  <si>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</si>
  <si>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</si>
  <si>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</si>
  <si>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</si>
  <si>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</si>
  <si>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</si>
  <si>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</si>
  <si>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</si>
  <si>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</si>
  <si>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</si>
  <si>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</si>
  <si>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</si>
  <si>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</si>
  <si>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</si>
  <si>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</si>
  <si>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</si>
  <si>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</si>
  <si>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</si>
  <si>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</si>
  <si>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</si>
  <si>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</si>
  <si>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</si>
  <si>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</si>
  <si>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</si>
  <si>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</si>
  <si>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</si>
  <si>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</si>
  <si>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</si>
  <si>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</si>
  <si>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</si>
  <si>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</si>
  <si>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</si>
  <si>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</si>
  <si>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</si>
  <si>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</si>
  <si>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</si>
  <si>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</si>
  <si>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</si>
  <si>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</si>
  <si>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</si>
  <si>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</si>
  <si>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</si>
  <si>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</si>
  <si>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</si>
  <si>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</si>
  <si>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</si>
  <si>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</si>
  <si>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</si>
  <si>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</si>
  <si>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</si>
  <si>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</si>
  <si>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</si>
  <si>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</si>
  <si>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</si>
  <si>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</si>
  <si>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</si>
  <si>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</si>
  <si>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</si>
  <si>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</si>
  <si>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</si>
  <si>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</si>
  <si>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</si>
  <si>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</si>
  <si>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</si>
  <si>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</si>
  <si>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</si>
  <si>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</si>
  <si>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</si>
  <si>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</si>
  <si>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</si>
  <si>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</si>
  <si>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</si>
  <si>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</si>
  <si>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</si>
  <si>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</si>
  <si>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</si>
  <si>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</si>
  <si>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</si>
  <si>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</si>
  <si>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</si>
  <si>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</si>
  <si>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</si>
  <si>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</si>
  <si>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</si>
  <si>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</si>
  <si>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</si>
  <si>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</si>
  <si>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</si>
  <si>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</si>
  <si>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</si>
  <si>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</si>
  <si>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</si>
  <si>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</si>
  <si>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</si>
  <si>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</si>
  <si>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</si>
  <si>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</si>
  <si>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</si>
  <si>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</si>
  <si>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</si>
  <si>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</si>
  <si>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</si>
  <si>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</si>
  <si>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</si>
  <si>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</si>
  <si>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</si>
  <si>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</si>
  <si>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</si>
  <si>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</si>
  <si>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</si>
  <si>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</si>
  <si>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</si>
  <si>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</si>
  <si>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</si>
  <si>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</si>
  <si>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</si>
  <si>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</si>
  <si>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</si>
  <si>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</si>
  <si>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</si>
  <si>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</si>
  <si>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</si>
  <si>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</si>
  <si>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</si>
  <si>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</si>
  <si>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</si>
  <si>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</si>
  <si>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</si>
  <si>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</si>
  <si>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</si>
  <si>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</si>
  <si>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</si>
  <si>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</si>
  <si>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</si>
  <si>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</si>
  <si>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</si>
  <si>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</si>
  <si>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</si>
  <si>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</si>
  <si>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</si>
  <si>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</si>
  <si>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</si>
  <si>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</si>
  <si>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</si>
  <si>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</si>
  <si>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</si>
  <si>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</si>
  <si>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</si>
  <si>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</si>
  <si>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</si>
  <si>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</si>
  <si>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</si>
  <si>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</si>
  <si>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</si>
  <si>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</si>
  <si>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</si>
  <si>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</si>
  <si>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</si>
  <si>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</si>
  <si>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</si>
  <si>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</si>
  <si>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</si>
  <si>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</si>
  <si>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</si>
  <si>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</si>
  <si>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</si>
  <si>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</si>
  <si>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</si>
  <si>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</si>
  <si>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</si>
  <si>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</si>
  <si>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</si>
  <si>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</si>
  <si>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</si>
  <si>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</si>
  <si>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</si>
  <si>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</si>
  <si>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</si>
  <si>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</si>
  <si>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</si>
  <si>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</si>
  <si>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</si>
  <si>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</si>
  <si>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</si>
  <si>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</si>
  <si>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</si>
  <si>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</si>
  <si>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</si>
  <si>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</si>
  <si>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</si>
  <si>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</si>
  <si>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</si>
  <si>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</si>
  <si>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</si>
  <si>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</si>
  <si>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</si>
  <si>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</si>
  <si>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</si>
  <si>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</si>
  <si>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</si>
  <si>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</si>
  <si>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</si>
  <si>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</si>
  <si>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</si>
  <si>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</si>
  <si>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</si>
  <si>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</si>
  <si>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</si>
  <si>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</si>
  <si>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</si>
  <si>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</si>
  <si>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</si>
  <si>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</si>
  <si>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</si>
  <si>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</si>
  <si>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</si>
  <si>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</si>
  <si>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</si>
  <si>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</si>
  <si>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</si>
  <si>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</si>
  <si>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</si>
  <si>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</si>
  <si>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</si>
  <si>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</si>
  <si>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</si>
  <si>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</si>
  <si>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</si>
  <si>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</si>
  <si>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</si>
  <si>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</si>
  <si>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</si>
  <si>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</si>
  <si>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</si>
  <si>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</si>
  <si>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</si>
  <si>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</si>
  <si>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</si>
  <si>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</si>
  <si>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</si>
  <si>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</si>
  <si>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</si>
  <si>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</si>
  <si>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</si>
  <si>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</si>
  <si>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</si>
  <si>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</si>
  <si>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</si>
  <si>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</si>
  <si>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</si>
  <si>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</si>
  <si>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</si>
  <si>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</si>
  <si>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</si>
  <si>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</si>
  <si>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</si>
  <si>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</si>
  <si>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</si>
  <si>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</si>
  <si>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</si>
  <si>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</si>
  <si>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</si>
  <si>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</si>
  <si>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</si>
  <si>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</si>
  <si>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</si>
  <si>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</si>
  <si>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</si>
  <si>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</si>
  <si>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</si>
  <si>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</si>
  <si>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</si>
  <si>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</si>
  <si>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</si>
  <si>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</si>
  <si>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</si>
  <si>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</si>
  <si>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</si>
  <si>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</si>
  <si>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</si>
  <si>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</si>
  <si>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</si>
  <si>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</si>
  <si>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</si>
  <si>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</si>
  <si>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</si>
  <si>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</si>
  <si>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</si>
  <si>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</si>
  <si>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</si>
  <si>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</si>
  <si>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</si>
  <si>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</si>
  <si>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</si>
  <si>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</si>
  <si>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</si>
  <si>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</si>
  <si>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</si>
  <si>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</si>
  <si>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</si>
  <si>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</si>
  <si>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</si>
  <si>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</si>
  <si>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</si>
  <si>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</si>
  <si>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</si>
  <si>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</si>
  <si>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</si>
  <si>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</si>
  <si>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</si>
  <si>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</si>
  <si>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</si>
  <si>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</si>
  <si>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</si>
  <si>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</si>
  <si>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</si>
  <si>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</si>
  <si>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</si>
  <si>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</si>
  <si>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</si>
  <si>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</si>
  <si>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</si>
  <si>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</si>
  <si>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</si>
  <si>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</si>
  <si>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</si>
  <si>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</si>
  <si>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</si>
  <si>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</si>
  <si>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</si>
  <si>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</si>
  <si>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</si>
  <si>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</si>
  <si>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</si>
  <si>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</si>
  <si>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</si>
  <si>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</si>
  <si>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</si>
  <si>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</si>
  <si>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</si>
  <si>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</si>
  <si>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</si>
  <si>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</si>
  <si>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</si>
  <si>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</si>
  <si>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</si>
  <si>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</si>
  <si>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</si>
  <si>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</si>
  <si>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</si>
  <si>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</si>
  <si>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</si>
  <si>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</si>
  <si>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</si>
  <si>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</si>
  <si>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</si>
  <si>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</si>
  <si>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</si>
  <si>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</si>
  <si>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</si>
  <si>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</si>
  <si>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</si>
  <si>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</si>
  <si>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</si>
  <si>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</si>
  <si>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</si>
  <si>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</si>
  <si>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</si>
  <si>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</si>
  <si>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</si>
  <si>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</si>
  <si>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</si>
  <si>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</si>
  <si>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</si>
  <si>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</si>
  <si>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</si>
  <si>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</si>
  <si>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</si>
  <si>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</si>
  <si>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</si>
  <si>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</si>
  <si>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</si>
  <si>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</si>
  <si>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</si>
  <si>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</si>
  <si>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</si>
  <si>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</si>
  <si>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</si>
  <si>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</si>
  <si>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</si>
  <si>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</si>
  <si>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</si>
  <si>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</si>
  <si>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</si>
  <si>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</si>
  <si>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</si>
  <si>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</si>
  <si>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</si>
  <si>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</si>
  <si>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</si>
  <si>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</si>
  <si>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</si>
  <si>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</si>
  <si>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</si>
  <si>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</si>
  <si>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</si>
  <si>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</si>
  <si>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</si>
  <si>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</si>
  <si>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</si>
  <si>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</si>
  <si>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</si>
  <si>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</si>
  <si>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</si>
  <si>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</si>
  <si>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</si>
  <si>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</si>
  <si>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</si>
  <si>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</si>
  <si>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</si>
  <si>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</si>
  <si>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</si>
  <si>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</si>
  <si>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</si>
  <si>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</si>
  <si>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</si>
  <si>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</si>
  <si>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</si>
  <si>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</si>
  <si>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</si>
  <si>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</si>
  <si>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</si>
  <si>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</si>
  <si>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</si>
  <si>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</si>
  <si>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</si>
  <si>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</si>
  <si>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</si>
  <si>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</si>
  <si>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</si>
  <si>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</si>
  <si>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</si>
  <si>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</si>
  <si>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</si>
  <si>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</si>
  <si>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</si>
  <si>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</si>
  <si>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</si>
  <si>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</si>
  <si>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</si>
  <si>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</si>
  <si>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</si>
  <si>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</si>
  <si>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</si>
  <si>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</si>
  <si>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</si>
  <si>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</si>
  <si>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</si>
  <si>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</si>
  <si>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</si>
  <si>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</si>
  <si>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</si>
  <si>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</si>
  <si>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</si>
  <si>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</si>
  <si>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</si>
  <si>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</si>
  <si>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</si>
  <si>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</si>
  <si>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</si>
  <si>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</si>
  <si>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</si>
  <si>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</si>
  <si>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</si>
  <si>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</si>
  <si>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</si>
  <si>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</si>
  <si>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</si>
  <si>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</si>
  <si>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</si>
  <si>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</si>
  <si>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</si>
  <si>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</si>
  <si>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</si>
  <si>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</si>
  <si>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</si>
  <si>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</si>
  <si>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</si>
  <si>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</si>
  <si>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</si>
  <si>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</si>
  <si>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</si>
  <si>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</si>
  <si>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</si>
  <si>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</si>
  <si>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</si>
  <si>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</si>
  <si>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</si>
  <si>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</si>
  <si>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</si>
  <si>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</si>
  <si>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</si>
  <si>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</si>
  <si>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</si>
  <si>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</si>
  <si>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</si>
  <si>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</si>
  <si>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</si>
  <si>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</si>
  <si>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</si>
  <si>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</si>
  <si>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</si>
  <si>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</si>
  <si>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</si>
  <si>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</si>
  <si>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</si>
  <si>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</si>
  <si>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</si>
  <si>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</si>
  <si>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</si>
  <si>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</si>
  <si>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</si>
  <si>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</si>
  <si>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</si>
  <si>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</si>
  <si>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</si>
  <si>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</si>
  <si>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</si>
  <si>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</si>
  <si>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</si>
  <si>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</si>
  <si>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</si>
  <si>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</si>
  <si>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</si>
  <si>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</si>
  <si>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</si>
  <si>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</si>
  <si>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</si>
  <si>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</si>
  <si>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</si>
  <si>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</si>
  <si>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</si>
  <si>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</si>
  <si>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</si>
  <si>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</si>
  <si>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</si>
  <si>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</si>
  <si>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</si>
  <si>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</si>
  <si>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</si>
  <si>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</si>
  <si>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</si>
  <si>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</si>
  <si>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</si>
  <si>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</si>
  <si>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</si>
  <si>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</si>
  <si>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</si>
  <si>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</si>
  <si>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</si>
  <si>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</si>
  <si>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</si>
  <si>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</si>
  <si>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</si>
  <si>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</si>
  <si>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</si>
  <si>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</si>
  <si>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</si>
  <si>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</si>
  <si>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</si>
  <si>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</si>
  <si>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</si>
  <si>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</si>
  <si>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</si>
  <si>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</si>
  <si>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</si>
  <si>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</si>
  <si>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</si>
  <si>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</si>
  <si>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</si>
  <si>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</si>
  <si>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</si>
  <si>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</si>
  <si>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</si>
  <si>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</si>
  <si>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</si>
  <si>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</si>
  <si>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</si>
  <si>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</si>
  <si>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</si>
  <si>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</si>
  <si>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</si>
  <si>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</si>
  <si>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</si>
  <si>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</si>
  <si>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</si>
  <si>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</si>
  <si>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</si>
  <si>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</si>
  <si>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</si>
  <si>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</si>
  <si>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</si>
  <si>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</si>
  <si>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</si>
  <si>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</si>
  <si>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</si>
  <si>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</si>
  <si>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</si>
  <si>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</si>
  <si>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</si>
  <si>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</si>
  <si>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</si>
  <si>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</si>
  <si>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</si>
  <si>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</si>
  <si>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</si>
  <si>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</si>
  <si>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</si>
  <si>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</si>
  <si>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</si>
  <si>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</si>
  <si>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</si>
  <si>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</si>
  <si>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</si>
  <si>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</si>
  <si>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</si>
  <si>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</si>
  <si>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</si>
  <si>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</si>
  <si>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</si>
  <si>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</si>
  <si>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</si>
  <si>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</si>
  <si>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</si>
  <si>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</si>
  <si>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</si>
  <si>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</si>
  <si>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</si>
  <si>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</si>
  <si>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</si>
  <si>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</si>
  <si>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</si>
  <si>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</si>
  <si>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</si>
  <si>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</si>
  <si>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</si>
  <si>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</si>
  <si>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</si>
  <si>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</si>
  <si>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</si>
  <si>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</si>
  <si>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</si>
  <si>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</si>
  <si>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</si>
  <si>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</si>
  <si>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</si>
  <si>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</si>
  <si>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</si>
  <si>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</si>
  <si>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</si>
  <si>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</si>
  <si>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</si>
  <si>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</si>
  <si>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</si>
  <si>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</si>
  <si>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</si>
  <si>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</si>
  <si>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</si>
  <si>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</si>
  <si>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</si>
  <si>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</si>
  <si>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</si>
  <si>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</si>
  <si>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</si>
  <si>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</si>
  <si>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</si>
  <si>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</si>
  <si>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</si>
  <si>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</si>
  <si>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</si>
  <si>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</si>
  <si>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</si>
  <si>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</si>
  <si>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</si>
  <si>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</si>
  <si>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</si>
  <si>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</si>
  <si>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</si>
  <si>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</si>
  <si>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</si>
  <si>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</si>
  <si>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</si>
  <si>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</si>
  <si>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</si>
  <si>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</si>
  <si>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</si>
  <si>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</si>
  <si>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</si>
  <si>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</si>
  <si>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</si>
  <si>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</si>
  <si>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</si>
  <si>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</si>
  <si>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</si>
  <si>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</si>
  <si>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</si>
  <si>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</si>
  <si>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</si>
  <si>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</si>
  <si>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</si>
  <si>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</si>
  <si>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</si>
  <si>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</si>
  <si>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</si>
  <si>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</si>
  <si>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</si>
  <si>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</si>
  <si>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</si>
  <si>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</si>
  <si>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</si>
  <si>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</si>
  <si>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</si>
  <si>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</si>
  <si>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</si>
  <si>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</si>
  <si>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</si>
  <si>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</si>
  <si>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</si>
  <si>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</si>
  <si>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</si>
  <si>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</si>
  <si>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</si>
  <si>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</si>
  <si>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</si>
  <si>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</si>
  <si>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</si>
  <si>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</si>
  <si>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</si>
  <si>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</si>
  <si>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</si>
  <si>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</si>
  <si>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</si>
  <si>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</si>
  <si>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</si>
  <si>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</si>
  <si>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</si>
  <si>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</si>
  <si>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</si>
  <si>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</si>
  <si>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</si>
  <si>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</si>
  <si>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</si>
  <si>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</si>
  <si>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</si>
  <si>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</si>
  <si>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</si>
  <si>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</si>
  <si>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</si>
  <si>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</si>
  <si>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</si>
  <si>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</si>
  <si>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</si>
  <si>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</si>
  <si>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</si>
  <si>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</si>
  <si>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</si>
  <si>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</si>
  <si>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</si>
  <si>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</si>
  <si>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</si>
  <si>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</si>
  <si>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</si>
  <si>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</si>
  <si>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</si>
  <si>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</si>
  <si>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</si>
  <si>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</si>
  <si>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</si>
  <si>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</si>
  <si>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</si>
  <si>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</si>
  <si>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</si>
  <si>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</si>
  <si>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</si>
  <si>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</si>
  <si>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</si>
  <si>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</si>
  <si>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</si>
  <si>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</si>
  <si>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</si>
  <si>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</si>
  <si>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</si>
  <si>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</si>
  <si>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</si>
  <si>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</si>
  <si>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</si>
  <si>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</si>
  <si>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</si>
  <si>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</si>
  <si>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</si>
  <si>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</si>
  <si>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</si>
  <si>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</si>
  <si>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</si>
  <si>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</si>
  <si>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</si>
  <si>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</si>
  <si>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</si>
  <si>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</si>
  <si>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</si>
  <si>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</si>
  <si>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</si>
  <si>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</si>
  <si>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</si>
  <si>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</si>
  <si>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</si>
  <si>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</si>
  <si>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</si>
  <si>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</si>
  <si>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</si>
  <si>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</si>
  <si>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</si>
  <si>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</si>
  <si>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</si>
  <si>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</si>
  <si>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</si>
  <si>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</si>
  <si>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</si>
  <si>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</si>
  <si>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</si>
  <si>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</si>
  <si>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</si>
  <si>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</si>
  <si>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</si>
  <si>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</si>
  <si>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</si>
  <si>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</si>
  <si>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</si>
  <si>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</si>
  <si>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</si>
  <si>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</si>
  <si>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</si>
  <si>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</si>
  <si>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</si>
  <si>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</si>
  <si>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</si>
  <si>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</si>
  <si>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</si>
  <si>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</si>
  <si>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</si>
  <si>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</si>
  <si>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</si>
  <si>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</si>
  <si>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</si>
  <si>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</si>
  <si>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</si>
  <si>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</si>
  <si>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</si>
  <si>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</si>
  <si>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</si>
  <si>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</si>
  <si>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</si>
  <si>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</si>
  <si>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</si>
  <si>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</si>
  <si>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</si>
  <si>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</si>
  <si>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</si>
  <si>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</si>
  <si>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</si>
  <si>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</si>
  <si>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</si>
  <si>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</si>
  <si>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</si>
  <si>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</si>
  <si>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</si>
  <si>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</si>
  <si>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</si>
  <si>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</si>
  <si>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</si>
  <si>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</si>
  <si>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</si>
  <si>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</si>
  <si>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</si>
  <si>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</si>
  <si>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</si>
  <si>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</si>
  <si>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</si>
  <si>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</si>
  <si>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</si>
  <si>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</si>
  <si>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</si>
  <si>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</si>
  <si>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</si>
  <si>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</si>
  <si>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</si>
  <si>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</si>
  <si>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</si>
  <si>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</si>
  <si>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</si>
  <si>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</si>
  <si>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</si>
  <si>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</si>
  <si>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</si>
  <si>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</si>
  <si>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</si>
  <si>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</si>
  <si>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</si>
  <si>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</si>
  <si>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</si>
  <si>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</si>
  <si>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</si>
  <si>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</si>
  <si>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</si>
  <si>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</si>
  <si>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</si>
  <si>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</si>
  <si>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</si>
  <si>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</si>
  <si>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</si>
  <si>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</si>
  <si>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</si>
  <si>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</si>
  <si>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</si>
  <si>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</si>
  <si>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</si>
  <si>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</si>
  <si>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</si>
  <si>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</si>
  <si>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</si>
  <si>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</si>
  <si>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</si>
  <si>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</si>
  <si>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</si>
  <si>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</si>
  <si>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</si>
  <si>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</si>
  <si>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</si>
  <si>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</si>
  <si>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</si>
  <si>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</si>
  <si>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</si>
  <si>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</si>
  <si>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</si>
  <si>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</si>
  <si>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</si>
  <si>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</si>
  <si>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</si>
  <si>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</si>
  <si>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</si>
  <si>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</si>
  <si>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</si>
  <si>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</si>
  <si>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</si>
  <si>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</si>
  <si>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</si>
  <si>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</si>
  <si>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</si>
  <si>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</si>
  <si>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</si>
  <si>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</si>
  <si>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</si>
  <si>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</si>
  <si>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</si>
  <si>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</si>
  <si>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</si>
  <si>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</si>
  <si>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</si>
  <si>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</si>
  <si>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</si>
  <si>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</si>
  <si>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</si>
  <si>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</si>
  <si>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</si>
  <si>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</si>
  <si>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</si>
  <si>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</si>
  <si>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</si>
  <si>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</si>
  <si>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</si>
  <si>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</si>
  <si>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</si>
  <si>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</si>
  <si>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</si>
  <si>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</si>
  <si>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</si>
  <si>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</si>
  <si>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</si>
  <si>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</si>
  <si>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</si>
  <si>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</si>
  <si>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</si>
  <si>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</si>
  <si>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</si>
  <si>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</si>
  <si>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</si>
  <si>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</si>
  <si>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</si>
  <si>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</si>
  <si>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</si>
  <si>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</si>
  <si>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</si>
  <si>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</si>
  <si>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</si>
  <si>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</si>
  <si>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</si>
  <si>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</si>
  <si>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</si>
  <si>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</si>
  <si>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</si>
  <si>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</si>
  <si>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</si>
  <si>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</si>
  <si>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</si>
  <si>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</si>
  <si>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</si>
  <si>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</si>
  <si>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</si>
  <si>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</si>
  <si>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</si>
  <si>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</si>
  <si>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</si>
  <si>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</si>
  <si>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</si>
  <si>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</si>
  <si>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</si>
  <si>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</si>
  <si>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</si>
  <si>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</si>
  <si>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</si>
  <si>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</si>
  <si>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</si>
  <si>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</si>
  <si>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</si>
  <si>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</si>
  <si>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</si>
  <si>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</si>
  <si>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</si>
  <si>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</si>
  <si>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</si>
  <si>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</si>
  <si>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</si>
  <si>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</si>
  <si>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</si>
  <si>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</si>
  <si>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</si>
  <si>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</si>
  <si>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</si>
  <si>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</si>
  <si>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</si>
  <si>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</si>
  <si>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</si>
  <si>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</si>
  <si>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</si>
  <si>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</si>
  <si>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</si>
  <si>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</si>
  <si>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</si>
  <si>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</si>
  <si>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</si>
  <si>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</si>
  <si>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</si>
  <si>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</si>
  <si>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</si>
  <si>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</si>
  <si>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</si>
  <si>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</si>
  <si>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</si>
  <si>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</si>
  <si>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</si>
  <si>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</si>
  <si>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</si>
  <si>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</si>
  <si>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</si>
  <si>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</si>
  <si>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</si>
  <si>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</si>
  <si>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</si>
  <si>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</si>
  <si>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</si>
  <si>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</si>
  <si>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</si>
  <si>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</si>
  <si>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</si>
  <si>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</si>
  <si>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</si>
  <si>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</si>
  <si>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</si>
  <si>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</si>
  <si>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</si>
  <si>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</si>
  <si>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</si>
  <si>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</si>
  <si>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</si>
  <si>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</si>
  <si>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</si>
  <si>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</si>
  <si>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</si>
  <si>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</si>
  <si>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</si>
  <si>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</si>
  <si>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</si>
  <si>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</si>
  <si>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</si>
  <si>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</si>
  <si>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</si>
  <si>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</si>
  <si>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</si>
  <si>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</si>
  <si>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</si>
  <si>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</si>
  <si>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</si>
  <si>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</si>
  <si>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</si>
  <si>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</si>
  <si>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</si>
  <si>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</si>
  <si>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</si>
  <si>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</si>
  <si>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</si>
  <si>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</si>
  <si>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</si>
  <si>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</si>
  <si>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</si>
  <si>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</si>
  <si>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</si>
  <si>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</si>
  <si>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</si>
  <si>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</si>
  <si>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</si>
  <si>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</si>
  <si>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</si>
  <si>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</si>
  <si>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</si>
  <si>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</si>
  <si>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</si>
  <si>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</si>
  <si>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</si>
  <si>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</si>
  <si>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</si>
  <si>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</si>
  <si>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</si>
  <si>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</si>
  <si>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</si>
  <si>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</si>
  <si>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</si>
  <si>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</si>
  <si>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</si>
  <si>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</si>
  <si>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</si>
  <si>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</si>
  <si>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</si>
  <si>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</si>
  <si>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</si>
  <si>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</si>
  <si>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</si>
  <si>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</si>
  <si>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</si>
  <si>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</si>
  <si>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</si>
  <si>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</si>
  <si>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</si>
  <si>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</si>
  <si>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</si>
  <si>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</si>
  <si>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</si>
  <si>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</si>
  <si>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</si>
  <si>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</si>
  <si>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</si>
  <si>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</si>
  <si>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</si>
  <si>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</si>
  <si>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</si>
  <si>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</si>
  <si>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</si>
  <si>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</si>
  <si>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</si>
  <si>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</si>
  <si>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</si>
  <si>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</si>
  <si>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</si>
  <si>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</si>
  <si>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</si>
  <si>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</si>
  <si>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</si>
  <si>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</si>
  <si>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</si>
  <si>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</si>
  <si>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</si>
  <si>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</si>
  <si>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</si>
  <si>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</si>
  <si>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</si>
  <si>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</si>
  <si>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</si>
  <si>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</si>
  <si>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</si>
  <si>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</si>
  <si>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</si>
  <si>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</si>
  <si>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</si>
  <si>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</si>
  <si>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</si>
  <si>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</si>
  <si>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</si>
  <si>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</si>
  <si>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</si>
  <si>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</si>
  <si>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</si>
  <si>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</si>
  <si>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</si>
  <si>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</si>
  <si>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</si>
  <si>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</si>
  <si>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</si>
  <si>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</si>
  <si>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</si>
  <si>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</si>
  <si>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</si>
  <si>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</si>
  <si>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</si>
  <si>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</si>
  <si>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</si>
  <si>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</si>
  <si>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</si>
  <si>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</si>
  <si>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</si>
  <si>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</si>
  <si>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</si>
  <si>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</si>
  <si>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</si>
  <si>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</si>
  <si>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</si>
  <si>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</si>
  <si>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</si>
  <si>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</si>
  <si>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</si>
  <si>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</si>
  <si>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</si>
  <si>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</si>
  <si>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</si>
  <si>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</si>
  <si>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</si>
  <si>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</si>
  <si>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</si>
  <si>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</si>
  <si>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</si>
  <si>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</si>
  <si>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</si>
  <si>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</si>
  <si>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</si>
  <si>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</si>
  <si>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</si>
  <si>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</si>
  <si>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</si>
  <si>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</si>
  <si>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</si>
  <si>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</si>
  <si>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</si>
  <si>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</si>
  <si>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</si>
  <si>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</si>
  <si>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</si>
  <si>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</si>
  <si>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</si>
  <si>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</si>
  <si>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</si>
  <si>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</si>
  <si>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</si>
  <si>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</si>
  <si>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</si>
  <si>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</si>
  <si>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</si>
  <si>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</si>
  <si>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</si>
  <si>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</si>
  <si>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</si>
  <si>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</si>
  <si>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</si>
  <si>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</si>
  <si>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</si>
  <si>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</si>
  <si>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</si>
  <si>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</si>
  <si>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</si>
  <si>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</si>
  <si>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</si>
  <si>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</si>
  <si>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</si>
  <si>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</si>
  <si>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</si>
  <si>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</si>
  <si>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</si>
  <si>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</si>
  <si>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</si>
  <si>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</si>
  <si>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</si>
  <si>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</si>
  <si>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</si>
  <si>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</si>
  <si>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</si>
  <si>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</si>
  <si>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</si>
  <si>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</si>
  <si>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</si>
  <si>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</si>
  <si>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</si>
  <si>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</si>
  <si>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</si>
  <si>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</si>
  <si>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</si>
  <si>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</si>
  <si>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</si>
  <si>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</si>
  <si>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</si>
  <si>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</si>
  <si>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</si>
  <si>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</si>
  <si>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</si>
  <si>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</si>
  <si>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</si>
  <si>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</si>
  <si>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</si>
  <si>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</si>
  <si>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</si>
  <si>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</si>
  <si>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</si>
  <si>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</si>
  <si>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</si>
  <si>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</si>
  <si>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</si>
  <si>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</si>
  <si>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</si>
  <si>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</si>
  <si>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</si>
  <si>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</si>
  <si>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</si>
  <si>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</si>
  <si>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</si>
  <si>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</si>
  <si>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</si>
  <si>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</si>
  <si>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</si>
  <si>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</si>
  <si>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</si>
  <si>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</si>
  <si>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</si>
  <si>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</si>
  <si>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</si>
  <si>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</si>
  <si>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</si>
  <si>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</si>
  <si>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</si>
  <si>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</si>
  <si>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</si>
  <si>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</si>
  <si>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</si>
  <si>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</si>
  <si>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</si>
  <si>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</si>
  <si>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</si>
  <si>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</si>
  <si>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</si>
  <si>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</si>
  <si>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</si>
  <si>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</si>
  <si>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</si>
  <si>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</si>
  <si>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</si>
  <si>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</si>
  <si>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</si>
  <si>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</si>
  <si>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</si>
  <si>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</si>
  <si>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</si>
  <si>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</si>
  <si>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</si>
  <si>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</si>
  <si>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</si>
  <si>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</si>
  <si>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</si>
  <si>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</si>
  <si>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</si>
  <si>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</si>
  <si>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</si>
  <si>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</si>
  <si>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</si>
  <si>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</si>
  <si>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</si>
  <si>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</si>
  <si>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</si>
  <si>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</si>
  <si>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</si>
  <si>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</si>
  <si>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</si>
  <si>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</si>
  <si>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</si>
  <si>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</si>
  <si>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</si>
  <si>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</si>
  <si>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</si>
  <si>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</si>
  <si>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</si>
  <si>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</si>
  <si>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</si>
  <si>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</si>
  <si>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</si>
  <si>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</si>
  <si>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</si>
  <si>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</si>
  <si>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</si>
  <si>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</si>
  <si>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</si>
  <si>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</si>
  <si>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</si>
  <si>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</si>
  <si>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</si>
  <si>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</si>
  <si>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</si>
  <si>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</si>
  <si>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</si>
  <si>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</si>
  <si>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</si>
  <si>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</si>
  <si>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</si>
  <si>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</si>
  <si>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</si>
  <si>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</si>
  <si>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</si>
  <si>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</si>
  <si>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</si>
  <si>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</si>
  <si>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</si>
  <si>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</si>
  <si>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</si>
  <si>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</si>
  <si>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</si>
  <si>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</si>
  <si>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</si>
  <si>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</si>
  <si>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</si>
  <si>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</si>
  <si>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</si>
  <si>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</si>
  <si>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</si>
  <si>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</si>
  <si>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</si>
  <si>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</si>
  <si>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</si>
  <si>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</si>
  <si>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</si>
  <si>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</si>
  <si>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</si>
  <si>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</si>
  <si>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</si>
  <si>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</si>
  <si>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</si>
  <si>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</si>
  <si>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</si>
  <si>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</si>
  <si>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</si>
  <si>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</si>
  <si>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</si>
  <si>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</si>
  <si>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</si>
  <si>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</si>
  <si>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</si>
  <si>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</si>
  <si>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</si>
  <si>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</si>
  <si>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</si>
  <si>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</si>
  <si>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</si>
  <si>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</si>
  <si>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</si>
  <si>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</si>
  <si>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</si>
  <si>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</si>
  <si>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</si>
  <si>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</si>
  <si>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</si>
  <si>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</si>
  <si>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</si>
  <si>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</si>
  <si>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</si>
  <si>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</si>
  <si>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</si>
  <si>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</si>
  <si>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</si>
  <si>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</si>
  <si>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</si>
  <si>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</si>
  <si>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</si>
  <si>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</si>
  <si>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</si>
  <si>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</si>
  <si>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</si>
  <si>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</si>
  <si>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</si>
  <si>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</si>
  <si>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</si>
  <si>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</si>
  <si>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</si>
  <si>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</si>
  <si>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</si>
  <si>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</si>
  <si>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</si>
  <si>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</si>
  <si>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</si>
  <si>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</si>
  <si>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</si>
  <si>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</si>
  <si>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</si>
  <si>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</si>
  <si>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</si>
  <si>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</si>
  <si>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</si>
  <si>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</si>
  <si>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</si>
  <si>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</si>
  <si>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</si>
  <si>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</si>
  <si>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</si>
  <si>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</si>
  <si>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</si>
  <si>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</si>
  <si>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</si>
  <si>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</si>
  <si>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</si>
  <si>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</si>
  <si>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</si>
  <si>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</si>
  <si>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</si>
  <si>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</si>
  <si>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</si>
  <si>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</si>
  <si>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</si>
  <si>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</si>
  <si>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</si>
  <si>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</si>
  <si>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</si>
  <si>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</si>
  <si>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</si>
  <si>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</si>
  <si>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</si>
  <si>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</si>
  <si>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</si>
  <si>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</si>
  <si>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</si>
  <si>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</si>
  <si>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</si>
  <si>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</si>
  <si>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</si>
  <si>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</si>
  <si>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</si>
  <si>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</si>
  <si>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</si>
  <si>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</si>
  <si>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</si>
  <si>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</si>
  <si>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</si>
  <si>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</si>
  <si>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</si>
  <si>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</si>
  <si>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</si>
  <si>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</si>
  <si>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</si>
  <si>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</si>
  <si>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</si>
  <si>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</si>
  <si>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</si>
  <si>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</si>
  <si>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</si>
  <si>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</si>
  <si>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</si>
  <si>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</si>
  <si>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</si>
  <si>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</si>
  <si>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</si>
  <si>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</si>
  <si>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</si>
  <si>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</si>
  <si>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</si>
  <si>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</si>
  <si>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</si>
  <si>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</si>
  <si>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</si>
  <si>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</si>
  <si>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</si>
  <si>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</si>
  <si>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</si>
  <si>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</si>
  <si>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</si>
  <si>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</si>
  <si>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</si>
  <si>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</si>
  <si>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</si>
  <si>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</si>
  <si>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</si>
  <si>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</si>
  <si>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</si>
  <si>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</si>
  <si>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</si>
  <si>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</si>
  <si>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</si>
  <si>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</si>
  <si>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</si>
  <si>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</si>
  <si>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</si>
  <si>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</si>
  <si>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</si>
  <si>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</si>
  <si>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</si>
  <si>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</si>
  <si>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</si>
  <si>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</si>
  <si>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</si>
  <si>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</si>
  <si>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</si>
  <si>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</si>
  <si>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</si>
  <si>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</si>
  <si>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</si>
  <si>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</si>
  <si>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</si>
  <si>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</si>
  <si>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</si>
  <si>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</si>
  <si>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</si>
  <si>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</si>
  <si>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</si>
  <si>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</si>
  <si>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</si>
  <si>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</si>
  <si>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</si>
  <si>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</si>
  <si>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</si>
  <si>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</si>
  <si>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</si>
  <si>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</si>
  <si>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</si>
  <si>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</si>
  <si>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</si>
  <si>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</si>
  <si>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</si>
  <si>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</si>
  <si>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</si>
  <si>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</si>
  <si>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</si>
  <si>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</si>
  <si>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</si>
  <si>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</si>
  <si>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</si>
  <si>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</si>
  <si>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</si>
  <si>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</si>
  <si>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</si>
  <si>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</si>
  <si>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</si>
  <si>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</si>
  <si>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</si>
  <si>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</si>
  <si>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</si>
  <si>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</si>
  <si>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</si>
  <si>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</si>
  <si>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</si>
  <si>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</si>
  <si>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</si>
  <si>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</si>
  <si>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</si>
  <si>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</si>
  <si>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</si>
  <si>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</si>
  <si>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</si>
  <si>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</si>
  <si>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</si>
  <si>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Sangamon</t>
  </si>
  <si>
    <t>Estes, Bridgewater &amp; Ogden</t>
  </si>
  <si>
    <t>Valerie R. Ausmus, CPA</t>
  </si>
  <si>
    <t>901 South Second Street</t>
  </si>
  <si>
    <t>2201 Toronto Road, Suite 281</t>
  </si>
  <si>
    <t>Springfield</t>
  </si>
  <si>
    <t>IL</t>
  </si>
  <si>
    <t>217-528-8473</t>
  </si>
  <si>
    <t>217-528-8506</t>
  </si>
  <si>
    <t>mjwood@rocte.com</t>
  </si>
  <si>
    <t>valeriea@ebocpa.com</t>
  </si>
  <si>
    <t>N/A</t>
  </si>
  <si>
    <t>NONE</t>
  </si>
  <si>
    <t>217-529-3716</t>
  </si>
  <si>
    <t>Mary Jo Wood</t>
  </si>
  <si>
    <t xml:space="preserve"> Regional Office of Car/Tech Educ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</si>
</sst>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15">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740352</xdr:colOff>
          <xdr:row>4</xdr:row>
          <xdr:rowOff>96116</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topLeftCell="A2"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5">
        <f>+'AFR20'!E4</f>
        <v>44119</v>
      </c>
      <c r="C1" s="2115"/>
      <c r="D1" s="2116"/>
      <c r="I1" s="2077" t="s">
        <v>402</v>
      </c>
      <c r="J1" s="2078"/>
      <c r="K1" s="2078"/>
      <c r="L1" s="2078"/>
      <c r="M1" s="2078"/>
      <c r="N1" s="2078"/>
      <c r="O1" s="2078"/>
      <c r="P1" s="2078"/>
      <c r="Q1" s="2078"/>
      <c r="R1" s="2078"/>
      <c r="S1" s="2078"/>
    </row>
    <row r="2" spans="1:32" ht="12" customHeight="1" x14ac:dyDescent="0.2">
      <c r="A2" s="1831" t="str">
        <f>"Due to ISBE on "</f>
        <v xml:space="preserve">Due to ISBE on </v>
      </c>
      <c r="B2" s="2117">
        <f>+'AFR20'!F4</f>
        <v>44151</v>
      </c>
      <c r="C2" s="2117"/>
      <c r="D2" s="2118"/>
      <c r="I2" s="2079" t="s">
        <v>2003</v>
      </c>
      <c r="J2" s="2078"/>
      <c r="K2" s="2078"/>
      <c r="L2" s="2078"/>
      <c r="M2" s="2078"/>
      <c r="N2" s="2078"/>
      <c r="O2" s="2078"/>
      <c r="P2" s="2078"/>
      <c r="Q2" s="2078"/>
      <c r="R2" s="2078"/>
      <c r="S2" s="2078"/>
    </row>
    <row r="3" spans="1:32" ht="12" customHeight="1" x14ac:dyDescent="0.2">
      <c r="A3" s="1834" t="str">
        <f>"SD/JA"&amp;MID('AFR20'!E2,3,2)</f>
        <v>SD/JA20</v>
      </c>
      <c r="B3" s="151"/>
      <c r="C3" s="151"/>
      <c r="D3" s="152"/>
      <c r="I3" s="2079" t="s">
        <v>52</v>
      </c>
      <c r="J3" s="2078"/>
      <c r="K3" s="2078"/>
      <c r="L3" s="2078"/>
      <c r="M3" s="2078"/>
      <c r="N3" s="2078"/>
      <c r="O3" s="2078"/>
      <c r="P3" s="2078"/>
      <c r="Q3" s="2078"/>
      <c r="R3" s="2078"/>
      <c r="S3" s="2078"/>
    </row>
    <row r="4" spans="1:32" ht="12" customHeight="1" x14ac:dyDescent="0.2">
      <c r="A4" s="37"/>
      <c r="I4" s="2079" t="s">
        <v>521</v>
      </c>
      <c r="J4" s="2078"/>
      <c r="K4" s="2078"/>
      <c r="L4" s="2078"/>
      <c r="M4" s="2078"/>
      <c r="N4" s="2078"/>
      <c r="O4" s="2078"/>
      <c r="P4" s="2078"/>
      <c r="Q4" s="2078"/>
      <c r="R4" s="2078"/>
      <c r="S4" s="2078"/>
    </row>
    <row r="5" spans="1:32" ht="14.1" customHeight="1" x14ac:dyDescent="0.2">
      <c r="B5" s="101"/>
      <c r="C5" s="26" t="s">
        <v>904</v>
      </c>
      <c r="D5" s="81"/>
      <c r="E5" s="81"/>
      <c r="H5" s="38"/>
      <c r="I5" s="2087" t="s">
        <v>675</v>
      </c>
      <c r="J5" s="2086"/>
      <c r="K5" s="2086"/>
      <c r="L5" s="2086"/>
      <c r="M5" s="2086"/>
      <c r="N5" s="2086"/>
      <c r="O5" s="2086"/>
      <c r="P5" s="2086"/>
      <c r="Q5" s="2086"/>
      <c r="R5" s="2086"/>
      <c r="S5" s="2086"/>
      <c r="AF5" s="1827"/>
    </row>
    <row r="6" spans="1:32" ht="14.1" customHeight="1" x14ac:dyDescent="0.2">
      <c r="B6" s="101" t="s">
        <v>2051</v>
      </c>
      <c r="C6" s="26" t="s">
        <v>905</v>
      </c>
      <c r="D6" s="81"/>
      <c r="E6" s="81"/>
      <c r="I6" s="2085" t="s">
        <v>877</v>
      </c>
      <c r="J6" s="2086"/>
      <c r="K6" s="2086"/>
      <c r="L6" s="2086"/>
      <c r="M6" s="2086"/>
      <c r="N6" s="2086"/>
      <c r="O6" s="2086"/>
      <c r="P6" s="2086"/>
      <c r="Q6" s="2086"/>
      <c r="R6" s="2086"/>
      <c r="S6" s="2086"/>
    </row>
    <row r="7" spans="1:32" ht="12.2" customHeight="1" x14ac:dyDescent="0.2">
      <c r="I7" s="2080" t="str">
        <f>"June 30, "&amp;'AFR20'!E2</f>
        <v>June 30, 2020</v>
      </c>
      <c r="J7" s="2081"/>
      <c r="K7" s="2081"/>
      <c r="L7" s="2081"/>
      <c r="M7" s="2081"/>
      <c r="N7" s="2081"/>
      <c r="O7" s="2081"/>
      <c r="P7" s="2081"/>
      <c r="Q7" s="2081"/>
      <c r="R7" s="2081"/>
      <c r="S7" s="208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2" t="s">
        <v>669</v>
      </c>
      <c r="J9" s="2083"/>
      <c r="K9" s="2083"/>
      <c r="L9" s="2083"/>
      <c r="M9" s="2083"/>
      <c r="N9" s="2083"/>
      <c r="O9" s="2083"/>
      <c r="P9" s="2083"/>
      <c r="Q9" s="2083"/>
      <c r="R9" s="2083"/>
      <c r="S9" s="2084"/>
      <c r="T9" s="2132" t="s">
        <v>530</v>
      </c>
      <c r="U9" s="2133"/>
      <c r="V9" s="2133"/>
      <c r="W9" s="2133"/>
      <c r="X9" s="2133"/>
      <c r="Y9" s="2133"/>
      <c r="Z9" s="2133"/>
      <c r="AA9" s="2134"/>
    </row>
    <row r="10" spans="1:32" ht="13.5" customHeight="1" x14ac:dyDescent="0.2">
      <c r="A10" s="2139" t="s">
        <v>670</v>
      </c>
      <c r="B10" s="2140"/>
      <c r="C10" s="2140"/>
      <c r="D10" s="2140"/>
      <c r="E10" s="2140"/>
      <c r="F10" s="2140"/>
      <c r="G10" s="2140"/>
      <c r="H10" s="2141"/>
      <c r="I10" s="29"/>
      <c r="J10" s="30"/>
      <c r="K10" s="28"/>
      <c r="R10" s="30"/>
      <c r="S10" s="30"/>
      <c r="T10" s="2135"/>
      <c r="U10" s="2086"/>
      <c r="V10" s="2086"/>
      <c r="W10" s="2086"/>
      <c r="X10" s="2086"/>
      <c r="Y10" s="2086"/>
      <c r="Z10" s="2086"/>
      <c r="AA10" s="2089"/>
    </row>
    <row r="11" spans="1:32" ht="14.25" customHeight="1" x14ac:dyDescent="0.2">
      <c r="A11" s="2142" t="s">
        <v>949</v>
      </c>
      <c r="B11" s="2143"/>
      <c r="C11" s="2143"/>
      <c r="D11" s="2143"/>
      <c r="E11" s="2143"/>
      <c r="F11" s="2143"/>
      <c r="G11" s="2143"/>
      <c r="H11" s="2144"/>
      <c r="I11" s="27"/>
      <c r="J11" s="71"/>
      <c r="K11" s="27"/>
      <c r="O11" s="144"/>
      <c r="P11" s="97" t="s">
        <v>199</v>
      </c>
      <c r="Q11" s="30"/>
      <c r="R11" s="28"/>
      <c r="S11" s="27"/>
      <c r="T11" s="2136"/>
      <c r="U11" s="2137"/>
      <c r="V11" s="2137"/>
      <c r="W11" s="2137"/>
      <c r="X11" s="2137"/>
      <c r="Y11" s="2137"/>
      <c r="Z11" s="2137"/>
      <c r="AA11" s="2138"/>
    </row>
    <row r="12" spans="1:32" ht="13.5" customHeight="1" x14ac:dyDescent="0.2">
      <c r="A12" s="82" t="s">
        <v>919</v>
      </c>
      <c r="B12" s="73"/>
      <c r="C12" s="73"/>
      <c r="D12" s="73"/>
      <c r="E12" s="73"/>
      <c r="F12" s="73"/>
      <c r="G12" s="73"/>
      <c r="H12" s="50"/>
      <c r="I12" s="29"/>
      <c r="J12" s="30"/>
      <c r="K12" s="28"/>
      <c r="O12" s="145" t="s">
        <v>2051</v>
      </c>
      <c r="P12" s="97" t="s">
        <v>200</v>
      </c>
      <c r="Q12" s="71"/>
      <c r="R12" s="30"/>
      <c r="S12" s="30"/>
      <c r="T12" s="82" t="s">
        <v>263</v>
      </c>
      <c r="U12" s="48"/>
      <c r="V12" s="48"/>
      <c r="W12" s="48"/>
      <c r="X12" s="48"/>
      <c r="Y12" s="43"/>
      <c r="Z12" s="43"/>
      <c r="AA12" s="44"/>
    </row>
    <row r="13" spans="1:32" ht="13.5" customHeight="1" x14ac:dyDescent="0.2">
      <c r="A13" s="2095">
        <v>51084731045</v>
      </c>
      <c r="B13" s="2096"/>
      <c r="C13" s="2096"/>
      <c r="D13" s="2096"/>
      <c r="E13" s="2096"/>
      <c r="F13" s="2096"/>
      <c r="G13" s="2096"/>
      <c r="H13" s="2097"/>
      <c r="I13" s="31"/>
      <c r="J13" s="30"/>
      <c r="K13" s="28"/>
      <c r="L13" s="30"/>
      <c r="M13" s="30"/>
      <c r="N13" s="30"/>
      <c r="O13" s="30"/>
      <c r="P13" s="30"/>
      <c r="Q13" s="30"/>
      <c r="R13" s="30"/>
      <c r="S13" s="30"/>
      <c r="T13" s="2101" t="s">
        <v>2053</v>
      </c>
      <c r="U13" s="2102"/>
      <c r="V13" s="2102"/>
      <c r="W13" s="2102"/>
      <c r="X13" s="2102"/>
      <c r="Y13" s="2103"/>
      <c r="Z13" s="2103"/>
      <c r="AA13" s="210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98" t="s">
        <v>2052</v>
      </c>
      <c r="B15" s="2099"/>
      <c r="C15" s="2099"/>
      <c r="D15" s="2099"/>
      <c r="E15" s="2099"/>
      <c r="F15" s="2099"/>
      <c r="G15" s="2099"/>
      <c r="H15" s="2100"/>
      <c r="T15" s="2105" t="s">
        <v>2054</v>
      </c>
      <c r="U15" s="2065"/>
      <c r="V15" s="2065"/>
      <c r="W15" s="2065"/>
      <c r="X15" s="2065"/>
      <c r="Y15" s="2106"/>
      <c r="Z15" s="2106"/>
      <c r="AA15" s="2107"/>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1" t="s">
        <v>2067</v>
      </c>
      <c r="B17" s="2072"/>
      <c r="C17" s="2072"/>
      <c r="D17" s="2072"/>
      <c r="E17" s="2072"/>
      <c r="F17" s="2072"/>
      <c r="G17" s="2072"/>
      <c r="H17" s="2094"/>
      <c r="T17" s="2112" t="s">
        <v>2055</v>
      </c>
      <c r="U17" s="2113"/>
      <c r="V17" s="2113"/>
      <c r="W17" s="2113"/>
      <c r="X17" s="2113"/>
      <c r="Y17" s="2113"/>
      <c r="Z17" s="2113"/>
      <c r="AA17" s="2114"/>
    </row>
    <row r="18" spans="1:27" ht="13.5" customHeight="1" x14ac:dyDescent="0.2">
      <c r="A18" s="82" t="s">
        <v>527</v>
      </c>
      <c r="B18" s="73"/>
      <c r="C18" s="69"/>
      <c r="D18" s="73"/>
      <c r="E18" s="73"/>
      <c r="F18" s="73"/>
      <c r="G18" s="73"/>
      <c r="H18" s="53"/>
      <c r="I18" s="2093"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098" t="s">
        <v>2056</v>
      </c>
      <c r="B19" s="2057"/>
      <c r="C19" s="2057"/>
      <c r="D19" s="2057"/>
      <c r="E19" s="2057"/>
      <c r="F19" s="2057"/>
      <c r="G19" s="2057"/>
      <c r="H19" s="2039"/>
      <c r="I19" s="30"/>
      <c r="J19" s="96"/>
      <c r="K19" s="40"/>
      <c r="L19" s="38"/>
      <c r="M19" s="109" t="s">
        <v>312</v>
      </c>
      <c r="P19" s="27"/>
      <c r="Q19" s="27"/>
      <c r="R19" s="27"/>
      <c r="S19" s="31"/>
      <c r="T19" s="2098" t="s">
        <v>2057</v>
      </c>
      <c r="U19" s="2038"/>
      <c r="V19" s="2038"/>
      <c r="W19" s="2039"/>
      <c r="X19" s="2110" t="s">
        <v>2058</v>
      </c>
      <c r="Y19" s="2111"/>
      <c r="Z19" s="2108">
        <v>62704</v>
      </c>
      <c r="AA19" s="2109"/>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2057</v>
      </c>
      <c r="B21" s="2038"/>
      <c r="C21" s="2038"/>
      <c r="D21" s="2038"/>
      <c r="E21" s="2038"/>
      <c r="F21" s="2038"/>
      <c r="G21" s="2038"/>
      <c r="H21" s="2039"/>
      <c r="I21" s="2088" t="s">
        <v>673</v>
      </c>
      <c r="J21" s="2086"/>
      <c r="K21" s="2086"/>
      <c r="L21" s="2086"/>
      <c r="M21" s="2086"/>
      <c r="N21" s="2086"/>
      <c r="O21" s="2086"/>
      <c r="P21" s="2086"/>
      <c r="Q21" s="2086"/>
      <c r="R21" s="2086"/>
      <c r="S21" s="2089"/>
      <c r="T21" s="2123" t="s">
        <v>2059</v>
      </c>
      <c r="U21" s="2124"/>
      <c r="V21" s="2124"/>
      <c r="W21" s="2124"/>
      <c r="X21" s="2129" t="s">
        <v>2060</v>
      </c>
      <c r="Y21" s="2130"/>
      <c r="Z21" s="2130"/>
      <c r="AA21" s="2131"/>
    </row>
    <row r="22" spans="1:27" ht="13.5" customHeight="1" x14ac:dyDescent="0.2">
      <c r="A22" s="84" t="s">
        <v>528</v>
      </c>
      <c r="B22" s="56"/>
      <c r="C22" s="56"/>
      <c r="D22" s="56"/>
      <c r="E22" s="56"/>
      <c r="F22" s="56"/>
      <c r="G22" s="56"/>
      <c r="H22" s="57"/>
      <c r="I22" s="2090" t="s">
        <v>1412</v>
      </c>
      <c r="J22" s="2091"/>
      <c r="K22" s="2091"/>
      <c r="L22" s="2091"/>
      <c r="M22" s="2091"/>
      <c r="N22" s="2091"/>
      <c r="O22" s="2091"/>
      <c r="P22" s="2091"/>
      <c r="Q22" s="2091"/>
      <c r="R22" s="2091"/>
      <c r="S22" s="2092"/>
      <c r="T22" s="82" t="s">
        <v>1499</v>
      </c>
      <c r="U22" s="48"/>
      <c r="V22" s="69"/>
      <c r="W22" s="48"/>
      <c r="X22" s="155" t="s">
        <v>1307</v>
      </c>
      <c r="Z22" s="43"/>
      <c r="AA22" s="44"/>
    </row>
    <row r="23" spans="1:27" ht="13.5" customHeight="1" x14ac:dyDescent="0.2">
      <c r="A23" s="2051" t="s">
        <v>2061</v>
      </c>
      <c r="B23" s="2052"/>
      <c r="C23" s="2052"/>
      <c r="D23" s="2052"/>
      <c r="E23" s="2052"/>
      <c r="F23" s="2052"/>
      <c r="G23" s="2052"/>
      <c r="H23" s="2053"/>
      <c r="T23" s="2071">
        <v>66.002662999999998</v>
      </c>
      <c r="U23" s="2122"/>
      <c r="V23" s="2122"/>
      <c r="W23" s="2122"/>
      <c r="X23" s="2126">
        <v>44469</v>
      </c>
      <c r="Y23" s="2127"/>
      <c r="Z23" s="2127"/>
      <c r="AA23" s="2128"/>
    </row>
    <row r="24" spans="1:27" ht="14.1" customHeight="1" x14ac:dyDescent="0.2">
      <c r="A24" s="85" t="s">
        <v>672</v>
      </c>
      <c r="B24" s="46"/>
      <c r="C24" s="46"/>
      <c r="D24" s="46"/>
      <c r="E24" s="46"/>
      <c r="F24" s="46"/>
      <c r="G24" s="46"/>
      <c r="H24" s="58"/>
      <c r="J24" s="2058" t="str">
        <f>IF(B5="x",IF(AUDITCHECK!D29="AFR form Incomplete.","",IF(AUDITCHECK!D29="Deficit reduction plan is required.","School District must complete a deficit reduction plan in the 2020-2021 Budget",)),"")</f>
        <v/>
      </c>
      <c r="K24" s="2058"/>
      <c r="L24" s="2058"/>
      <c r="M24" s="2058"/>
      <c r="N24" s="2058"/>
      <c r="O24" s="2058"/>
      <c r="P24" s="2058"/>
      <c r="Q24" s="2058"/>
      <c r="R24" s="2058"/>
      <c r="S24" s="2059"/>
      <c r="T24" s="102" t="s">
        <v>528</v>
      </c>
      <c r="U24" s="103"/>
      <c r="V24" s="103"/>
      <c r="W24" s="103"/>
      <c r="X24" s="104"/>
      <c r="Y24" s="104"/>
      <c r="Z24" s="104"/>
      <c r="AA24" s="105"/>
    </row>
    <row r="25" spans="1:27" ht="14.1" customHeight="1" x14ac:dyDescent="0.2">
      <c r="A25" s="2037">
        <v>62712</v>
      </c>
      <c r="B25" s="2038"/>
      <c r="C25" s="2038"/>
      <c r="D25" s="2038"/>
      <c r="E25" s="2038"/>
      <c r="F25" s="2038"/>
      <c r="G25" s="2038"/>
      <c r="H25" s="2039"/>
      <c r="I25" s="110"/>
      <c r="J25" s="2060"/>
      <c r="K25" s="2060"/>
      <c r="L25" s="2060"/>
      <c r="M25" s="2060"/>
      <c r="N25" s="2060"/>
      <c r="O25" s="2060"/>
      <c r="P25" s="2060"/>
      <c r="Q25" s="2060"/>
      <c r="R25" s="2060"/>
      <c r="S25" s="2061"/>
      <c r="T25" s="2119" t="s">
        <v>2062</v>
      </c>
      <c r="U25" s="2120"/>
      <c r="V25" s="2120"/>
      <c r="W25" s="2120"/>
      <c r="X25" s="2120"/>
      <c r="Y25" s="2120"/>
      <c r="Z25" s="2120"/>
      <c r="AA25" s="212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t="s">
        <v>2051</v>
      </c>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7"/>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1" t="s">
        <v>2066</v>
      </c>
      <c r="B38" s="2072"/>
      <c r="C38" s="2072"/>
      <c r="D38" s="2072"/>
      <c r="E38" s="2072"/>
      <c r="F38" s="2038"/>
      <c r="G38" s="2038"/>
      <c r="H38" s="2039"/>
      <c r="I38" s="2064"/>
      <c r="J38" s="2065"/>
      <c r="K38" s="2065"/>
      <c r="L38" s="2065"/>
      <c r="M38" s="2065"/>
      <c r="N38" s="2065"/>
      <c r="O38" s="2065"/>
      <c r="P38" s="2066"/>
      <c r="Q38" s="2066"/>
      <c r="R38" s="2066"/>
      <c r="S38" s="2067"/>
      <c r="T38" s="2105"/>
      <c r="U38" s="2065"/>
      <c r="V38" s="2065"/>
      <c r="W38" s="2065"/>
      <c r="X38" s="2066"/>
      <c r="Y38" s="2066"/>
      <c r="Z38" s="2066"/>
      <c r="AA38" s="2067"/>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t="s">
        <v>2061</v>
      </c>
      <c r="B40" s="2052"/>
      <c r="C40" s="2052"/>
      <c r="D40" s="2052"/>
      <c r="E40" s="2052"/>
      <c r="F40" s="2052"/>
      <c r="G40" s="2052"/>
      <c r="H40" s="2053"/>
      <c r="I40" s="2074"/>
      <c r="J40" s="2075"/>
      <c r="K40" s="2075"/>
      <c r="L40" s="2075"/>
      <c r="M40" s="2075"/>
      <c r="N40" s="2075"/>
      <c r="O40" s="2075"/>
      <c r="P40" s="2075"/>
      <c r="Q40" s="2075"/>
      <c r="R40" s="2075"/>
      <c r="S40" s="2076"/>
      <c r="T40" s="2074"/>
      <c r="U40" s="2125"/>
      <c r="V40" s="2075"/>
      <c r="W40" s="2075"/>
      <c r="X40" s="2075"/>
      <c r="Y40" s="2075"/>
      <c r="Z40" s="2075"/>
      <c r="AA40" s="2076"/>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3" t="s">
        <v>2065</v>
      </c>
      <c r="B42" s="2055"/>
      <c r="C42" s="2056"/>
      <c r="D42" s="2054"/>
      <c r="E42" s="2055"/>
      <c r="F42" s="2055"/>
      <c r="G42" s="2055"/>
      <c r="H42" s="2056"/>
      <c r="I42" s="2040"/>
      <c r="J42" s="2041"/>
      <c r="K42" s="2041"/>
      <c r="L42" s="2041"/>
      <c r="M42" s="2041"/>
      <c r="N42" s="2041"/>
      <c r="O42" s="2042"/>
      <c r="P42" s="2073"/>
      <c r="Q42" s="2041"/>
      <c r="R42" s="2041"/>
      <c r="S42" s="2042"/>
      <c r="T42" s="2040"/>
      <c r="U42" s="2041"/>
      <c r="V42" s="2041"/>
      <c r="W42" s="2042"/>
      <c r="X42" s="2073"/>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68"/>
      <c r="B44" s="2069"/>
      <c r="C44" s="2069"/>
      <c r="D44" s="2069"/>
      <c r="E44" s="2069"/>
      <c r="F44" s="2069"/>
      <c r="G44" s="2069"/>
      <c r="H44" s="2070"/>
      <c r="I44" s="2045"/>
      <c r="J44" s="2046"/>
      <c r="K44" s="2046"/>
      <c r="L44" s="2046"/>
      <c r="M44" s="2046"/>
      <c r="N44" s="2046"/>
      <c r="O44" s="2046"/>
      <c r="P44" s="2046"/>
      <c r="Q44" s="2046"/>
      <c r="R44" s="2046"/>
      <c r="S44" s="2047"/>
      <c r="T44" s="2045"/>
      <c r="U44" s="2062"/>
      <c r="V44" s="2062"/>
      <c r="W44" s="2062"/>
      <c r="X44" s="2062"/>
      <c r="Y44" s="2062"/>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B26" sqref="B26"/>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3"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4"/>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5" t="s">
        <v>625</v>
      </c>
      <c r="B1" s="2303"/>
      <c r="C1" s="585"/>
    </row>
    <row r="2" spans="1:7" ht="33.75" x14ac:dyDescent="0.2">
      <c r="A2" s="2310" t="s">
        <v>1779</v>
      </c>
      <c r="B2" s="2311"/>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2" t="s">
        <v>1104</v>
      </c>
      <c r="B3" s="2313"/>
      <c r="C3" s="2306"/>
      <c r="D3" s="2307"/>
      <c r="E3" s="2307"/>
      <c r="F3" s="2308"/>
    </row>
    <row r="4" spans="1:7" ht="12.75" customHeight="1" thickBot="1" x14ac:dyDescent="0.25">
      <c r="A4" s="2300" t="s">
        <v>626</v>
      </c>
      <c r="B4" s="2301"/>
      <c r="C4" s="1656"/>
      <c r="D4" s="1656"/>
      <c r="E4" s="1656"/>
      <c r="F4" s="1732">
        <f>SUM(C4+D4)-E4</f>
        <v>0</v>
      </c>
    </row>
    <row r="5" spans="1:7" ht="15.75" customHeight="1" thickTop="1" x14ac:dyDescent="0.2">
      <c r="A5" s="2304" t="s">
        <v>1101</v>
      </c>
      <c r="B5" s="2299"/>
      <c r="C5" s="2293"/>
      <c r="D5" s="2294"/>
      <c r="E5" s="2294"/>
      <c r="F5" s="2295"/>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6" t="s">
        <v>627</v>
      </c>
      <c r="B15" s="2297"/>
      <c r="C15" s="1732">
        <f>SUM(C6:C14)</f>
        <v>0</v>
      </c>
      <c r="D15" s="1732">
        <f>SUM(D6:D14)</f>
        <v>0</v>
      </c>
      <c r="E15" s="1732">
        <f>SUM(E6:E14)</f>
        <v>0</v>
      </c>
      <c r="F15" s="1732">
        <f>SUM(F6:F14)</f>
        <v>0</v>
      </c>
      <c r="G15" s="473"/>
    </row>
    <row r="16" spans="1:7" s="197" customFormat="1" ht="15.75" customHeight="1" thickTop="1" x14ac:dyDescent="0.2">
      <c r="A16" s="2309" t="s">
        <v>1102</v>
      </c>
      <c r="B16" s="2299"/>
      <c r="C16" s="2293"/>
      <c r="D16" s="2294"/>
      <c r="E16" s="2294"/>
      <c r="F16" s="2295"/>
    </row>
    <row r="17" spans="1:11" ht="12.75" customHeight="1" thickBot="1" x14ac:dyDescent="0.25">
      <c r="A17" s="2291" t="s">
        <v>64</v>
      </c>
      <c r="B17" s="2292"/>
      <c r="C17" s="1733"/>
      <c r="D17" s="1664"/>
      <c r="E17" s="1733"/>
      <c r="F17" s="1732">
        <f>SUM(C17+D17)-E17</f>
        <v>0</v>
      </c>
    </row>
    <row r="18" spans="1:11" ht="12.75" customHeight="1" thickTop="1" thickBot="1" x14ac:dyDescent="0.25">
      <c r="A18" s="2291" t="s">
        <v>6</v>
      </c>
      <c r="B18" s="2292"/>
      <c r="C18" s="1733"/>
      <c r="D18" s="1664"/>
      <c r="E18" s="1733"/>
      <c r="F18" s="1732">
        <f>SUM(C18+D18)-E18</f>
        <v>0</v>
      </c>
    </row>
    <row r="19" spans="1:11" ht="12.75" customHeight="1" thickTop="1" thickBot="1" x14ac:dyDescent="0.25">
      <c r="A19" s="2291" t="s">
        <v>385</v>
      </c>
      <c r="B19" s="2292"/>
      <c r="C19" s="1733"/>
      <c r="D19" s="1664"/>
      <c r="E19" s="1733"/>
      <c r="F19" s="1732">
        <f>SUM(C19+D19)-E19</f>
        <v>0</v>
      </c>
    </row>
    <row r="20" spans="1:11" ht="12.75" customHeight="1" thickTop="1" thickBot="1" x14ac:dyDescent="0.25">
      <c r="A20" s="2291" t="s">
        <v>445</v>
      </c>
      <c r="B20" s="2292"/>
      <c r="C20" s="1733"/>
      <c r="D20" s="1664"/>
      <c r="E20" s="1733"/>
      <c r="F20" s="1732">
        <f>SUM(C20+D20)-E20</f>
        <v>0</v>
      </c>
    </row>
    <row r="21" spans="1:11" ht="14.25" thickTop="1" thickBot="1" x14ac:dyDescent="0.25">
      <c r="A21" s="2296" t="s">
        <v>628</v>
      </c>
      <c r="B21" s="2297"/>
      <c r="C21" s="1732">
        <f>SUM(C17:C20)</f>
        <v>0</v>
      </c>
      <c r="D21" s="1732">
        <f>SUM(D17:D20)</f>
        <v>0</v>
      </c>
      <c r="E21" s="1732">
        <f>SUM(E17:E20)</f>
        <v>0</v>
      </c>
      <c r="F21" s="1732">
        <f>SUM(F17:F20)</f>
        <v>0</v>
      </c>
      <c r="G21" s="473"/>
    </row>
    <row r="22" spans="1:11" ht="15.75" customHeight="1" thickTop="1" x14ac:dyDescent="0.2">
      <c r="A22" s="2298" t="s">
        <v>1103</v>
      </c>
      <c r="B22" s="2299"/>
      <c r="C22" s="2293"/>
      <c r="D22" s="2294"/>
      <c r="E22" s="2294"/>
      <c r="F22" s="2295"/>
    </row>
    <row r="23" spans="1:11" ht="13.5" thickBot="1" x14ac:dyDescent="0.25">
      <c r="A23" s="2300" t="s">
        <v>629</v>
      </c>
      <c r="B23" s="2301"/>
      <c r="C23" s="1656"/>
      <c r="D23" s="1656"/>
      <c r="E23" s="1656"/>
      <c r="F23" s="1732">
        <f>SUM(C23+D23)-E23</f>
        <v>0</v>
      </c>
      <c r="G23" s="473"/>
    </row>
    <row r="24" spans="1:11" ht="15.75" customHeight="1" thickTop="1" x14ac:dyDescent="0.2">
      <c r="A24" s="2298" t="s">
        <v>2006</v>
      </c>
      <c r="B24" s="2299"/>
      <c r="C24" s="2293"/>
      <c r="D24" s="2294"/>
      <c r="E24" s="2294"/>
      <c r="F24" s="2295"/>
    </row>
    <row r="25" spans="1:11" ht="13.5" thickBot="1" x14ac:dyDescent="0.25">
      <c r="A25" s="2300" t="s">
        <v>2007</v>
      </c>
      <c r="B25" s="2301"/>
      <c r="C25" s="1656"/>
      <c r="D25" s="1656"/>
      <c r="E25" s="1656"/>
      <c r="F25" s="1732">
        <f>SUM(C25+D25)-E25</f>
        <v>0</v>
      </c>
      <c r="G25" s="473"/>
    </row>
    <row r="26" spans="1:11" ht="15.75" customHeight="1" thickTop="1" x14ac:dyDescent="0.2">
      <c r="A26" s="2304" t="s">
        <v>652</v>
      </c>
      <c r="B26" s="2299"/>
      <c r="C26" s="589"/>
      <c r="D26" s="589"/>
      <c r="E26" s="589"/>
      <c r="F26" s="590"/>
    </row>
    <row r="27" spans="1:11" ht="13.5" thickBot="1" x14ac:dyDescent="0.25">
      <c r="A27" s="2296" t="s">
        <v>1061</v>
      </c>
      <c r="B27" s="2297"/>
      <c r="C27" s="1664"/>
      <c r="D27" s="1664"/>
      <c r="E27" s="1664"/>
      <c r="F27" s="1732">
        <f>SUM(C27+D27)-E27</f>
        <v>0</v>
      </c>
      <c r="G27" s="473"/>
    </row>
    <row r="28" spans="1:11" ht="7.5" customHeight="1" thickTop="1" x14ac:dyDescent="0.2">
      <c r="A28" s="489"/>
    </row>
    <row r="29" spans="1:11" ht="23.25" customHeight="1" x14ac:dyDescent="0.2">
      <c r="A29" s="2302" t="s">
        <v>578</v>
      </c>
      <c r="B29" s="2303"/>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85" t="s">
        <v>580</v>
      </c>
      <c r="C52" s="2286"/>
      <c r="D52" s="2286"/>
      <c r="E52" s="603" t="s">
        <v>840</v>
      </c>
      <c r="F52" s="2287"/>
      <c r="G52" s="2288"/>
      <c r="H52" s="596"/>
      <c r="I52" s="596"/>
      <c r="J52" s="600"/>
    </row>
    <row r="53" spans="1:11" ht="11.25" customHeight="1" x14ac:dyDescent="0.2">
      <c r="A53" s="604" t="s">
        <v>907</v>
      </c>
      <c r="B53" s="605" t="s">
        <v>945</v>
      </c>
      <c r="C53" s="600"/>
      <c r="D53" s="597"/>
      <c r="E53" s="603" t="s">
        <v>494</v>
      </c>
      <c r="F53" s="2289"/>
      <c r="G53" s="2290"/>
      <c r="H53" s="596"/>
      <c r="I53" s="596"/>
      <c r="J53" s="600"/>
    </row>
    <row r="54" spans="1:11" ht="11.25" customHeight="1" x14ac:dyDescent="0.2">
      <c r="A54" s="606" t="s">
        <v>908</v>
      </c>
      <c r="B54" s="601" t="s">
        <v>946</v>
      </c>
      <c r="C54" s="600"/>
      <c r="D54" s="597"/>
      <c r="E54" s="603" t="s">
        <v>495</v>
      </c>
      <c r="F54" s="2289"/>
      <c r="G54" s="229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G25" sqref="G2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4" t="s">
        <v>851</v>
      </c>
      <c r="B1" s="2315"/>
      <c r="C1" s="2315"/>
      <c r="D1" s="2315"/>
      <c r="E1" s="2315"/>
      <c r="F1" s="2315"/>
      <c r="G1" s="2316"/>
      <c r="H1" s="1298"/>
      <c r="I1" s="614"/>
      <c r="J1" s="400"/>
    </row>
    <row r="2" spans="1:11" ht="26.25" x14ac:dyDescent="0.2">
      <c r="A2" s="2333" t="s">
        <v>1658</v>
      </c>
      <c r="B2" s="2334"/>
      <c r="C2" s="2334"/>
      <c r="D2" s="2334"/>
      <c r="E2" s="2335"/>
      <c r="F2" s="615" t="s">
        <v>898</v>
      </c>
      <c r="G2" s="616" t="s">
        <v>1655</v>
      </c>
      <c r="H2" s="616" t="s">
        <v>407</v>
      </c>
      <c r="I2" s="616" t="s">
        <v>1148</v>
      </c>
      <c r="J2" s="616" t="s">
        <v>1789</v>
      </c>
      <c r="K2" s="616" t="s">
        <v>137</v>
      </c>
    </row>
    <row r="3" spans="1:11" x14ac:dyDescent="0.2">
      <c r="A3" s="2336" t="str">
        <f>"Cash Basis Fund Balance as of July 1, "&amp;'AFR20'!E2-1</f>
        <v>Cash Basis Fund Balance as of July 1, 2019</v>
      </c>
      <c r="B3" s="2337"/>
      <c r="C3" s="2337"/>
      <c r="D3" s="2337"/>
      <c r="E3" s="2338"/>
      <c r="F3" s="617"/>
      <c r="G3" s="1744"/>
      <c r="H3" s="1744"/>
      <c r="I3" s="1744"/>
      <c r="J3" s="1745"/>
      <c r="K3" s="1745"/>
    </row>
    <row r="4" spans="1:11" x14ac:dyDescent="0.2">
      <c r="A4" s="2339" t="s">
        <v>366</v>
      </c>
      <c r="B4" s="2340"/>
      <c r="C4" s="2340"/>
      <c r="D4" s="2340"/>
      <c r="E4" s="2286"/>
      <c r="F4" s="620"/>
      <c r="G4" s="1746"/>
      <c r="H4" s="1747"/>
      <c r="I4" s="1746"/>
      <c r="J4" s="1748"/>
      <c r="K4" s="1748"/>
    </row>
    <row r="5" spans="1:11" x14ac:dyDescent="0.2">
      <c r="A5" s="2317" t="s">
        <v>1060</v>
      </c>
      <c r="B5" s="2318"/>
      <c r="C5" s="2318"/>
      <c r="D5" s="2318"/>
      <c r="E5" s="2319"/>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17" t="s">
        <v>1790</v>
      </c>
      <c r="B10" s="2318"/>
      <c r="C10" s="2318"/>
      <c r="D10" s="2318"/>
      <c r="E10" s="2320"/>
      <c r="F10" s="633" t="s">
        <v>857</v>
      </c>
      <c r="G10" s="1753"/>
      <c r="H10" s="1754"/>
      <c r="I10" s="1744"/>
      <c r="J10" s="1745"/>
      <c r="K10" s="1745"/>
    </row>
    <row r="11" spans="1:11" x14ac:dyDescent="0.2">
      <c r="A11" s="2317" t="s">
        <v>159</v>
      </c>
      <c r="B11" s="2318"/>
      <c r="C11" s="2318"/>
      <c r="D11" s="2318"/>
      <c r="E11" s="2319"/>
      <c r="F11" s="622" t="s">
        <v>847</v>
      </c>
      <c r="G11" s="1749"/>
      <c r="H11" s="1744"/>
      <c r="I11" s="1744"/>
      <c r="J11" s="1745"/>
      <c r="K11" s="1751"/>
    </row>
    <row r="12" spans="1:11" ht="13.5" thickBot="1" x14ac:dyDescent="0.25">
      <c r="A12" s="2344" t="s">
        <v>899</v>
      </c>
      <c r="B12" s="2345"/>
      <c r="C12" s="2345"/>
      <c r="D12" s="2345"/>
      <c r="E12" s="2346"/>
      <c r="F12" s="1433"/>
      <c r="G12" s="1755">
        <f>SUM(G5:G11)</f>
        <v>0</v>
      </c>
      <c r="H12" s="1755">
        <f>SUM(H5:H11)</f>
        <v>0</v>
      </c>
      <c r="I12" s="1755">
        <f>SUM(I5:I11)</f>
        <v>0</v>
      </c>
      <c r="J12" s="1755">
        <f>SUM(J5:J11)</f>
        <v>0</v>
      </c>
      <c r="K12" s="1755">
        <f>SUM(K5:K11)</f>
        <v>0</v>
      </c>
    </row>
    <row r="13" spans="1:11" ht="13.5" thickTop="1" x14ac:dyDescent="0.2">
      <c r="A13" s="2341" t="s">
        <v>367</v>
      </c>
      <c r="B13" s="2342"/>
      <c r="C13" s="2342"/>
      <c r="D13" s="2342"/>
      <c r="E13" s="2343"/>
      <c r="F13" s="634"/>
      <c r="G13" s="1756"/>
      <c r="H13" s="1757"/>
      <c r="I13" s="1758"/>
      <c r="J13" s="1758"/>
      <c r="K13" s="1758"/>
    </row>
    <row r="14" spans="1:11" x14ac:dyDescent="0.2">
      <c r="A14" s="2324" t="s">
        <v>453</v>
      </c>
      <c r="B14" s="2324"/>
      <c r="C14" s="2324"/>
      <c r="D14" s="2324"/>
      <c r="E14" s="2325"/>
      <c r="F14" s="635" t="s">
        <v>849</v>
      </c>
      <c r="G14" s="1753"/>
      <c r="H14" s="1744"/>
      <c r="I14" s="1749"/>
      <c r="J14" s="1751"/>
      <c r="K14" s="1745"/>
    </row>
    <row r="15" spans="1:11" x14ac:dyDescent="0.2">
      <c r="A15" s="2318" t="s">
        <v>4</v>
      </c>
      <c r="B15" s="2318"/>
      <c r="C15" s="2318"/>
      <c r="D15" s="2318"/>
      <c r="E15" s="2319"/>
      <c r="F15" s="635" t="s">
        <v>850</v>
      </c>
      <c r="G15" s="1749"/>
      <c r="H15" s="1744"/>
      <c r="I15" s="1744"/>
      <c r="J15" s="1745"/>
      <c r="K15" s="1745"/>
    </row>
    <row r="16" spans="1:11" x14ac:dyDescent="0.2">
      <c r="A16" s="2318" t="s">
        <v>295</v>
      </c>
      <c r="B16" s="2318"/>
      <c r="C16" s="2318"/>
      <c r="D16" s="2318"/>
      <c r="E16" s="2319"/>
      <c r="F16" s="635" t="s">
        <v>917</v>
      </c>
      <c r="G16" s="1750"/>
      <c r="H16" s="1746"/>
      <c r="I16" s="1746"/>
      <c r="J16" s="1748"/>
      <c r="K16" s="1748"/>
    </row>
    <row r="17" spans="1:15" x14ac:dyDescent="0.2">
      <c r="A17" s="2351" t="s">
        <v>929</v>
      </c>
      <c r="B17" s="2351"/>
      <c r="C17" s="2351"/>
      <c r="D17" s="2351"/>
      <c r="E17" s="2352"/>
      <c r="F17" s="636"/>
      <c r="G17" s="1759"/>
      <c r="H17" s="1760"/>
      <c r="I17" s="1760"/>
      <c r="J17" s="1761"/>
      <c r="K17" s="1762"/>
    </row>
    <row r="18" spans="1:15" x14ac:dyDescent="0.2">
      <c r="A18" s="2328" t="s">
        <v>365</v>
      </c>
      <c r="B18" s="2329"/>
      <c r="C18" s="2329"/>
      <c r="D18" s="2329"/>
      <c r="E18" s="2330"/>
      <c r="F18" s="635" t="s">
        <v>926</v>
      </c>
      <c r="G18" s="1753"/>
      <c r="H18" s="1753"/>
      <c r="I18" s="1753"/>
      <c r="J18" s="1745"/>
      <c r="K18" s="1763"/>
    </row>
    <row r="19" spans="1:15" ht="21.75" customHeight="1" x14ac:dyDescent="0.2">
      <c r="A19" s="2326" t="s">
        <v>1786</v>
      </c>
      <c r="B19" s="2326"/>
      <c r="C19" s="2326"/>
      <c r="D19" s="2326"/>
      <c r="E19" s="2327"/>
      <c r="F19" s="635" t="s">
        <v>927</v>
      </c>
      <c r="G19" s="1753"/>
      <c r="H19" s="1753"/>
      <c r="I19" s="1753"/>
      <c r="J19" s="1745"/>
      <c r="K19" s="1763"/>
    </row>
    <row r="20" spans="1:15" x14ac:dyDescent="0.2">
      <c r="A20" s="2328" t="s">
        <v>1791</v>
      </c>
      <c r="B20" s="2329"/>
      <c r="C20" s="2329"/>
      <c r="D20" s="2329"/>
      <c r="E20" s="2330"/>
      <c r="F20" s="635" t="s">
        <v>928</v>
      </c>
      <c r="G20" s="1753"/>
      <c r="H20" s="1753"/>
      <c r="I20" s="1753"/>
      <c r="J20" s="1745"/>
      <c r="K20" s="1763"/>
    </row>
    <row r="21" spans="1:15" ht="13.5" thickBot="1" x14ac:dyDescent="0.25">
      <c r="A21" s="2347" t="s">
        <v>633</v>
      </c>
      <c r="B21" s="2347"/>
      <c r="C21" s="2347"/>
      <c r="D21" s="2347"/>
      <c r="E21" s="2347"/>
      <c r="F21" s="1434"/>
      <c r="G21" s="1760"/>
      <c r="H21" s="1764"/>
      <c r="I21" s="1764"/>
      <c r="J21" s="1765">
        <f>SUM(J18:J20)</f>
        <v>0</v>
      </c>
      <c r="K21" s="1761"/>
    </row>
    <row r="22" spans="1:15" ht="13.5" thickTop="1" x14ac:dyDescent="0.2">
      <c r="A22" s="2318" t="s">
        <v>1792</v>
      </c>
      <c r="B22" s="2318"/>
      <c r="C22" s="2318"/>
      <c r="D22" s="2318"/>
      <c r="E22" s="2319"/>
      <c r="F22" s="635" t="s">
        <v>857</v>
      </c>
      <c r="G22" s="1753"/>
      <c r="H22" s="1744"/>
      <c r="I22" s="1744"/>
      <c r="J22" s="1766"/>
      <c r="K22" s="1745"/>
    </row>
    <row r="23" spans="1:15" ht="13.5" thickBot="1" x14ac:dyDescent="0.25">
      <c r="A23" s="2348" t="s">
        <v>900</v>
      </c>
      <c r="B23" s="2347"/>
      <c r="C23" s="2347"/>
      <c r="D23" s="2347"/>
      <c r="E23" s="2347"/>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49" t="str">
        <f>"Ending Cash Basis Fund Balance as of June 30, "&amp;'AFR20'!E2</f>
        <v>Ending Cash Basis Fund Balance as of June 30, 2020</v>
      </c>
      <c r="B24" s="2350"/>
      <c r="C24" s="2350"/>
      <c r="D24" s="2350"/>
      <c r="E24" s="2350"/>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1"/>
      <c r="I31" s="2322"/>
      <c r="J31" s="2322"/>
      <c r="K31" s="2322"/>
    </row>
    <row r="32" spans="1:15" x14ac:dyDescent="0.2">
      <c r="A32" s="649"/>
      <c r="B32" s="232"/>
      <c r="C32" s="232"/>
      <c r="D32" s="232"/>
      <c r="E32" s="645"/>
      <c r="F32" s="651" t="s">
        <v>537</v>
      </c>
      <c r="G32" s="618"/>
      <c r="H32" s="2323"/>
      <c r="I32" s="2322"/>
      <c r="J32" s="2322"/>
      <c r="K32" s="2322"/>
    </row>
    <row r="33" spans="1:11" ht="1.5" customHeight="1" x14ac:dyDescent="0.2">
      <c r="A33" s="652" t="s">
        <v>1159</v>
      </c>
      <c r="B33" s="341"/>
      <c r="C33" s="341"/>
      <c r="D33" s="341"/>
      <c r="E33" s="341"/>
      <c r="F33" s="341"/>
      <c r="G33" s="653"/>
      <c r="H33" s="2323"/>
      <c r="I33" s="2322"/>
      <c r="J33" s="2322"/>
      <c r="K33" s="2322"/>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8" t="s">
        <v>538</v>
      </c>
      <c r="B41" s="2331"/>
      <c r="C41" s="2331"/>
      <c r="D41" s="2331"/>
      <c r="E41" s="2331"/>
      <c r="F41" s="2332"/>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K12" sqref="K1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5" t="s">
        <v>1875</v>
      </c>
      <c r="B1" s="2356"/>
      <c r="C1" s="2357"/>
      <c r="D1" s="666"/>
      <c r="E1" s="667"/>
      <c r="F1" s="667"/>
      <c r="G1" s="668"/>
      <c r="H1" s="669"/>
      <c r="I1" s="670"/>
      <c r="J1" s="2353"/>
      <c r="K1" s="2354"/>
      <c r="L1" s="2354"/>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c r="D8" s="1771"/>
      <c r="E8" s="1771"/>
      <c r="F8" s="1765">
        <f>(C8+D8)-E8</f>
        <v>0</v>
      </c>
      <c r="G8" s="681">
        <v>50</v>
      </c>
      <c r="H8" s="619"/>
      <c r="I8" s="619"/>
      <c r="J8" s="619"/>
      <c r="K8" s="1442">
        <f>(H8+I8)-J8</f>
        <v>0</v>
      </c>
      <c r="L8" s="1442">
        <f>F8-K8</f>
        <v>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1931893</v>
      </c>
      <c r="D12" s="1771">
        <v>157601</v>
      </c>
      <c r="E12" s="1771"/>
      <c r="F12" s="1765">
        <f>(C12+D12)-E12</f>
        <v>2089494</v>
      </c>
      <c r="G12" s="681">
        <v>10</v>
      </c>
      <c r="H12" s="619">
        <v>1351625</v>
      </c>
      <c r="I12" s="619">
        <v>128792</v>
      </c>
      <c r="J12" s="619"/>
      <c r="K12" s="1442">
        <f>(H12+I12)-J12</f>
        <v>1480417</v>
      </c>
      <c r="L12" s="1442">
        <f>F12-K12</f>
        <v>609077</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1931893</v>
      </c>
      <c r="D16" s="1765">
        <f>SUM(D3,D5:D6,D8:D10,D12:D15)</f>
        <v>157601</v>
      </c>
      <c r="E16" s="1765">
        <f>SUM(E3,E5:E6,E8:E10,E12:E15)</f>
        <v>0</v>
      </c>
      <c r="F16" s="1765">
        <f>SUM(F3,F5:F6,F8:F10,F12:F15)</f>
        <v>2089494</v>
      </c>
      <c r="G16" s="681"/>
      <c r="H16" s="1435">
        <f>SUM(H3,H6,H8:H10,H12:H14,)</f>
        <v>1351625</v>
      </c>
      <c r="I16" s="1435">
        <f>SUM(I3,I6,I8:I10,I12:I14,)</f>
        <v>128792</v>
      </c>
      <c r="J16" s="1435">
        <f>SUM(J3,J6,J8:J10,J12:J14,)</f>
        <v>0</v>
      </c>
      <c r="K16" s="1435">
        <f>(H16+I16)-J16</f>
        <v>1480417</v>
      </c>
      <c r="L16" s="1435">
        <f>F16-K16</f>
        <v>609077</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128792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24" colorId="8" zoomScale="110" zoomScaleNormal="110" workbookViewId="0">
      <selection activeCell="F76" sqref="F7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1" t="str">
        <f>"ESTIMATED OPERATING EXPENSE PER PUPIL (OEPP)/PER CAPITA TUITION CHARGE (PCTC) COMPUTATIONS ("&amp;'AFR20'!E2-1&amp;" - "&amp;'AFR20'!E2&amp;")"</f>
        <v>ESTIMATED OPERATING EXPENSE PER PUPIL (OEPP)/PER CAPITA TUITION CHARGE (PCTC) COMPUTATIONS (2019 - 2020)</v>
      </c>
      <c r="B1" s="2362"/>
      <c r="C1" s="2362"/>
      <c r="D1" s="2362"/>
      <c r="E1" s="2362"/>
      <c r="F1" s="2363"/>
      <c r="G1" s="691"/>
      <c r="I1" s="701"/>
    </row>
    <row r="2" spans="1:9" ht="15" customHeight="1" thickBot="1" x14ac:dyDescent="0.25">
      <c r="A2" s="2364" t="s">
        <v>474</v>
      </c>
      <c r="B2" s="2365"/>
      <c r="C2" s="2365"/>
      <c r="D2" s="2365"/>
      <c r="E2" s="2365"/>
      <c r="F2" s="2366"/>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67"/>
      <c r="B5" s="2368"/>
      <c r="C5" s="2368"/>
      <c r="D5" s="2368"/>
      <c r="E5" s="2368"/>
      <c r="F5" s="2368"/>
    </row>
    <row r="6" spans="1:9" ht="13.5" customHeight="1" thickBot="1" x14ac:dyDescent="0.25">
      <c r="A6" s="2358" t="s">
        <v>1095</v>
      </c>
      <c r="B6" s="2359"/>
      <c r="C6" s="2359"/>
      <c r="D6" s="2359"/>
      <c r="E6" s="2359"/>
      <c r="F6" s="2360"/>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1233448</v>
      </c>
      <c r="G8" s="701"/>
    </row>
    <row r="9" spans="1:9" x14ac:dyDescent="0.2">
      <c r="A9" s="705" t="s">
        <v>457</v>
      </c>
      <c r="B9" s="706" t="s">
        <v>1848</v>
      </c>
      <c r="C9" s="707"/>
      <c r="D9" s="705" t="s">
        <v>498</v>
      </c>
      <c r="E9" s="704"/>
      <c r="F9" s="1775">
        <f>'Expenditures 15-22'!K151</f>
        <v>0</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0</v>
      </c>
      <c r="G11" s="708"/>
    </row>
    <row r="12" spans="1:9" x14ac:dyDescent="0.2">
      <c r="A12" s="705" t="s">
        <v>459</v>
      </c>
      <c r="B12" s="706" t="s">
        <v>1851</v>
      </c>
      <c r="C12" s="707"/>
      <c r="D12" s="705" t="s">
        <v>498</v>
      </c>
      <c r="E12" s="704"/>
      <c r="F12" s="1775">
        <f>'Expenditures 15-22'!K295</f>
        <v>0</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1233448</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658856</v>
      </c>
      <c r="G53" s="701"/>
    </row>
    <row r="54" spans="1:7" x14ac:dyDescent="0.2">
      <c r="A54" s="705" t="s">
        <v>456</v>
      </c>
      <c r="B54" s="705" t="s">
        <v>1459</v>
      </c>
      <c r="C54" s="724" t="s">
        <v>975</v>
      </c>
      <c r="D54" s="720" t="s">
        <v>1086</v>
      </c>
      <c r="E54" s="704"/>
      <c r="F54" s="1782">
        <f>'Expenditures 15-22'!G114</f>
        <v>155842</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814698</v>
      </c>
      <c r="G77" s="701"/>
    </row>
    <row r="78" spans="1:9" s="728" customFormat="1" ht="12" customHeight="1" thickTop="1" thickBot="1" x14ac:dyDescent="0.25">
      <c r="A78" s="1450"/>
      <c r="B78" s="1448"/>
      <c r="C78" s="1445"/>
      <c r="D78" s="1449" t="s">
        <v>2012</v>
      </c>
      <c r="E78" s="1447"/>
      <c r="F78" s="1788">
        <f>(F14-F77)</f>
        <v>418750</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2013</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58" t="s">
        <v>1096</v>
      </c>
      <c r="B82" s="2359"/>
      <c r="C82" s="2359"/>
      <c r="D82" s="2359"/>
      <c r="E82" s="2359"/>
      <c r="F82" s="2360"/>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757489</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351268</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c r="G172" s="760"/>
    </row>
    <row r="173" spans="1:7" x14ac:dyDescent="0.2">
      <c r="A173" s="1529" t="s">
        <v>659</v>
      </c>
      <c r="B173" s="1530" t="s">
        <v>1885</v>
      </c>
      <c r="C173" s="1531">
        <v>3300</v>
      </c>
      <c r="D173" s="1532" t="s">
        <v>1888</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1108757</v>
      </c>
    </row>
    <row r="176" spans="1:7" ht="12" customHeight="1" x14ac:dyDescent="0.2">
      <c r="A176" s="1443"/>
      <c r="B176" s="1453"/>
      <c r="C176" s="1454"/>
      <c r="D176" s="1455" t="s">
        <v>2014</v>
      </c>
      <c r="E176" s="1456"/>
      <c r="F176" s="1793">
        <f>'PCTC-OEPP 27-28'!F78-F175</f>
        <v>-690007</v>
      </c>
    </row>
    <row r="177" spans="1:9" ht="12" customHeight="1" x14ac:dyDescent="0.2">
      <c r="A177" s="1443"/>
      <c r="B177" s="1453"/>
      <c r="C177" s="1454"/>
      <c r="D177" s="1455" t="s">
        <v>1794</v>
      </c>
      <c r="E177" s="1456"/>
      <c r="F177" s="1793">
        <f>'Cap Outlay Deprec 26'!I18</f>
        <v>128792</v>
      </c>
    </row>
    <row r="178" spans="1:9" ht="12" customHeight="1" x14ac:dyDescent="0.2">
      <c r="A178" s="1443"/>
      <c r="B178" s="1453"/>
      <c r="C178" s="1454"/>
      <c r="D178" s="1455" t="s">
        <v>2015</v>
      </c>
      <c r="E178" s="1456"/>
      <c r="F178" s="1793">
        <f>F176+F177</f>
        <v>-561215</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2017</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E18" sqref="E18"/>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2" t="s">
        <v>1795</v>
      </c>
      <c r="B4" s="2373"/>
      <c r="C4" s="2373"/>
      <c r="D4" s="2373"/>
      <c r="E4" s="2373"/>
      <c r="F4" s="2374"/>
    </row>
    <row r="5" spans="1:6" x14ac:dyDescent="0.25">
      <c r="A5" s="2375"/>
      <c r="B5" s="2376"/>
      <c r="C5" s="2376"/>
      <c r="D5" s="2376"/>
      <c r="E5" s="2376"/>
      <c r="F5" s="2377"/>
    </row>
    <row r="6" spans="1:6" ht="18.75" x14ac:dyDescent="0.25">
      <c r="A6" s="1867" t="s">
        <v>1796</v>
      </c>
      <c r="B6" s="1868"/>
      <c r="C6" s="1869"/>
      <c r="D6" s="1869"/>
      <c r="E6" s="1869"/>
      <c r="F6" s="1870"/>
    </row>
    <row r="7" spans="1:6" ht="47.25" customHeight="1" x14ac:dyDescent="0.25">
      <c r="A7" s="2378" t="s">
        <v>1985</v>
      </c>
      <c r="B7" s="2379"/>
      <c r="C7" s="2379"/>
      <c r="D7" s="2379"/>
      <c r="E7" s="2379"/>
      <c r="F7" s="2380"/>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1" t="s">
        <v>1981</v>
      </c>
      <c r="B10" s="2382"/>
      <c r="C10" s="2382"/>
      <c r="D10" s="2382"/>
      <c r="E10" s="2382"/>
      <c r="F10" s="2383"/>
    </row>
    <row r="11" spans="1:6" ht="33" customHeight="1" x14ac:dyDescent="0.25">
      <c r="A11" s="2378" t="s">
        <v>1986</v>
      </c>
      <c r="B11" s="2379"/>
      <c r="C11" s="2379"/>
      <c r="D11" s="2379"/>
      <c r="E11" s="2379"/>
      <c r="F11" s="2380"/>
    </row>
    <row r="12" spans="1:6" ht="15" customHeight="1" x14ac:dyDescent="0.25">
      <c r="A12" s="1873" t="s">
        <v>1982</v>
      </c>
      <c r="B12" s="1874"/>
      <c r="C12" s="1875"/>
      <c r="D12" s="1875"/>
      <c r="E12" s="1875"/>
      <c r="F12" s="1876"/>
    </row>
    <row r="13" spans="1:6" ht="17.25" customHeight="1" x14ac:dyDescent="0.25">
      <c r="A13" s="2378" t="s">
        <v>1983</v>
      </c>
      <c r="B13" s="2379"/>
      <c r="C13" s="2379"/>
      <c r="D13" s="2379"/>
      <c r="E13" s="2379"/>
      <c r="F13" s="2380"/>
    </row>
    <row r="14" spans="1:6" ht="15" customHeight="1" x14ac:dyDescent="0.25">
      <c r="A14" s="1873" t="s">
        <v>1800</v>
      </c>
      <c r="B14" s="1874"/>
      <c r="C14" s="1875"/>
      <c r="D14" s="1875"/>
      <c r="E14" s="1875"/>
      <c r="F14" s="1876"/>
    </row>
    <row r="15" spans="1:6" ht="32.25" customHeight="1" x14ac:dyDescent="0.25">
      <c r="A15" s="236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0"/>
      <c r="C15" s="2370"/>
      <c r="D15" s="2370"/>
      <c r="E15" s="2370"/>
      <c r="F15" s="2371"/>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5" t="s">
        <v>2064</v>
      </c>
      <c r="B18" s="1908"/>
      <c r="C18" s="2036" t="s">
        <v>2063</v>
      </c>
      <c r="D18" s="1886">
        <v>0</v>
      </c>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J5" sqref="J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4" t="s">
        <v>1660</v>
      </c>
      <c r="B5" s="2385"/>
      <c r="C5" s="2385"/>
      <c r="D5" s="2385"/>
      <c r="E5" s="2385"/>
      <c r="F5" s="2385"/>
      <c r="G5" s="2386"/>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8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0"/>
      <c r="C11" s="2390"/>
      <c r="D11" s="2391"/>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132792</v>
      </c>
      <c r="F19" s="1802"/>
      <c r="G19" s="1804">
        <f>'Expenditures 15-22'!K33-SUM('Expenditures 15-22'!G33,'Expenditures 15-22'!I33)+'Expenditures 15-22'!D229</f>
        <v>132792</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129252</v>
      </c>
      <c r="F21" s="1805"/>
      <c r="G21" s="1808">
        <f>'Expenditures 15-22'!K42-SUM('Expenditures 15-22'!G42,'Expenditures 15-22'!I42)+'Expenditures 15-22'!K120-SUM('Expenditures 15-22'!G120,'Expenditures 15-22'!I120)+'Expenditures 15-22'!K180-SUM('Expenditures 15-22'!G180,'Expenditures 15-22'!I180)+'Expenditures 15-22'!D238</f>
        <v>129252</v>
      </c>
      <c r="H21" s="817"/>
      <c r="I21" s="157"/>
    </row>
    <row r="22" spans="1:9" s="542" customFormat="1" ht="12" customHeight="1" x14ac:dyDescent="0.2">
      <c r="A22" s="824" t="s">
        <v>560</v>
      </c>
      <c r="B22" s="825"/>
      <c r="C22" s="823">
        <v>2200</v>
      </c>
      <c r="D22" s="1805"/>
      <c r="E22" s="1807">
        <f>'Expenditures 15-22'!K47-SUM('Expenditures 15-22'!G47,'Expenditures 15-22'!I47)+'Expenditures 15-22'!D243</f>
        <v>34620</v>
      </c>
      <c r="F22" s="1805"/>
      <c r="G22" s="1808">
        <f>'Expenditures 15-22'!K47-SUM('Expenditures 15-22'!G47,'Expenditures 15-22'!I47)+'Expenditures 15-22'!D243</f>
        <v>34620</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121570</v>
      </c>
      <c r="F23" s="1805"/>
      <c r="G23" s="1807">
        <f>'Expenditures 15-22'!K53-SUM('Expenditures 15-22'!G53,'Expenditures 15-22'!I53)+'Expenditures 15-22'!D257+'Expenditures 15-22'!K330-SUM('Expenditures 15-22'!G330,'Expenditures 15-22'!I330)</f>
        <v>121570</v>
      </c>
      <c r="H23" s="817"/>
      <c r="I23" s="157"/>
    </row>
    <row r="24" spans="1:9" s="542" customFormat="1" ht="12" customHeight="1" x14ac:dyDescent="0.2">
      <c r="A24" s="824" t="s">
        <v>562</v>
      </c>
      <c r="B24" s="825"/>
      <c r="C24" s="823">
        <v>2400</v>
      </c>
      <c r="D24" s="1805"/>
      <c r="E24" s="1807">
        <f>'Expenditures 15-22'!K57-SUM('Expenditures 15-22'!G57,'Expenditures 15-22'!I57)+'Expenditures 15-22'!D261</f>
        <v>0</v>
      </c>
      <c r="F24" s="1805"/>
      <c r="G24" s="1808">
        <f>'Expenditures 15-22'!K57-SUM('Expenditures 15-22'!G57,'Expenditures 15-22'!I57)+'Expenditures 15-22'!D261</f>
        <v>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0</v>
      </c>
      <c r="E27" s="1807">
        <f>E8</f>
        <v>0</v>
      </c>
      <c r="F27" s="1807">
        <f>'Expenditures 15-22'!K60-SUM('Expenditures 15-22'!G60,'Expenditures 15-22'!I60)+'Expenditures 15-22'!D264-E8</f>
        <v>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0</v>
      </c>
      <c r="F28" s="1809">
        <f>'Expenditures 15-22'!K61-SUM('Expenditures 15-22'!G61,'Expenditures 15-22'!I61)+'Expenditures 15-22'!K124-SUM('Expenditures 15-22'!G124,'Expenditures 15-22'!I124)+'Expenditures 15-22'!D266-E9</f>
        <v>0</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0</v>
      </c>
      <c r="F29" s="1805"/>
      <c r="G29" s="180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516</v>
      </c>
      <c r="F38" s="1805"/>
      <c r="G38" s="1807">
        <f>'Expenditures 15-22'!K73-SUM('Expenditures 15-22'!G73,'Expenditures 15-22'!I73)+'Expenditures 15-22'!K128-SUM('Expenditures 15-22'!G128,'Expenditures 15-22'!I128)+'Expenditures 15-22'!K183-SUM('Expenditures 15-22'!G183,'Expenditures 15-22'!I183)+'Expenditures 15-22'!D278</f>
        <v>516</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0</v>
      </c>
      <c r="E41" s="1809">
        <f>SUM(E19:E40)</f>
        <v>418750</v>
      </c>
      <c r="F41" s="1809">
        <f>SUM(F19:F39)</f>
        <v>0</v>
      </c>
      <c r="G41" s="1809">
        <f>SUM(G19:G40)</f>
        <v>418750</v>
      </c>
    </row>
    <row r="42" spans="1:7" x14ac:dyDescent="0.2">
      <c r="A42" s="817"/>
      <c r="B42" s="157"/>
      <c r="C42" s="831"/>
      <c r="D42" s="2387" t="s">
        <v>519</v>
      </c>
      <c r="E42" s="2388"/>
      <c r="F42" s="832" t="s">
        <v>520</v>
      </c>
      <c r="G42" s="833"/>
    </row>
    <row r="43" spans="1:7" ht="12" customHeight="1" x14ac:dyDescent="0.2">
      <c r="A43" s="817"/>
      <c r="B43" s="157"/>
      <c r="C43" s="831"/>
      <c r="D43" s="1458" t="s">
        <v>470</v>
      </c>
      <c r="E43" s="1810">
        <f>D41</f>
        <v>0</v>
      </c>
      <c r="F43" s="1458" t="s">
        <v>470</v>
      </c>
      <c r="G43" s="1810">
        <f>F41</f>
        <v>0</v>
      </c>
    </row>
    <row r="44" spans="1:7" ht="12" customHeight="1" x14ac:dyDescent="0.2">
      <c r="A44" s="817"/>
      <c r="B44" s="157"/>
      <c r="C44" s="831"/>
      <c r="D44" s="1458" t="s">
        <v>471</v>
      </c>
      <c r="E44" s="1810">
        <f>E41</f>
        <v>418750</v>
      </c>
      <c r="F44" s="1458" t="s">
        <v>471</v>
      </c>
      <c r="G44" s="1810">
        <f>G41</f>
        <v>418750</v>
      </c>
    </row>
    <row r="45" spans="1:7" ht="12" customHeight="1" x14ac:dyDescent="0.2">
      <c r="A45" s="817"/>
      <c r="B45" s="157"/>
      <c r="C45" s="157"/>
      <c r="D45" s="1459" t="s">
        <v>999</v>
      </c>
      <c r="E45" s="1811">
        <f>(E43/E44)</f>
        <v>0</v>
      </c>
      <c r="F45" s="1459" t="s">
        <v>999</v>
      </c>
      <c r="G45" s="1811">
        <f>(G43/G44)</f>
        <v>0</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C9" sqref="C9"/>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6" t="s">
        <v>1363</v>
      </c>
      <c r="B1" s="2406"/>
      <c r="C1" s="2406"/>
      <c r="D1" s="2406"/>
      <c r="E1" s="2406"/>
      <c r="F1" s="2406"/>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7" t="s">
        <v>1529</v>
      </c>
      <c r="B5" s="2408"/>
      <c r="C5" s="2409"/>
      <c r="D5" s="2409"/>
      <c r="E5" s="2409"/>
      <c r="F5" s="2409"/>
      <c r="G5" s="1507"/>
      <c r="L5" s="1507"/>
      <c r="M5" s="1855"/>
      <c r="N5" s="1855"/>
      <c r="O5" s="1855"/>
    </row>
    <row r="6" spans="1:15" ht="12" customHeight="1" x14ac:dyDescent="0.25">
      <c r="A6" s="1480"/>
      <c r="B6" s="1481"/>
      <c r="C6" s="2410" t="str">
        <f>COVER!A17</f>
        <v xml:space="preserve"> Regional Office of Car/Tech Educ</v>
      </c>
      <c r="D6" s="2410"/>
      <c r="E6" s="2410"/>
      <c r="F6" s="1482"/>
      <c r="G6" s="1507"/>
      <c r="L6" s="1507"/>
      <c r="M6" s="1855"/>
      <c r="N6" s="1855"/>
      <c r="O6" s="1855"/>
    </row>
    <row r="7" spans="1:15" ht="11.25" customHeight="1" thickBot="1" x14ac:dyDescent="0.3">
      <c r="A7" s="1480"/>
      <c r="B7" s="1481"/>
      <c r="C7" s="2411">
        <f>COVER!A13</f>
        <v>51084731045</v>
      </c>
      <c r="D7" s="2411"/>
      <c r="E7" s="2411"/>
      <c r="F7" s="1482"/>
      <c r="G7" s="1507"/>
      <c r="L7" s="1507"/>
      <c r="M7" s="1855"/>
      <c r="N7" s="1855"/>
      <c r="O7" s="1855"/>
    </row>
    <row r="8" spans="1:15" ht="25.5" customHeight="1" thickBot="1" x14ac:dyDescent="0.25">
      <c r="A8" s="1519" t="s">
        <v>1874</v>
      </c>
      <c r="B8" s="1483" t="s">
        <v>2051</v>
      </c>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0</v>
      </c>
      <c r="I34" s="1507">
        <f>SUM(I11:I32)</f>
        <v>0</v>
      </c>
      <c r="J34" s="1507">
        <f>SUM(J11:J32)</f>
        <v>0</v>
      </c>
      <c r="K34" s="1507">
        <f>SUM(H34:J34)</f>
        <v>0</v>
      </c>
      <c r="L34" s="1507"/>
      <c r="M34" s="1855"/>
      <c r="N34" s="1855"/>
      <c r="O34" s="1855"/>
    </row>
    <row r="35" spans="1:15" ht="12" customHeight="1" x14ac:dyDescent="0.2">
      <c r="A35" s="1500" t="s">
        <v>1376</v>
      </c>
      <c r="B35" s="1501"/>
      <c r="C35" s="2412"/>
      <c r="D35" s="2412"/>
      <c r="E35" s="2412"/>
      <c r="F35" s="2413"/>
    </row>
    <row r="36" spans="1:15" ht="12" customHeight="1" x14ac:dyDescent="0.2">
      <c r="A36" s="2395"/>
      <c r="B36" s="2396"/>
      <c r="C36" s="2396"/>
      <c r="D36" s="2396"/>
      <c r="E36" s="2396"/>
      <c r="F36" s="2397"/>
    </row>
    <row r="37" spans="1:15" ht="12" customHeight="1" x14ac:dyDescent="0.2">
      <c r="A37" s="2395"/>
      <c r="B37" s="2396"/>
      <c r="C37" s="2396"/>
      <c r="D37" s="2396"/>
      <c r="E37" s="2396"/>
      <c r="F37" s="2397"/>
    </row>
    <row r="38" spans="1:15" ht="12" customHeight="1" x14ac:dyDescent="0.2">
      <c r="A38" s="2398"/>
      <c r="B38" s="2399"/>
      <c r="C38" s="2399"/>
      <c r="D38" s="2399"/>
      <c r="E38" s="2399"/>
      <c r="F38" s="2400"/>
    </row>
    <row r="39" spans="1:15" ht="4.5" hidden="1" customHeight="1" x14ac:dyDescent="0.2">
      <c r="A39" s="1502"/>
      <c r="B39" s="1502"/>
      <c r="C39" s="1502"/>
      <c r="D39" s="1502"/>
      <c r="E39" s="1502"/>
      <c r="F39" s="1502"/>
    </row>
    <row r="40" spans="1:15" s="1499" customFormat="1" ht="12" customHeight="1" x14ac:dyDescent="0.25">
      <c r="A40" s="1503" t="s">
        <v>1375</v>
      </c>
      <c r="B40" s="1504"/>
      <c r="C40" s="2401"/>
      <c r="D40" s="2401"/>
      <c r="E40" s="2401"/>
      <c r="F40" s="2402"/>
      <c r="H40" s="1508"/>
      <c r="I40" s="1508"/>
      <c r="J40" s="1508"/>
      <c r="K40" s="1508"/>
    </row>
    <row r="41" spans="1:15" s="1499" customFormat="1" ht="12" customHeight="1" x14ac:dyDescent="0.25">
      <c r="A41" s="2403"/>
      <c r="B41" s="2404"/>
      <c r="C41" s="2404"/>
      <c r="D41" s="2404"/>
      <c r="E41" s="2404"/>
      <c r="F41" s="2405"/>
      <c r="H41" s="1508"/>
      <c r="I41" s="1508"/>
      <c r="J41" s="1508"/>
      <c r="K41" s="1508"/>
    </row>
    <row r="42" spans="1:15" s="1499" customFormat="1" ht="12" customHeight="1" x14ac:dyDescent="0.25">
      <c r="A42" s="2403"/>
      <c r="B42" s="2404"/>
      <c r="C42" s="2404"/>
      <c r="D42" s="2404"/>
      <c r="E42" s="2404"/>
      <c r="F42" s="2405"/>
      <c r="H42" s="1508"/>
      <c r="I42" s="1508"/>
      <c r="J42" s="1508"/>
      <c r="K42" s="1508"/>
    </row>
    <row r="43" spans="1:15" s="1499" customFormat="1" ht="15" x14ac:dyDescent="0.25">
      <c r="A43" s="2392"/>
      <c r="B43" s="2393"/>
      <c r="C43" s="2393"/>
      <c r="D43" s="2393"/>
      <c r="E43" s="2393"/>
      <c r="F43" s="2394"/>
      <c r="H43" s="1508"/>
      <c r="I43" s="1508"/>
      <c r="J43" s="1508"/>
      <c r="K43" s="1508"/>
    </row>
    <row r="44" spans="1:15" s="1499" customFormat="1" ht="12" hidden="1" customHeight="1" x14ac:dyDescent="0.25">
      <c r="A44" s="2392"/>
      <c r="B44" s="2393"/>
      <c r="C44" s="2393"/>
      <c r="D44" s="2393"/>
      <c r="E44" s="2393"/>
      <c r="F44" s="2394"/>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2" t="str">
        <f>COVER!A17</f>
        <v xml:space="preserve"> Regional Office of Car/Tech Educ</v>
      </c>
      <c r="K6" s="2432"/>
      <c r="L6" s="2446"/>
      <c r="M6" s="838"/>
      <c r="N6" s="1998"/>
    </row>
    <row r="7" spans="1:14" x14ac:dyDescent="0.2">
      <c r="A7" s="2447" t="s">
        <v>864</v>
      </c>
      <c r="B7" s="2448"/>
      <c r="C7" s="2448"/>
      <c r="D7" s="2448"/>
      <c r="E7" s="2449"/>
      <c r="F7" s="839"/>
      <c r="G7" s="838"/>
      <c r="H7" s="838"/>
      <c r="I7" s="1924" t="s">
        <v>369</v>
      </c>
      <c r="J7" s="2434">
        <f>COVER!A13</f>
        <v>51084731045</v>
      </c>
      <c r="K7" s="2434"/>
      <c r="L7" s="2434"/>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50" t="s">
        <v>478</v>
      </c>
      <c r="B11" s="2451"/>
      <c r="C11" s="2452"/>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121570</v>
      </c>
      <c r="F12" s="1942"/>
      <c r="G12" s="1968">
        <f>G68</f>
        <v>0</v>
      </c>
      <c r="H12" s="1944">
        <f t="shared" ref="H12:H18" si="0">SUM(E12:G12)</f>
        <v>121570</v>
      </c>
      <c r="I12" s="1943"/>
      <c r="J12" s="1942"/>
      <c r="K12" s="1943"/>
      <c r="L12" s="1944">
        <f t="shared" ref="L12:L18" si="1">SUM(I12:K12)</f>
        <v>0</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53" t="s">
        <v>7</v>
      </c>
      <c r="C18" s="2454"/>
      <c r="D18" s="2455"/>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121570</v>
      </c>
      <c r="F19" s="1950">
        <f t="shared" si="2"/>
        <v>0</v>
      </c>
      <c r="G19" s="1950">
        <f t="shared" ref="G19" si="3">SUM(G12:G17)-G18</f>
        <v>0</v>
      </c>
      <c r="H19" s="1950">
        <f t="shared" si="2"/>
        <v>121570</v>
      </c>
      <c r="I19" s="1950">
        <f t="shared" si="2"/>
        <v>0</v>
      </c>
      <c r="J19" s="1950">
        <f t="shared" si="2"/>
        <v>0</v>
      </c>
      <c r="K19" s="1950">
        <f t="shared" si="2"/>
        <v>0</v>
      </c>
      <c r="L19" s="1950">
        <f t="shared" si="2"/>
        <v>0</v>
      </c>
      <c r="M19" s="838"/>
      <c r="N19" s="1998"/>
    </row>
    <row r="20" spans="1:14" ht="13.5" thickTop="1" x14ac:dyDescent="0.2">
      <c r="A20" s="2003">
        <v>9</v>
      </c>
      <c r="B20" s="2456" t="s">
        <v>2021</v>
      </c>
      <c r="C20" s="2456"/>
      <c r="D20" s="2457"/>
      <c r="E20" s="1951"/>
      <c r="F20" s="1951"/>
      <c r="G20" s="1951"/>
      <c r="H20" s="1951"/>
      <c r="I20" s="1951"/>
      <c r="J20" s="1951"/>
      <c r="K20" s="1951"/>
      <c r="L20" s="1952" t="str">
        <f>IF(AND(H19&gt;0,L19&gt;0),(((L19-H19)/H19)),"Enter Budget Data")</f>
        <v>Enter Budget Data</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58"/>
      <c r="D27" s="2458"/>
      <c r="E27" s="843"/>
      <c r="F27" s="2459"/>
      <c r="G27" s="2459"/>
      <c r="H27" s="2459"/>
      <c r="I27" s="838"/>
      <c r="J27" s="838"/>
      <c r="K27" s="838"/>
      <c r="L27" s="838"/>
      <c r="M27" s="838"/>
      <c r="N27" s="1998"/>
    </row>
    <row r="28" spans="1:14" x14ac:dyDescent="0.2">
      <c r="A28" s="1997"/>
      <c r="B28" s="2007"/>
      <c r="C28" s="1957" t="s">
        <v>1026</v>
      </c>
      <c r="D28" s="844"/>
      <c r="E28" s="1958"/>
      <c r="F28" s="2460" t="s">
        <v>1492</v>
      </c>
      <c r="G28" s="2460"/>
      <c r="H28" s="2460"/>
      <c r="I28" s="838"/>
      <c r="J28" s="838"/>
      <c r="K28" s="838"/>
      <c r="L28" s="838"/>
      <c r="M28" s="838"/>
      <c r="N28" s="1998"/>
    </row>
    <row r="29" spans="1:14" x14ac:dyDescent="0.2">
      <c r="A29" s="1997"/>
      <c r="B29" s="2007"/>
      <c r="C29" s="2461"/>
      <c r="D29" s="2461"/>
      <c r="E29" s="845"/>
      <c r="F29" s="2461"/>
      <c r="G29" s="2461"/>
      <c r="H29" s="2461"/>
      <c r="I29" s="838"/>
      <c r="J29" s="838"/>
      <c r="K29" s="838"/>
      <c r="L29" s="838"/>
      <c r="M29" s="838"/>
      <c r="N29" s="1998"/>
    </row>
    <row r="30" spans="1:14" x14ac:dyDescent="0.2">
      <c r="A30" s="1997"/>
      <c r="B30" s="2007"/>
      <c r="C30" s="1960" t="s">
        <v>1544</v>
      </c>
      <c r="D30" s="838"/>
      <c r="E30" s="1959"/>
      <c r="F30" s="2445" t="s">
        <v>1493</v>
      </c>
      <c r="G30" s="2445"/>
      <c r="H30" s="2445"/>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22" t="s">
        <v>2024</v>
      </c>
      <c r="D34" s="2423"/>
      <c r="E34" s="2423"/>
      <c r="F34" s="2423"/>
      <c r="G34" s="2423"/>
      <c r="H34" s="2423"/>
      <c r="I34" s="2423"/>
      <c r="J34" s="2423"/>
      <c r="K34" s="2016"/>
      <c r="L34" s="838"/>
      <c r="M34" s="838"/>
      <c r="N34" s="1998"/>
    </row>
    <row r="35" spans="1:14" x14ac:dyDescent="0.2">
      <c r="A35" s="1997"/>
      <c r="B35" s="838"/>
      <c r="C35" s="2423"/>
      <c r="D35" s="2423"/>
      <c r="E35" s="2423"/>
      <c r="F35" s="2423"/>
      <c r="G35" s="2423"/>
      <c r="H35" s="2423"/>
      <c r="I35" s="2423"/>
      <c r="J35" s="2423"/>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2" t="s">
        <v>2025</v>
      </c>
      <c r="D37" s="2423"/>
      <c r="E37" s="2423"/>
      <c r="F37" s="2423"/>
      <c r="G37" s="2423"/>
      <c r="H37" s="2423"/>
      <c r="I37" s="2423"/>
      <c r="J37" s="2423"/>
      <c r="K37" s="2016"/>
      <c r="L37" s="2018"/>
      <c r="M37" s="838"/>
      <c r="N37" s="1998"/>
    </row>
    <row r="38" spans="1:14" x14ac:dyDescent="0.2">
      <c r="A38" s="1997"/>
      <c r="B38" s="838"/>
      <c r="C38" s="2423"/>
      <c r="D38" s="2423"/>
      <c r="E38" s="2423"/>
      <c r="F38" s="2423"/>
      <c r="G38" s="2423"/>
      <c r="H38" s="2423"/>
      <c r="I38" s="2423"/>
      <c r="J38" s="2423"/>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24" t="s">
        <v>2026</v>
      </c>
      <c r="D40" s="2425"/>
      <c r="E40" s="2425"/>
      <c r="F40" s="2425"/>
      <c r="G40" s="2425"/>
      <c r="H40" s="2425"/>
      <c r="I40" s="2425"/>
      <c r="J40" s="2425"/>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26" t="s">
        <v>2027</v>
      </c>
      <c r="B43" s="2427"/>
      <c r="C43" s="2427"/>
      <c r="D43" s="2427"/>
      <c r="E43" s="2427"/>
      <c r="F43" s="2427"/>
      <c r="G43" s="2427"/>
      <c r="H43" s="2427"/>
      <c r="I43" s="2427"/>
      <c r="J43" s="2427"/>
      <c r="K43" s="2427"/>
      <c r="L43" s="2427"/>
      <c r="M43" s="2427"/>
      <c r="N43" s="2428"/>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29" t="s">
        <v>2029</v>
      </c>
      <c r="B46" s="2430"/>
      <c r="C46" s="2430"/>
      <c r="D46" s="2430"/>
      <c r="E46" s="2430"/>
      <c r="F46" s="2430"/>
      <c r="G46" s="2430"/>
      <c r="H46" s="2430"/>
      <c r="I46" s="2430"/>
      <c r="J46" s="2430"/>
      <c r="K46" s="2430"/>
      <c r="L46" s="2430"/>
      <c r="M46" s="2430"/>
      <c r="N46" s="2431"/>
    </row>
    <row r="47" spans="1:14" x14ac:dyDescent="0.2">
      <c r="A47" s="2429"/>
      <c r="B47" s="2430"/>
      <c r="C47" s="2430"/>
      <c r="D47" s="2430"/>
      <c r="E47" s="2430"/>
      <c r="F47" s="2430"/>
      <c r="G47" s="2430"/>
      <c r="H47" s="2430"/>
      <c r="I47" s="2430"/>
      <c r="J47" s="2430"/>
      <c r="K47" s="2430"/>
      <c r="L47" s="2430"/>
      <c r="M47" s="2430"/>
      <c r="N47" s="2431"/>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2" t="str">
        <f>J6</f>
        <v xml:space="preserve"> Regional Office of Car/Tech Educ</v>
      </c>
      <c r="M52" s="2432"/>
      <c r="N52" s="2433"/>
    </row>
    <row r="53" spans="1:14" x14ac:dyDescent="0.2">
      <c r="A53" s="1982"/>
      <c r="B53" s="1983"/>
      <c r="C53" s="1983"/>
      <c r="D53" s="1983"/>
      <c r="E53" s="1983"/>
      <c r="F53" s="1983"/>
      <c r="G53" s="1983"/>
      <c r="H53" s="1983"/>
      <c r="I53" s="1983"/>
      <c r="J53" s="1983"/>
      <c r="K53" s="1924" t="s">
        <v>369</v>
      </c>
      <c r="L53" s="2434">
        <f>J7</f>
        <v>51084731045</v>
      </c>
      <c r="M53" s="2434"/>
      <c r="N53" s="2435"/>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36"/>
      <c r="B55" s="2437"/>
      <c r="C55" s="2437"/>
      <c r="D55" s="1970"/>
      <c r="E55" s="1970"/>
      <c r="F55" s="1970"/>
      <c r="G55" s="2438" t="s">
        <v>2030</v>
      </c>
      <c r="H55" s="2438"/>
      <c r="I55" s="2438"/>
      <c r="J55" s="2438"/>
      <c r="K55" s="2438"/>
      <c r="L55" s="2438"/>
      <c r="M55" s="2438"/>
      <c r="N55" s="2439"/>
    </row>
    <row r="56" spans="1:14" ht="63.75" x14ac:dyDescent="0.2">
      <c r="A56" s="2440" t="s">
        <v>2031</v>
      </c>
      <c r="B56" s="2441"/>
      <c r="C56" s="2442"/>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43" t="s">
        <v>296</v>
      </c>
      <c r="B57" s="2444"/>
      <c r="C57" s="2444"/>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0" t="s">
        <v>2041</v>
      </c>
      <c r="B58" s="2421"/>
      <c r="C58" s="2421"/>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14" t="s">
        <v>297</v>
      </c>
      <c r="B59" s="2415"/>
      <c r="C59" s="2415"/>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14" t="s">
        <v>236</v>
      </c>
      <c r="B60" s="2415"/>
      <c r="C60" s="2415"/>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14" t="s">
        <v>697</v>
      </c>
      <c r="B61" s="2415"/>
      <c r="C61" s="2415"/>
      <c r="D61" s="1967">
        <v>2365</v>
      </c>
      <c r="E61" s="1977">
        <f>'Expenditures 15-22'!K323</f>
        <v>0</v>
      </c>
      <c r="F61" s="1972"/>
      <c r="G61" s="2031"/>
      <c r="H61" s="2032"/>
      <c r="I61" s="2032"/>
      <c r="J61" s="2032"/>
      <c r="K61" s="2032"/>
      <c r="L61" s="2032"/>
      <c r="M61" s="2032"/>
      <c r="N61" s="1975">
        <f t="shared" si="4"/>
        <v>0</v>
      </c>
    </row>
    <row r="62" spans="1:14" ht="24" customHeight="1" x14ac:dyDescent="0.2">
      <c r="A62" s="2414" t="s">
        <v>237</v>
      </c>
      <c r="B62" s="2415"/>
      <c r="C62" s="2415"/>
      <c r="D62" s="1967">
        <v>2366</v>
      </c>
      <c r="E62" s="1977">
        <f>'Expenditures 15-22'!K324</f>
        <v>0</v>
      </c>
      <c r="F62" s="1972"/>
      <c r="G62" s="2031"/>
      <c r="H62" s="2032"/>
      <c r="I62" s="2032"/>
      <c r="J62" s="2032"/>
      <c r="K62" s="2032"/>
      <c r="L62" s="2032"/>
      <c r="M62" s="2032"/>
      <c r="N62" s="1975">
        <f t="shared" si="4"/>
        <v>0</v>
      </c>
    </row>
    <row r="63" spans="1:14" ht="24" customHeight="1" x14ac:dyDescent="0.2">
      <c r="A63" s="2420" t="s">
        <v>1022</v>
      </c>
      <c r="B63" s="2421"/>
      <c r="C63" s="2421"/>
      <c r="D63" s="1967">
        <v>2367</v>
      </c>
      <c r="E63" s="1977">
        <f>'Expenditures 15-22'!K325</f>
        <v>0</v>
      </c>
      <c r="F63" s="1972"/>
      <c r="G63" s="2031"/>
      <c r="H63" s="2032"/>
      <c r="I63" s="2032"/>
      <c r="J63" s="2032"/>
      <c r="K63" s="2032"/>
      <c r="L63" s="2032"/>
      <c r="M63" s="2032"/>
      <c r="N63" s="1975">
        <f t="shared" si="4"/>
        <v>0</v>
      </c>
    </row>
    <row r="64" spans="1:14" ht="24" customHeight="1" x14ac:dyDescent="0.2">
      <c r="A64" s="2414" t="s">
        <v>1023</v>
      </c>
      <c r="B64" s="2415"/>
      <c r="C64" s="2415"/>
      <c r="D64" s="1967">
        <v>2368</v>
      </c>
      <c r="E64" s="1977">
        <f>'Expenditures 15-22'!K326</f>
        <v>0</v>
      </c>
      <c r="F64" s="1972"/>
      <c r="G64" s="2031"/>
      <c r="H64" s="2032"/>
      <c r="I64" s="2032"/>
      <c r="J64" s="2032"/>
      <c r="K64" s="2032"/>
      <c r="L64" s="2032"/>
      <c r="M64" s="2032"/>
      <c r="N64" s="1975">
        <f t="shared" si="4"/>
        <v>0</v>
      </c>
    </row>
    <row r="65" spans="1:14" ht="24" customHeight="1" x14ac:dyDescent="0.2">
      <c r="A65" s="2414" t="s">
        <v>965</v>
      </c>
      <c r="B65" s="2415"/>
      <c r="C65" s="2415"/>
      <c r="D65" s="1967">
        <v>2369</v>
      </c>
      <c r="E65" s="1977">
        <f>'Expenditures 15-22'!K327</f>
        <v>0</v>
      </c>
      <c r="F65" s="1972"/>
      <c r="G65" s="2031"/>
      <c r="H65" s="2032"/>
      <c r="I65" s="2032"/>
      <c r="J65" s="2032"/>
      <c r="K65" s="2032"/>
      <c r="L65" s="2032"/>
      <c r="M65" s="2032"/>
      <c r="N65" s="1975">
        <f t="shared" si="4"/>
        <v>0</v>
      </c>
    </row>
    <row r="66" spans="1:14" ht="24" customHeight="1" x14ac:dyDescent="0.2">
      <c r="A66" s="2414" t="s">
        <v>469</v>
      </c>
      <c r="B66" s="2415"/>
      <c r="C66" s="2415"/>
      <c r="D66" s="1967">
        <v>2371</v>
      </c>
      <c r="E66" s="1977">
        <f>'Expenditures 15-22'!K328</f>
        <v>0</v>
      </c>
      <c r="F66" s="1972"/>
      <c r="G66" s="2031"/>
      <c r="H66" s="2032"/>
      <c r="I66" s="2032"/>
      <c r="J66" s="2032"/>
      <c r="K66" s="2032"/>
      <c r="L66" s="2032"/>
      <c r="M66" s="2032"/>
      <c r="N66" s="1975">
        <f t="shared" si="4"/>
        <v>0</v>
      </c>
    </row>
    <row r="67" spans="1:14" ht="24.75" customHeight="1" x14ac:dyDescent="0.2">
      <c r="A67" s="2416" t="s">
        <v>2042</v>
      </c>
      <c r="B67" s="2417"/>
      <c r="C67" s="2417"/>
      <c r="D67" s="1969">
        <v>2372</v>
      </c>
      <c r="E67" s="1978">
        <f>'Expenditures 15-22'!K329</f>
        <v>0</v>
      </c>
      <c r="F67" s="1972"/>
      <c r="G67" s="2033"/>
      <c r="H67" s="2034"/>
      <c r="I67" s="2034"/>
      <c r="J67" s="2034"/>
      <c r="K67" s="2034"/>
      <c r="L67" s="2034"/>
      <c r="M67" s="2034"/>
      <c r="N67" s="1975">
        <f t="shared" si="4"/>
        <v>0</v>
      </c>
    </row>
    <row r="68" spans="1:14" x14ac:dyDescent="0.2">
      <c r="A68" s="2418" t="s">
        <v>1151</v>
      </c>
      <c r="B68" s="2419"/>
      <c r="C68" s="2419"/>
      <c r="D68" s="1970"/>
      <c r="E68" s="1974">
        <f>SUM(E57:E67)</f>
        <v>0</v>
      </c>
      <c r="F68" s="1973"/>
      <c r="G68" s="1974">
        <f t="shared" ref="G68:N68" si="5">SUM(G57:G67)</f>
        <v>0</v>
      </c>
      <c r="H68" s="1974">
        <f t="shared" si="5"/>
        <v>0</v>
      </c>
      <c r="I68" s="1974">
        <f t="shared" si="5"/>
        <v>0</v>
      </c>
      <c r="J68" s="1974">
        <f t="shared" si="5"/>
        <v>0</v>
      </c>
      <c r="K68" s="1974">
        <f t="shared" si="5"/>
        <v>0</v>
      </c>
      <c r="L68" s="1974">
        <f t="shared" si="5"/>
        <v>0</v>
      </c>
      <c r="M68" s="1974">
        <f t="shared" si="5"/>
        <v>0</v>
      </c>
      <c r="N68" s="1988">
        <f t="shared" si="5"/>
        <v>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Regional Office of Car/Tech Educ</v>
      </c>
    </row>
    <row r="65" spans="2:2" x14ac:dyDescent="0.2">
      <c r="B65" s="849">
        <f>COVER!A13</f>
        <v>51084731045</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48" t="s">
        <v>1056</v>
      </c>
      <c r="B35" s="2148"/>
      <c r="C35" s="2148"/>
      <c r="D35" s="2148"/>
      <c r="E35" s="214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5" t="s">
        <v>686</v>
      </c>
      <c r="B40" s="2145"/>
      <c r="C40" s="2145"/>
      <c r="D40" s="2145"/>
      <c r="E40" s="2145"/>
    </row>
    <row r="41" spans="1:5" x14ac:dyDescent="0.2">
      <c r="A41" s="2146" t="s">
        <v>1591</v>
      </c>
      <c r="B41" s="2146"/>
      <c r="C41" s="2146"/>
      <c r="D41" s="2146"/>
      <c r="E41" s="2146"/>
    </row>
    <row r="42" spans="1:5" ht="12.75" customHeight="1" x14ac:dyDescent="0.2">
      <c r="A42" s="2147" t="s">
        <v>1015</v>
      </c>
      <c r="B42" s="2147"/>
      <c r="C42" s="2147"/>
      <c r="D42" s="2147"/>
      <c r="E42" s="2147"/>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2" t="s">
        <v>1665</v>
      </c>
      <c r="B18" s="2462"/>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742950</xdr:colOff>
                <xdr:row>4</xdr:row>
                <xdr:rowOff>85725</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J4" sqref="J4"/>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3" t="s">
        <v>1669</v>
      </c>
      <c r="B1" s="2464"/>
      <c r="C1" s="2464"/>
      <c r="D1" s="2464"/>
      <c r="E1" s="2464"/>
      <c r="F1" s="2465"/>
    </row>
    <row r="2" spans="1:8" ht="45" customHeight="1" x14ac:dyDescent="0.2">
      <c r="A2" s="247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4"/>
      <c r="C2" s="2474"/>
      <c r="D2" s="2474"/>
      <c r="E2" s="2474"/>
      <c r="F2" s="2475"/>
      <c r="G2" s="853"/>
      <c r="H2" s="853"/>
    </row>
    <row r="3" spans="1:8" ht="57" customHeight="1" x14ac:dyDescent="0.2">
      <c r="A3" s="2476" t="s">
        <v>1972</v>
      </c>
      <c r="B3" s="2477"/>
      <c r="C3" s="2477"/>
      <c r="D3" s="2477"/>
      <c r="E3" s="2477"/>
      <c r="F3" s="2478"/>
      <c r="G3" s="853"/>
      <c r="H3" s="853"/>
    </row>
    <row r="4" spans="1:8" ht="14.25" customHeight="1" x14ac:dyDescent="0.2">
      <c r="A4" s="248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3"/>
      <c r="C4" s="2483"/>
      <c r="D4" s="2483"/>
      <c r="E4" s="2483"/>
      <c r="F4" s="2484"/>
      <c r="G4" s="853"/>
      <c r="H4" s="853"/>
    </row>
    <row r="5" spans="1:8" ht="14.25" customHeight="1" x14ac:dyDescent="0.2">
      <c r="A5" s="248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86"/>
      <c r="C5" s="2486"/>
      <c r="D5" s="2486"/>
      <c r="E5" s="2486"/>
      <c r="F5" s="2487"/>
      <c r="G5" s="853"/>
      <c r="H5" s="853"/>
    </row>
    <row r="6" spans="1:8" s="854" customFormat="1" ht="41.25" customHeight="1" x14ac:dyDescent="0.2">
      <c r="A6" s="2479" t="s">
        <v>1670</v>
      </c>
      <c r="B6" s="2480"/>
      <c r="C6" s="2480"/>
      <c r="D6" s="2480"/>
      <c r="E6" s="2480"/>
      <c r="F6" s="2481"/>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1267052</v>
      </c>
      <c r="C8" s="1813">
        <f>'Acct Summary 7-8'!D8</f>
        <v>0</v>
      </c>
      <c r="D8" s="1813">
        <f>'Acct Summary 7-8'!F8</f>
        <v>0</v>
      </c>
      <c r="E8" s="1813">
        <f>'Acct Summary 7-8'!I8</f>
        <v>0</v>
      </c>
      <c r="F8" s="1813">
        <f>SUM(B8:E8)</f>
        <v>1267052</v>
      </c>
    </row>
    <row r="9" spans="1:8" s="858" customFormat="1" ht="14.25" customHeight="1" thickBot="1" x14ac:dyDescent="0.25">
      <c r="A9" s="857" t="s">
        <v>1353</v>
      </c>
      <c r="B9" s="1814">
        <f>'Acct Summary 7-8'!C17</f>
        <v>1233448</v>
      </c>
      <c r="C9" s="1814">
        <f>'Acct Summary 7-8'!D17</f>
        <v>0</v>
      </c>
      <c r="D9" s="1814">
        <f>'Acct Summary 7-8'!F17</f>
        <v>0</v>
      </c>
      <c r="E9" s="1813"/>
      <c r="F9" s="1813">
        <f>SUM(B9:E9)</f>
        <v>1233448</v>
      </c>
    </row>
    <row r="10" spans="1:8" s="858" customFormat="1" ht="14.25" thickTop="1" thickBot="1" x14ac:dyDescent="0.25">
      <c r="A10" s="859" t="s">
        <v>1354</v>
      </c>
      <c r="B10" s="1815">
        <f>(B8-B9)</f>
        <v>33604</v>
      </c>
      <c r="C10" s="1815">
        <f>(C8-C9)</f>
        <v>0</v>
      </c>
      <c r="D10" s="1815">
        <f>(D8-D9)</f>
        <v>0</v>
      </c>
      <c r="E10" s="1814">
        <f>(E8-E9)</f>
        <v>0</v>
      </c>
      <c r="F10" s="1816">
        <f>SUM(F8-F9)</f>
        <v>33604</v>
      </c>
    </row>
    <row r="11" spans="1:8" s="858" customFormat="1" ht="14.25" thickTop="1" thickBot="1" x14ac:dyDescent="0.25">
      <c r="A11" s="860" t="s">
        <v>1903</v>
      </c>
      <c r="B11" s="1817">
        <f>'Acct Summary 7-8'!C81</f>
        <v>71104</v>
      </c>
      <c r="C11" s="1817">
        <f>'Acct Summary 7-8'!D81</f>
        <v>0</v>
      </c>
      <c r="D11" s="1817">
        <f>'Acct Summary 7-8'!F81</f>
        <v>0</v>
      </c>
      <c r="E11" s="1817">
        <f>'Acct Summary 7-8'!I81</f>
        <v>0</v>
      </c>
      <c r="F11" s="1818">
        <f>SUM(B11:E11)</f>
        <v>71104</v>
      </c>
    </row>
    <row r="12" spans="1:8" ht="16.5" customHeight="1" thickTop="1" x14ac:dyDescent="0.2">
      <c r="A12" s="861"/>
      <c r="B12" s="862"/>
      <c r="C12" s="2467" t="str">
        <f>IF(AND(F10&lt;0,F11&gt;=0,ABS(F10*3)&gt;ABS(F11)),A16,IF(AND(F10&lt;0,F11&gt;0,ABS(F10*3)&lt;=ABS(F11)),A17,IF(AND(F10&lt;0,F11&lt;0),A16,IF(F11=0,A19,A18))))</f>
        <v>Balanced - no deficit reduction plan is required.</v>
      </c>
      <c r="D12" s="2468"/>
      <c r="E12" s="2468"/>
      <c r="F12" s="2469"/>
    </row>
    <row r="13" spans="1:8" ht="19.5" customHeight="1" x14ac:dyDescent="0.2">
      <c r="A13" s="863"/>
      <c r="B13" s="864"/>
      <c r="C13" s="2467"/>
      <c r="D13" s="2468"/>
      <c r="E13" s="2468"/>
      <c r="F13" s="2469"/>
      <c r="H13" s="853"/>
    </row>
    <row r="14" spans="1:8" ht="19.5" customHeight="1" x14ac:dyDescent="0.2">
      <c r="A14" s="863"/>
      <c r="B14" s="864"/>
      <c r="C14" s="2467"/>
      <c r="D14" s="2468"/>
      <c r="E14" s="2468"/>
      <c r="F14" s="2469"/>
      <c r="H14" s="853"/>
    </row>
    <row r="15" spans="1:8" ht="17.25" customHeight="1" x14ac:dyDescent="0.2">
      <c r="A15" s="863"/>
      <c r="B15" s="864"/>
      <c r="C15" s="2470"/>
      <c r="D15" s="2471"/>
      <c r="E15" s="2471"/>
      <c r="F15" s="2472"/>
      <c r="H15" s="853"/>
    </row>
    <row r="16" spans="1:8" s="288" customFormat="1" ht="51.75" hidden="1" customHeight="1" x14ac:dyDescent="0.2">
      <c r="A16" s="2466" t="s">
        <v>1666</v>
      </c>
      <c r="B16" s="2466"/>
      <c r="C16" s="2466"/>
      <c r="D16" s="2466"/>
      <c r="E16" s="2466"/>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4" colorId="8" zoomScale="110" zoomScaleNormal="110" workbookViewId="0">
      <selection activeCell="H73" sqref="H73"/>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88" t="s">
        <v>660</v>
      </c>
      <c r="B3" s="2489"/>
      <c r="C3" s="2489"/>
      <c r="D3" s="2490"/>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499" t="s">
        <v>1487</v>
      </c>
      <c r="D7" s="2500"/>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1" t="s">
        <v>1001</v>
      </c>
      <c r="B15" s="2492"/>
      <c r="C15" s="2492"/>
      <c r="D15" s="2493"/>
    </row>
    <row r="16" spans="1:4" s="542" customFormat="1" ht="24" customHeight="1" x14ac:dyDescent="0.2">
      <c r="A16" s="2494" t="s">
        <v>658</v>
      </c>
      <c r="B16" s="2495"/>
      <c r="C16" s="2495"/>
      <c r="D16" s="2496"/>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3" t="s">
        <v>311</v>
      </c>
      <c r="D21" s="2504"/>
    </row>
    <row r="22" spans="1:10" ht="12.75" x14ac:dyDescent="0.2">
      <c r="A22" s="918"/>
      <c r="B22" s="919">
        <v>2</v>
      </c>
      <c r="C22" s="2501" t="s">
        <v>1507</v>
      </c>
      <c r="D22" s="2502"/>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1321</v>
      </c>
      <c r="D24" s="921" t="str">
        <f>IF(COVER!O11="X","OK",IF(AND('Aud Quest 2'!J90=0,'Aud Quest 2'!I77&lt;DATE(2017,12,31)),"ENTER ACCOUNTING INFO",IF(AND('Aud Quest 2'!J90&gt;0,'Aud Quest 2'!I77&lt;DATE(2017,12,31)),"OK")))</f>
        <v>ENTER ACCOUNTING INFO</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05" t="s">
        <v>533</v>
      </c>
      <c r="D43" s="2506"/>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497" t="s">
        <v>779</v>
      </c>
      <c r="D56" s="2498"/>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497" t="s">
        <v>1674</v>
      </c>
      <c r="D70" s="2498"/>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51084731045</v>
      </c>
      <c r="E2" s="1542">
        <v>2020</v>
      </c>
      <c r="F2" s="1542">
        <v>1</v>
      </c>
      <c r="G2" s="1899">
        <v>101000300</v>
      </c>
    </row>
    <row r="3" spans="1:7" ht="15" x14ac:dyDescent="0.25">
      <c r="A3" t="s">
        <v>950</v>
      </c>
      <c r="B3" s="135" t="str">
        <f>COVER!A15</f>
        <v>Sangamon</v>
      </c>
      <c r="E3" s="1830" t="s">
        <v>1971</v>
      </c>
      <c r="F3" s="1830" t="s">
        <v>1970</v>
      </c>
      <c r="G3" s="1899">
        <v>101000400</v>
      </c>
    </row>
    <row r="4" spans="1:7" ht="15" x14ac:dyDescent="0.25">
      <c r="A4" t="s">
        <v>1000</v>
      </c>
      <c r="B4" s="135" t="str">
        <f>COVER!A17</f>
        <v xml:space="preserve"> Regional Office of Car/Tech Educ</v>
      </c>
      <c r="E4" s="1828">
        <v>44119</v>
      </c>
      <c r="F4" s="1829">
        <v>44151</v>
      </c>
      <c r="G4" s="1899">
        <v>101000600</v>
      </c>
    </row>
    <row r="5" spans="1:7" ht="15" x14ac:dyDescent="0.25">
      <c r="A5" t="s">
        <v>699</v>
      </c>
      <c r="B5" s="135" t="str">
        <f>COVER!A38</f>
        <v>Mary Jo Wood</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 xml:space="preserve">ACCRUAL </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f>COVER!T23</f>
        <v>66.002662999999998</v>
      </c>
      <c r="G15" s="1899">
        <v>402100400</v>
      </c>
    </row>
    <row r="16" spans="1:7" ht="15" x14ac:dyDescent="0.25">
      <c r="A16" t="s">
        <v>419</v>
      </c>
      <c r="B16" s="135" t="str">
        <f>COVER!T13</f>
        <v>Estes, Bridgewater &amp; Ogden</v>
      </c>
      <c r="G16" s="1899">
        <v>402100600</v>
      </c>
    </row>
    <row r="17" spans="1:7" ht="15" x14ac:dyDescent="0.25">
      <c r="A17" t="s">
        <v>878</v>
      </c>
      <c r="B17" s="135" t="str">
        <f>COVER!T15</f>
        <v>Valerie R. Ausmus, CPA</v>
      </c>
      <c r="G17" s="1899">
        <v>402100800</v>
      </c>
    </row>
    <row r="18" spans="1:7" ht="15" x14ac:dyDescent="0.25">
      <c r="A18" t="s">
        <v>1140</v>
      </c>
      <c r="B18" s="135" t="str">
        <f>COVER!T17</f>
        <v>901 South Second Street</v>
      </c>
      <c r="G18" s="1899">
        <v>102200300</v>
      </c>
    </row>
    <row r="19" spans="1:7" ht="15" x14ac:dyDescent="0.25">
      <c r="A19" t="s">
        <v>880</v>
      </c>
      <c r="B19" s="135" t="str">
        <f>COVER!T25</f>
        <v>valeriea@ebocpa.com</v>
      </c>
      <c r="G19" s="1899">
        <v>102200400</v>
      </c>
    </row>
    <row r="20" spans="1:7" ht="15" x14ac:dyDescent="0.25">
      <c r="A20" t="s">
        <v>881</v>
      </c>
      <c r="B20" s="135" t="str">
        <f>COVER!T19</f>
        <v>Springfield</v>
      </c>
      <c r="G20" s="1899">
        <v>102200600</v>
      </c>
    </row>
    <row r="21" spans="1:7" ht="15" x14ac:dyDescent="0.25">
      <c r="A21" t="s">
        <v>476</v>
      </c>
      <c r="B21" s="135" t="str">
        <f>COVER!X19</f>
        <v>IL</v>
      </c>
      <c r="G21" s="1899">
        <v>102200800</v>
      </c>
    </row>
    <row r="22" spans="1:7" ht="15" x14ac:dyDescent="0.25">
      <c r="A22" t="s">
        <v>882</v>
      </c>
      <c r="B22" s="135">
        <f>COVER!Z19</f>
        <v>62704</v>
      </c>
      <c r="G22" s="1899">
        <v>102300300</v>
      </c>
    </row>
    <row r="23" spans="1:7" ht="15" x14ac:dyDescent="0.25">
      <c r="A23" t="s">
        <v>1142</v>
      </c>
      <c r="B23" s="135" t="str">
        <f>COVER!T21</f>
        <v>217-528-8473</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390144</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31</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314009</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319040</v>
      </c>
      <c r="C91" s="2" t="s">
        <v>569</v>
      </c>
      <c r="D91" s="2" t="str">
        <f t="shared" si="0"/>
        <v>Error?</v>
      </c>
      <c r="G91" s="1899">
        <v>102640400</v>
      </c>
    </row>
    <row r="92" spans="1:7" ht="15" x14ac:dyDescent="0.25">
      <c r="A92" s="5">
        <v>31</v>
      </c>
      <c r="B92" s="1832">
        <f>'Assets-Liab 5-6'!C39</f>
        <v>71104</v>
      </c>
      <c r="D92" s="2" t="str">
        <f t="shared" si="0"/>
        <v>Error?</v>
      </c>
      <c r="G92" s="1899">
        <v>102640600</v>
      </c>
    </row>
    <row r="93" spans="1:7" ht="15" x14ac:dyDescent="0.25">
      <c r="A93" s="5">
        <v>32</v>
      </c>
      <c r="B93" s="1832">
        <f>'Assets-Liab 5-6'!C41</f>
        <v>390144</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0</v>
      </c>
      <c r="D274" s="2" t="str">
        <f t="shared" si="3"/>
        <v>Error?</v>
      </c>
    </row>
    <row r="275" spans="1:4" x14ac:dyDescent="0.2">
      <c r="A275" s="5">
        <v>214</v>
      </c>
      <c r="B275" s="1832">
        <f>'Assets-Liab 5-6'!M18</f>
        <v>0</v>
      </c>
      <c r="D275" s="2" t="str">
        <f t="shared" si="3"/>
        <v>Error?</v>
      </c>
    </row>
    <row r="276" spans="1:4" x14ac:dyDescent="0.2">
      <c r="A276" s="5">
        <v>215</v>
      </c>
      <c r="B276" s="1832">
        <f>'Assets-Liab 5-6'!M19</f>
        <v>157601</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157601</v>
      </c>
      <c r="C279" s="2" t="s">
        <v>569</v>
      </c>
      <c r="D279" s="2" t="str">
        <f t="shared" si="3"/>
        <v>Error?</v>
      </c>
    </row>
    <row r="280" spans="1:4" x14ac:dyDescent="0.2">
      <c r="A280" s="5">
        <v>219</v>
      </c>
      <c r="B280" s="1832">
        <f>'Assets-Liab 5-6'!M40</f>
        <v>157601</v>
      </c>
      <c r="D280" s="2" t="str">
        <f t="shared" si="3"/>
        <v>Error?</v>
      </c>
    </row>
    <row r="281" spans="1:4" x14ac:dyDescent="0.2">
      <c r="A281" s="5">
        <v>220</v>
      </c>
      <c r="B281" s="1832">
        <f>'Assets-Liab 5-6'!M41</f>
        <v>157601</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0</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62077</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62077</v>
      </c>
      <c r="C727" s="2" t="s">
        <v>569</v>
      </c>
      <c r="D727" s="2" t="str">
        <f t="shared" si="10"/>
        <v>Error?</v>
      </c>
    </row>
    <row r="728" spans="1:4" x14ac:dyDescent="0.2">
      <c r="A728" s="5">
        <v>667</v>
      </c>
      <c r="B728" s="1832">
        <f>'Expenditures 15-22'!C44</f>
        <v>12570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12570</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78830</v>
      </c>
      <c r="D733" s="2" t="str">
        <f t="shared" si="10"/>
        <v>Error?</v>
      </c>
    </row>
    <row r="734" spans="1:4" x14ac:dyDescent="0.2">
      <c r="A734" s="5">
        <v>673</v>
      </c>
      <c r="B734" s="1832">
        <f>'Expenditures 15-22'!C53</f>
        <v>78830</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153477</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153477</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0</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18826</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18826</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5842</v>
      </c>
      <c r="D791" s="2" t="str">
        <f t="shared" si="11"/>
        <v>Error?</v>
      </c>
    </row>
    <row r="792" spans="1:4" x14ac:dyDescent="0.2">
      <c r="A792" s="5">
        <v>731</v>
      </c>
      <c r="B792" s="1832">
        <f>'Expenditures 15-22'!D53</f>
        <v>5842</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24668</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24668</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0</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11222</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11222</v>
      </c>
      <c r="C843" s="2" t="s">
        <v>569</v>
      </c>
      <c r="D843" s="2" t="str">
        <f t="shared" si="12"/>
        <v>Error?</v>
      </c>
    </row>
    <row r="844" spans="1:4" x14ac:dyDescent="0.2">
      <c r="A844" s="5">
        <v>783</v>
      </c>
      <c r="B844" s="1832">
        <f>'Expenditures 15-22'!E44</f>
        <v>18490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18490</v>
      </c>
      <c r="C847" s="2" t="s">
        <v>569</v>
      </c>
      <c r="D847" s="2" t="str">
        <f t="shared" si="12"/>
        <v>Error?</v>
      </c>
    </row>
    <row r="848" spans="1:4" x14ac:dyDescent="0.2">
      <c r="A848" s="5">
        <v>787</v>
      </c>
      <c r="B848" s="1832">
        <f>'Expenditures 15-22'!E49</f>
        <v>0</v>
      </c>
      <c r="D848" s="2" t="str">
        <f t="shared" si="12"/>
        <v>Error?</v>
      </c>
    </row>
    <row r="849" spans="1:4" x14ac:dyDescent="0.2">
      <c r="A849" s="5">
        <v>788</v>
      </c>
      <c r="B849" s="1832">
        <f>'Expenditures 15-22'!E50</f>
        <v>34390</v>
      </c>
      <c r="D849" s="2" t="str">
        <f t="shared" si="12"/>
        <v>Error?</v>
      </c>
    </row>
    <row r="850" spans="1:4" x14ac:dyDescent="0.2">
      <c r="A850" s="5">
        <v>789</v>
      </c>
      <c r="B850" s="1832">
        <f>'Expenditures 15-22'!E53</f>
        <v>34390</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64102</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64102</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132792</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132792</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37127</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37127</v>
      </c>
      <c r="C901" s="2" t="s">
        <v>569</v>
      </c>
      <c r="D901" s="2" t="str">
        <f t="shared" si="13"/>
        <v>Error?</v>
      </c>
    </row>
    <row r="902" spans="1:4" x14ac:dyDescent="0.2">
      <c r="A902" s="5">
        <v>841</v>
      </c>
      <c r="B902" s="1832">
        <f>'Expenditures 15-22'!F44</f>
        <v>3560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3560</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2508</v>
      </c>
      <c r="D907" s="2" t="str">
        <f t="shared" si="13"/>
        <v>Error?</v>
      </c>
    </row>
    <row r="908" spans="1:4" x14ac:dyDescent="0.2">
      <c r="A908" s="5">
        <v>847</v>
      </c>
      <c r="B908" s="1832">
        <f>'Expenditures 15-22'!F53</f>
        <v>2508</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43195</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175987</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154233</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154233</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1609</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1609</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1609</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155842</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516</v>
      </c>
      <c r="D1044" s="2" t="str">
        <f t="shared" si="15"/>
        <v>Error?</v>
      </c>
    </row>
    <row r="1045" spans="1:5" x14ac:dyDescent="0.2">
      <c r="A1045" s="5">
        <v>984</v>
      </c>
      <c r="B1045" s="1832">
        <f>'Expenditures 15-22'!H74</f>
        <v>516</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658856</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659372</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287025</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287025</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130861</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130861</v>
      </c>
      <c r="C1115" s="2" t="s">
        <v>569</v>
      </c>
      <c r="D1115" s="2" t="str">
        <f t="shared" si="16"/>
        <v>Error?</v>
      </c>
    </row>
    <row r="1116" spans="1:4" x14ac:dyDescent="0.2">
      <c r="A1116" s="5">
        <v>1055</v>
      </c>
      <c r="B1116" s="1832">
        <f>'Expenditures 15-22'!K44</f>
        <v>34620</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34620</v>
      </c>
      <c r="C1119" s="2" t="s">
        <v>569</v>
      </c>
      <c r="D1119" s="2" t="str">
        <f t="shared" si="16"/>
        <v>Error?</v>
      </c>
    </row>
    <row r="1120" spans="1:4" x14ac:dyDescent="0.2">
      <c r="A1120" s="5">
        <v>1059</v>
      </c>
      <c r="B1120" s="1832">
        <f>'Expenditures 15-22'!K49</f>
        <v>0</v>
      </c>
      <c r="C1120" s="2" t="s">
        <v>569</v>
      </c>
      <c r="D1120" s="2" t="str">
        <f t="shared" si="16"/>
        <v>Error?</v>
      </c>
    </row>
    <row r="1121" spans="1:4" x14ac:dyDescent="0.2">
      <c r="A1121" s="5">
        <v>1060</v>
      </c>
      <c r="B1121" s="1832">
        <f>'Expenditures 15-22'!K50</f>
        <v>121570</v>
      </c>
      <c r="C1121" s="2" t="s">
        <v>569</v>
      </c>
      <c r="D1121" s="2" t="str">
        <f t="shared" si="16"/>
        <v>Error?</v>
      </c>
    </row>
    <row r="1122" spans="1:4" x14ac:dyDescent="0.2">
      <c r="A1122" s="5">
        <v>1061</v>
      </c>
      <c r="B1122" s="1832">
        <f>'Expenditures 15-22'!K53</f>
        <v>121570</v>
      </c>
      <c r="C1122" s="2" t="s">
        <v>569</v>
      </c>
      <c r="D1122" s="2" t="str">
        <f t="shared" si="16"/>
        <v>Error?</v>
      </c>
    </row>
    <row r="1123" spans="1:4" x14ac:dyDescent="0.2">
      <c r="A1123" s="5">
        <v>1062</v>
      </c>
      <c r="B1123" s="1832">
        <f>'Expenditures 15-22'!K55</f>
        <v>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0</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0</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516</v>
      </c>
      <c r="C1142" s="2" t="s">
        <v>569</v>
      </c>
      <c r="D1142" s="2" t="str">
        <f t="shared" si="16"/>
        <v>Error?</v>
      </c>
    </row>
    <row r="1143" spans="1:4" x14ac:dyDescent="0.2">
      <c r="A1143" s="5">
        <v>1082</v>
      </c>
      <c r="B1143" s="1832">
        <f>'Expenditures 15-22'!K74</f>
        <v>287567</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658856</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1233448</v>
      </c>
      <c r="C1152" s="2" t="s">
        <v>569</v>
      </c>
      <c r="D1152" s="2" t="str">
        <f t="shared" si="17"/>
        <v>Error?</v>
      </c>
    </row>
    <row r="1153" spans="1:4" x14ac:dyDescent="0.2">
      <c r="A1153" s="5">
        <v>1092</v>
      </c>
      <c r="B1153" s="1832">
        <f>'Expenditures 15-22'!K115</f>
        <v>33604</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0</v>
      </c>
      <c r="D1237" s="2" t="str">
        <f t="shared" si="18"/>
        <v>Error?</v>
      </c>
    </row>
    <row r="1238" spans="1:4" x14ac:dyDescent="0.2">
      <c r="A1238" s="10">
        <v>1177</v>
      </c>
      <c r="B1238" s="1832"/>
      <c r="D1238" s="2" t="str">
        <f t="shared" si="18"/>
        <v>OK</v>
      </c>
    </row>
    <row r="1239" spans="1:4" x14ac:dyDescent="0.2">
      <c r="A1239" s="5">
        <v>1178</v>
      </c>
      <c r="B1239" s="1832">
        <f>'Expenditures 15-22'!E127</f>
        <v>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0</v>
      </c>
      <c r="C1241" s="2" t="s">
        <v>569</v>
      </c>
      <c r="D1241" s="2" t="str">
        <f t="shared" si="18"/>
        <v>Error?</v>
      </c>
    </row>
    <row r="1242" spans="1:4" x14ac:dyDescent="0.2">
      <c r="A1242" s="5">
        <v>1181</v>
      </c>
      <c r="B1242" s="1832">
        <f>'Expenditures 15-22'!E151</f>
        <v>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0</v>
      </c>
      <c r="C1288" s="2" t="s">
        <v>569</v>
      </c>
      <c r="D1288" s="2" t="str">
        <f t="shared" si="19"/>
        <v>Error?</v>
      </c>
    </row>
    <row r="1289" spans="1:4" x14ac:dyDescent="0.2">
      <c r="A1289" s="5">
        <v>1228</v>
      </c>
      <c r="B1289" s="1832">
        <f>'Expenditures 15-22'!K152</f>
        <v>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37500</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71104</v>
      </c>
      <c r="C1630" s="2" t="s">
        <v>569</v>
      </c>
      <c r="D1630" s="2" t="str">
        <f t="shared" si="24"/>
        <v>Error?</v>
      </c>
    </row>
    <row r="1631" spans="1:4" x14ac:dyDescent="0.2">
      <c r="A1631" s="5">
        <v>1570</v>
      </c>
      <c r="B1631" s="1832">
        <f>'Acct Summary 7-8'!D79</f>
        <v>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0</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0</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1931893</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1931893</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157601</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157601</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0</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2089494</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2089494</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0</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1351625</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1351625</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0</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128792</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128792</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0</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1480417</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1480417</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0</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609077</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609077</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0</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158295</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757489</v>
      </c>
      <c r="C2553" s="2" t="s">
        <v>569</v>
      </c>
      <c r="D2553" s="2" t="str">
        <f t="shared" si="38"/>
        <v>Error?</v>
      </c>
    </row>
    <row r="2554" spans="1:4" x14ac:dyDescent="0.2">
      <c r="A2554" s="5">
        <v>2493</v>
      </c>
      <c r="B2554" s="1832">
        <f>'Acct Summary 7-8'!C7</f>
        <v>351268</v>
      </c>
      <c r="C2554" s="2" t="s">
        <v>569</v>
      </c>
      <c r="D2554" s="2" t="str">
        <f t="shared" si="38"/>
        <v>Error?</v>
      </c>
    </row>
    <row r="2555" spans="1:4" x14ac:dyDescent="0.2">
      <c r="A2555" s="5">
        <v>2494</v>
      </c>
      <c r="B2555" s="1832">
        <f>'Acct Summary 7-8'!C8</f>
        <v>1267052</v>
      </c>
      <c r="C2555" s="2" t="s">
        <v>569</v>
      </c>
      <c r="D2555" s="2" t="str">
        <f t="shared" si="38"/>
        <v>Error?</v>
      </c>
    </row>
    <row r="2556" spans="1:4" x14ac:dyDescent="0.2">
      <c r="A2556" s="5">
        <v>2495</v>
      </c>
      <c r="B2556" s="1832">
        <f>'Acct Summary 7-8'!C12</f>
        <v>287025</v>
      </c>
      <c r="C2556" s="2" t="s">
        <v>569</v>
      </c>
      <c r="D2556" s="2" t="str">
        <f t="shared" si="38"/>
        <v>Error?</v>
      </c>
    </row>
    <row r="2557" spans="1:4" x14ac:dyDescent="0.2">
      <c r="A2557" s="5">
        <v>2496</v>
      </c>
      <c r="B2557" s="1832">
        <f>'Acct Summary 7-8'!C13</f>
        <v>287567</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658856</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1233448</v>
      </c>
      <c r="C2561" s="2" t="s">
        <v>569</v>
      </c>
      <c r="D2561" s="2" t="str">
        <f t="shared" si="39"/>
        <v>Error?</v>
      </c>
    </row>
    <row r="2562" spans="1:4" x14ac:dyDescent="0.2">
      <c r="A2562" s="5">
        <v>2501</v>
      </c>
      <c r="B2562" s="1832">
        <f>'Acct Summary 7-8'!C20</f>
        <v>33604</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0</v>
      </c>
      <c r="C2568" s="2" t="s">
        <v>569</v>
      </c>
      <c r="D2568" s="2" t="str">
        <f t="shared" si="39"/>
        <v>Error?</v>
      </c>
    </row>
    <row r="2569" spans="1:4" x14ac:dyDescent="0.2">
      <c r="A2569" s="5">
        <v>2508</v>
      </c>
      <c r="B2569" s="1832">
        <f>'Acct Summary 7-8'!D13</f>
        <v>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0</v>
      </c>
      <c r="C2573" s="2" t="s">
        <v>569</v>
      </c>
      <c r="D2573" s="2" t="str">
        <f t="shared" si="39"/>
        <v>Error?</v>
      </c>
    </row>
    <row r="2574" spans="1:4" x14ac:dyDescent="0.2">
      <c r="A2574" s="5">
        <v>2513</v>
      </c>
      <c r="B2574" s="1832">
        <f>'Acct Summary 7-8'!D20</f>
        <v>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33604</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372881</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1267052</v>
      </c>
      <c r="C4122" s="2" t="s">
        <v>569</v>
      </c>
      <c r="D4122" s="2" t="str">
        <f t="shared" si="63"/>
        <v>Error?</v>
      </c>
    </row>
    <row r="4123" spans="1:4" x14ac:dyDescent="0.2">
      <c r="A4123" s="5">
        <v>4062</v>
      </c>
      <c r="B4123" s="1832">
        <f>'Acct Summary 7-8'!D10</f>
        <v>0</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1233448</v>
      </c>
      <c r="C4136" s="2" t="s">
        <v>569</v>
      </c>
      <c r="D4136" s="2" t="str">
        <f t="shared" si="63"/>
        <v>Error?</v>
      </c>
    </row>
    <row r="4137" spans="1:4" x14ac:dyDescent="0.2">
      <c r="A4137" s="5">
        <v>4076</v>
      </c>
      <c r="B4137" s="1832">
        <f>'Acct Summary 7-8'!D19</f>
        <v>0</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19500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71104</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1380</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1380</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156915</v>
      </c>
      <c r="D5119" s="2" t="str">
        <f t="shared" ref="D5119:D5182" si="79">IF(ISBLANK(B5119),"OK",IF(A5119-B5119=0,"OK","Error?"))</f>
        <v>Error?</v>
      </c>
    </row>
    <row r="5120" spans="1:4" x14ac:dyDescent="0.2">
      <c r="A5120" s="5">
        <v>5059</v>
      </c>
      <c r="B5120" s="1832">
        <f>'Revenues 9-14'!C108</f>
        <v>156915</v>
      </c>
      <c r="C5120" s="2" t="s">
        <v>569</v>
      </c>
      <c r="D5120" s="2" t="str">
        <f t="shared" si="79"/>
        <v>Error?</v>
      </c>
    </row>
    <row r="5121" spans="1:4" x14ac:dyDescent="0.2">
      <c r="A5121" s="5">
        <v>5060</v>
      </c>
      <c r="B5121" s="1832">
        <f>'Revenues 9-14'!C109</f>
        <v>158295</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737989</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757489</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757489</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757489</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351268</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351268</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351268</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351268</v>
      </c>
      <c r="C5326" s="2" t="s">
        <v>569</v>
      </c>
      <c r="D5326" s="2" t="str">
        <f t="shared" si="82"/>
        <v>Error?</v>
      </c>
    </row>
    <row r="5327" spans="1:5" x14ac:dyDescent="0.2">
      <c r="A5327" s="5">
        <v>5266</v>
      </c>
      <c r="B5327" s="1832">
        <f>'Revenues 9-14'!C268</f>
        <v>1267052</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7735</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9528</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5000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33604</v>
      </c>
      <c r="D6267" s="2" t="str">
        <f t="shared" si="96"/>
        <v>Error?</v>
      </c>
      <c r="E6267" s="2" t="s">
        <v>189</v>
      </c>
    </row>
    <row r="6268" spans="1:5" x14ac:dyDescent="0.2">
      <c r="A6268">
        <v>6207</v>
      </c>
      <c r="B6268" s="1832">
        <f>'Acct Summary 7-8'!D82</f>
        <v>0</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0.47260351035103509</v>
      </c>
      <c r="D6276" s="2" t="str">
        <f t="shared" si="97"/>
        <v>Error?</v>
      </c>
      <c r="E6276" s="2" t="s">
        <v>189</v>
      </c>
    </row>
    <row r="6277" spans="1:5" x14ac:dyDescent="0.2">
      <c r="A6277">
        <v>6216</v>
      </c>
      <c r="B6277" s="1832" t="e">
        <f>'Acct Summary 7-8'!D83</f>
        <v>#DIV/0!</v>
      </c>
      <c r="D6277" s="2" t="e">
        <f t="shared" si="97"/>
        <v>#DIV/0!</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522432</v>
      </c>
      <c r="D7000" s="2" t="str">
        <f t="shared" si="108"/>
        <v>Error?</v>
      </c>
    </row>
    <row r="7001" spans="1:4" x14ac:dyDescent="0.2">
      <c r="A7001">
        <v>6940</v>
      </c>
      <c r="B7001" s="1832">
        <f>'Expenditures 15-22'!K95</f>
        <v>522432</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136424</v>
      </c>
      <c r="D7006" s="2" t="str">
        <f t="shared" si="108"/>
        <v>Error?</v>
      </c>
    </row>
    <row r="7007" spans="1:4" x14ac:dyDescent="0.2">
      <c r="A7007">
        <v>6946</v>
      </c>
      <c r="B7007" s="1832">
        <f>'Expenditures 15-22'!K98</f>
        <v>136424</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658856</v>
      </c>
      <c r="D7012" s="2" t="str">
        <f t="shared" si="108"/>
        <v>Error?</v>
      </c>
    </row>
    <row r="7013" spans="1:4" x14ac:dyDescent="0.2">
      <c r="A7013">
        <v>6952</v>
      </c>
      <c r="B7013" s="1832">
        <f>'Expenditures 15-22'!K100</f>
        <v>658856</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128792</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1233448</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814698</v>
      </c>
      <c r="D7834" s="2" t="str">
        <f t="shared" si="129"/>
        <v>Error?</v>
      </c>
      <c r="E7834" s="4" t="s">
        <v>1998</v>
      </c>
    </row>
    <row r="7835" spans="1:5" x14ac:dyDescent="0.2">
      <c r="A7835">
        <v>7774</v>
      </c>
      <c r="B7835" s="1832">
        <f>'PCTC-OEPP 27-28'!F78</f>
        <v>418750</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t="str">
        <f>'PCTC-OEPP 27-28'!F80</f>
        <v xml:space="preserve"> Complete Line 79</v>
      </c>
      <c r="D7837" s="2" t="e">
        <f t="shared" si="129"/>
        <v>#VALUE!</v>
      </c>
      <c r="E7837" s="4" t="s">
        <v>1998</v>
      </c>
    </row>
    <row r="7838" spans="1:5" x14ac:dyDescent="0.2">
      <c r="A7838">
        <v>7777</v>
      </c>
      <c r="B7838" s="1832">
        <f>'PCTC-OEPP 27-28'!F96</f>
        <v>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757489</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0</v>
      </c>
      <c r="D7858" s="2" t="str">
        <f t="shared" si="129"/>
        <v>Error?</v>
      </c>
      <c r="E7858" s="4" t="s">
        <v>1998</v>
      </c>
    </row>
    <row r="7859" spans="1:5" x14ac:dyDescent="0.2">
      <c r="A7859">
        <v>7798</v>
      </c>
      <c r="B7859" s="1832">
        <f>'PCTC-OEPP 27-28'!F127</f>
        <v>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351268</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1108757</v>
      </c>
      <c r="D7877" s="2" t="str">
        <f t="shared" si="129"/>
        <v>Error?</v>
      </c>
      <c r="E7877" s="4" t="s">
        <v>1998</v>
      </c>
    </row>
    <row r="7878" spans="1:5" x14ac:dyDescent="0.2">
      <c r="A7878">
        <v>7817</v>
      </c>
      <c r="B7878" s="1832">
        <f>'PCTC-OEPP 27-28'!F176</f>
        <v>-690007</v>
      </c>
      <c r="D7878" s="2" t="str">
        <f t="shared" si="129"/>
        <v>Error?</v>
      </c>
      <c r="E7878" s="4" t="s">
        <v>1998</v>
      </c>
    </row>
    <row r="7879" spans="1:5" x14ac:dyDescent="0.2">
      <c r="A7879">
        <v>7818</v>
      </c>
      <c r="B7879" s="1832">
        <f>'PCTC-OEPP 27-28'!F178</f>
        <v>-561215</v>
      </c>
      <c r="D7879" s="2" t="str">
        <f t="shared" si="129"/>
        <v>Error?</v>
      </c>
      <c r="E7879" s="4" t="s">
        <v>1998</v>
      </c>
    </row>
    <row r="7880" spans="1:5" x14ac:dyDescent="0.2">
      <c r="A7880">
        <v>7819</v>
      </c>
      <c r="B7880" s="1832"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0" t="s">
        <v>1181</v>
      </c>
      <c r="B2" s="2530"/>
      <c r="C2" s="2530"/>
      <c r="D2" s="2530"/>
      <c r="E2" s="2530"/>
      <c r="F2" s="2530"/>
      <c r="G2" s="2530"/>
      <c r="H2" s="2530"/>
      <c r="I2" s="2530"/>
      <c r="J2" s="2530"/>
      <c r="K2" s="2530"/>
      <c r="L2" s="2530"/>
    </row>
    <row r="3" spans="1:29" ht="13.5" customHeight="1" x14ac:dyDescent="0.2">
      <c r="A3" s="2516" t="s">
        <v>1180</v>
      </c>
      <c r="B3" s="2516"/>
      <c r="C3" s="2516"/>
      <c r="D3" s="2516"/>
      <c r="E3" s="2516"/>
      <c r="F3" s="2516"/>
      <c r="G3" s="2516"/>
      <c r="H3" s="2516"/>
      <c r="I3" s="2516"/>
      <c r="J3" s="2516"/>
      <c r="K3" s="2516"/>
      <c r="L3" s="2516"/>
    </row>
    <row r="4" spans="1:29" ht="13.5" customHeight="1" x14ac:dyDescent="0.2">
      <c r="A4" s="2547" t="str">
        <f>"Year Ending June 30, "&amp;'AFR20'!E2</f>
        <v>Year Ending June 30, 2020</v>
      </c>
      <c r="B4" s="2548"/>
      <c r="C4" s="2548"/>
      <c r="D4" s="2548"/>
      <c r="E4" s="2548"/>
      <c r="F4" s="2548"/>
      <c r="G4" s="2548"/>
      <c r="H4" s="2548"/>
      <c r="I4" s="2548"/>
      <c r="J4" s="2548"/>
      <c r="K4" s="2548"/>
      <c r="L4" s="2548"/>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0" t="str">
        <f>COVER!A17</f>
        <v xml:space="preserve"> Regional Office of Car/Tech Educ</v>
      </c>
      <c r="B7" s="2511"/>
      <c r="C7" s="2511"/>
      <c r="D7" s="2549"/>
      <c r="E7" s="2550">
        <f>COVER!A13</f>
        <v>51084731045</v>
      </c>
      <c r="F7" s="2551"/>
      <c r="G7" s="2517">
        <f>COVER!T23</f>
        <v>66.002662999999998</v>
      </c>
      <c r="H7" s="2518"/>
      <c r="I7" s="2518"/>
      <c r="J7" s="2518"/>
      <c r="K7" s="2518"/>
      <c r="L7" s="2519"/>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0"/>
      <c r="B9" s="2521"/>
      <c r="C9" s="2521"/>
      <c r="D9" s="2521"/>
      <c r="E9" s="2521"/>
      <c r="F9" s="2522"/>
      <c r="G9" s="2523" t="str">
        <f>COVER!T13</f>
        <v>Estes, Bridgewater &amp; Ogden</v>
      </c>
      <c r="H9" s="2524"/>
      <c r="I9" s="2524"/>
      <c r="J9" s="2524"/>
      <c r="K9" s="2524"/>
      <c r="L9" s="2525"/>
    </row>
    <row r="10" spans="1:29" ht="13.5" customHeight="1" x14ac:dyDescent="0.2">
      <c r="A10" s="2507" t="str">
        <f>COVER!A38</f>
        <v>Mary Jo Wood</v>
      </c>
      <c r="B10" s="2508"/>
      <c r="C10" s="2508"/>
      <c r="D10" s="2508"/>
      <c r="E10" s="2508"/>
      <c r="F10" s="2509"/>
      <c r="G10" s="2523" t="str">
        <f>COVER!T17</f>
        <v>901 South Second Street</v>
      </c>
      <c r="H10" s="2536"/>
      <c r="I10" s="2536"/>
      <c r="J10" s="2536"/>
      <c r="K10" s="2536"/>
      <c r="L10" s="2537"/>
    </row>
    <row r="11" spans="1:29" ht="13.5" customHeight="1" x14ac:dyDescent="0.2">
      <c r="A11" s="963" t="s">
        <v>1502</v>
      </c>
      <c r="B11" s="964"/>
      <c r="C11" s="965"/>
      <c r="D11" s="970"/>
      <c r="E11" s="965"/>
      <c r="F11" s="969"/>
      <c r="G11" s="2523" t="str">
        <f>COVER!T19</f>
        <v>Springfield</v>
      </c>
      <c r="H11" s="2536"/>
      <c r="I11" s="2536"/>
      <c r="J11" s="2536"/>
      <c r="K11" s="2536"/>
      <c r="L11" s="2537"/>
    </row>
    <row r="12" spans="1:29" ht="13.5" customHeight="1" x14ac:dyDescent="0.2">
      <c r="A12" s="2541" t="s">
        <v>1501</v>
      </c>
      <c r="B12" s="2542"/>
      <c r="C12" s="2542"/>
      <c r="D12" s="2542"/>
      <c r="E12" s="2542"/>
      <c r="F12" s="2543"/>
      <c r="G12" s="2538"/>
      <c r="H12" s="2539"/>
      <c r="I12" s="2539"/>
      <c r="J12" s="2539"/>
      <c r="K12" s="2539"/>
      <c r="L12" s="2540"/>
    </row>
    <row r="13" spans="1:29" ht="13.5" customHeight="1" x14ac:dyDescent="0.2">
      <c r="A13" s="2523"/>
      <c r="B13" s="2536"/>
      <c r="C13" s="2536"/>
      <c r="D13" s="2536"/>
      <c r="E13" s="2536"/>
      <c r="F13" s="2537"/>
      <c r="G13" s="2531" t="s">
        <v>1503</v>
      </c>
      <c r="H13" s="2532"/>
      <c r="I13" s="2544" t="str">
        <f>COVER!T25</f>
        <v>valeriea@ebocpa.com</v>
      </c>
      <c r="J13" s="2545"/>
      <c r="K13" s="2545"/>
      <c r="L13" s="2546"/>
    </row>
    <row r="14" spans="1:29" ht="13.5" customHeight="1" x14ac:dyDescent="0.2">
      <c r="A14" s="2523" t="str">
        <f>COVER!A19</f>
        <v>2201 Toronto Road, Suite 281</v>
      </c>
      <c r="B14" s="2536"/>
      <c r="C14" s="2536"/>
      <c r="D14" s="2536"/>
      <c r="E14" s="2536"/>
      <c r="F14" s="2537"/>
      <c r="G14" s="974" t="s">
        <v>1175</v>
      </c>
      <c r="H14" s="972"/>
      <c r="I14" s="972"/>
      <c r="J14" s="972"/>
      <c r="K14" s="972"/>
      <c r="L14" s="973"/>
    </row>
    <row r="15" spans="1:29" ht="13.5" customHeight="1" x14ac:dyDescent="0.2">
      <c r="A15" s="2523" t="str">
        <f>COVER!A21</f>
        <v>Springfield</v>
      </c>
      <c r="B15" s="2536"/>
      <c r="C15" s="2536"/>
      <c r="D15" s="2536"/>
      <c r="E15" s="2536"/>
      <c r="F15" s="2537"/>
      <c r="G15" s="2533" t="str">
        <f>COVER!T15</f>
        <v>Valerie R. Ausmus, CPA</v>
      </c>
      <c r="H15" s="2534"/>
      <c r="I15" s="2534"/>
      <c r="J15" s="2534"/>
      <c r="K15" s="2534"/>
      <c r="L15" s="2535"/>
    </row>
    <row r="16" spans="1:29" ht="12.2" customHeight="1" x14ac:dyDescent="0.2">
      <c r="A16" s="2513">
        <f>COVER!A25</f>
        <v>62712</v>
      </c>
      <c r="B16" s="2514"/>
      <c r="C16" s="2514"/>
      <c r="D16" s="2514"/>
      <c r="E16" s="2514"/>
      <c r="F16" s="2515"/>
      <c r="G16" s="2526"/>
      <c r="H16" s="2527"/>
      <c r="I16" s="2527"/>
      <c r="J16" s="2527"/>
      <c r="K16" s="2527"/>
      <c r="L16" s="2528"/>
    </row>
    <row r="17" spans="1:13" ht="12.2" customHeight="1" x14ac:dyDescent="0.2">
      <c r="A17" s="2529"/>
      <c r="B17" s="2514"/>
      <c r="C17" s="2514"/>
      <c r="D17" s="2514"/>
      <c r="E17" s="2514"/>
      <c r="F17" s="2515"/>
      <c r="G17" s="974" t="s">
        <v>1174</v>
      </c>
      <c r="H17" s="972"/>
      <c r="I17" s="972"/>
      <c r="J17" s="972"/>
      <c r="K17" s="976" t="s">
        <v>1173</v>
      </c>
      <c r="L17" s="969"/>
      <c r="M17" s="962"/>
    </row>
    <row r="18" spans="1:13" ht="12.2" customHeight="1" x14ac:dyDescent="0.2">
      <c r="A18" s="2507"/>
      <c r="B18" s="2508"/>
      <c r="C18" s="2508"/>
      <c r="D18" s="2508"/>
      <c r="E18" s="2508"/>
      <c r="F18" s="2509"/>
      <c r="G18" s="2510" t="str">
        <f>COVER!T21</f>
        <v>217-528-8473</v>
      </c>
      <c r="H18" s="2511"/>
      <c r="I18" s="2511"/>
      <c r="J18" s="2511"/>
      <c r="K18" s="2510" t="str">
        <f>COVER!X21</f>
        <v>217-528-8506</v>
      </c>
      <c r="L18" s="2512"/>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2" t="str">
        <f>'Single Audit Cover'!A7</f>
        <v xml:space="preserve"> Regional Office of Car/Tech Educ</v>
      </c>
      <c r="B1" s="2553"/>
      <c r="C1" s="2553"/>
      <c r="D1" s="2553"/>
    </row>
    <row r="2" spans="1:11" s="991" customFormat="1" ht="12.75" x14ac:dyDescent="0.2">
      <c r="A2" s="2554">
        <f>'Single Audit Cover'!E7</f>
        <v>51084731045</v>
      </c>
      <c r="B2" s="2555"/>
      <c r="C2" s="2555"/>
      <c r="D2" s="2555"/>
    </row>
    <row r="3" spans="1:11" s="991" customFormat="1" ht="12.75" x14ac:dyDescent="0.2">
      <c r="A3" s="2552" t="s">
        <v>1496</v>
      </c>
      <c r="B3" s="2553"/>
      <c r="C3" s="2553"/>
      <c r="D3" s="2553"/>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57" t="str">
        <f>'Single Audit Cover'!A7</f>
        <v xml:space="preserve"> Regional Office of Car/Tech Educ</v>
      </c>
      <c r="B1" s="2557"/>
      <c r="C1" s="2557"/>
      <c r="D1" s="2557"/>
      <c r="E1" s="2557"/>
    </row>
    <row r="2" spans="1:5" x14ac:dyDescent="0.2">
      <c r="A2" s="2558">
        <f>'Single Audit Cover'!E7</f>
        <v>51084731045</v>
      </c>
      <c r="B2" s="2558"/>
      <c r="C2" s="2558"/>
      <c r="D2" s="2558"/>
      <c r="E2" s="2558"/>
    </row>
    <row r="3" spans="1:5" ht="4.5" customHeight="1" x14ac:dyDescent="0.2"/>
    <row r="4" spans="1:5" x14ac:dyDescent="0.2">
      <c r="A4" s="2557" t="s">
        <v>1234</v>
      </c>
      <c r="B4" s="2557"/>
      <c r="C4" s="2557"/>
      <c r="D4" s="2557"/>
      <c r="E4" s="2557"/>
    </row>
    <row r="5" spans="1:5" x14ac:dyDescent="0.2">
      <c r="A5" s="2560" t="str">
        <f>'Single Audit Cover'!A4</f>
        <v>Year Ending June 30, 2020</v>
      </c>
      <c r="B5" s="2560"/>
      <c r="C5" s="2560"/>
      <c r="D5" s="2560"/>
      <c r="E5" s="2560"/>
    </row>
    <row r="6" spans="1:5" x14ac:dyDescent="0.2">
      <c r="A6" s="2557" t="s">
        <v>1233</v>
      </c>
      <c r="B6" s="2557"/>
      <c r="C6" s="2557"/>
      <c r="D6" s="2557"/>
      <c r="E6" s="2557"/>
    </row>
    <row r="8" spans="1:5" x14ac:dyDescent="0.2">
      <c r="A8" s="1036" t="s">
        <v>1232</v>
      </c>
    </row>
    <row r="10" spans="1:5" x14ac:dyDescent="0.2">
      <c r="A10" s="1037" t="s">
        <v>1231</v>
      </c>
      <c r="B10" s="1038" t="s">
        <v>1230</v>
      </c>
      <c r="C10" s="1038"/>
      <c r="D10" s="1039">
        <f>SUM('Acct Summary 7-8'!C7:K7)</f>
        <v>351268</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351268</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59"/>
      <c r="B24" s="2559"/>
      <c r="D24" s="1044"/>
    </row>
    <row r="25" spans="1:4" x14ac:dyDescent="0.2">
      <c r="A25" s="2556"/>
      <c r="B25" s="2556"/>
      <c r="D25" s="1044"/>
    </row>
    <row r="26" spans="1:4" x14ac:dyDescent="0.2">
      <c r="A26" s="2556"/>
      <c r="B26" s="2556"/>
      <c r="D26" s="1044"/>
    </row>
    <row r="27" spans="1:4" x14ac:dyDescent="0.2">
      <c r="A27" s="2556"/>
      <c r="B27" s="2556"/>
      <c r="D27" s="1044"/>
    </row>
    <row r="28" spans="1:4" x14ac:dyDescent="0.2">
      <c r="A28" s="2556"/>
      <c r="B28" s="2556"/>
      <c r="D28" s="1044"/>
    </row>
    <row r="29" spans="1:4" x14ac:dyDescent="0.2">
      <c r="A29" s="2556"/>
      <c r="B29" s="2556"/>
      <c r="D29" s="1044"/>
    </row>
    <row r="30" spans="1:4" x14ac:dyDescent="0.2">
      <c r="A30" s="2556"/>
      <c r="B30" s="2556"/>
      <c r="D30" s="1044"/>
    </row>
    <row r="32" spans="1:4" x14ac:dyDescent="0.2">
      <c r="A32" s="1036" t="s">
        <v>1222</v>
      </c>
      <c r="D32" s="1039">
        <f>SUM(D19:D30)</f>
        <v>351268</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56"/>
      <c r="B40" s="2556"/>
      <c r="D40" s="1044"/>
    </row>
    <row r="41" spans="1:4" x14ac:dyDescent="0.2">
      <c r="A41" s="2556"/>
      <c r="B41" s="2556"/>
      <c r="D41" s="1047"/>
    </row>
    <row r="42" spans="1:4" x14ac:dyDescent="0.2">
      <c r="A42" s="2556"/>
      <c r="B42" s="2556"/>
      <c r="D42" s="1047"/>
    </row>
    <row r="43" spans="1:4" x14ac:dyDescent="0.2">
      <c r="A43" s="2556"/>
      <c r="B43" s="2556"/>
      <c r="D43" s="1047"/>
    </row>
    <row r="44" spans="1:4" x14ac:dyDescent="0.2">
      <c r="A44" s="2556"/>
      <c r="B44" s="2556"/>
      <c r="D44" s="1047"/>
    </row>
    <row r="45" spans="1:4" x14ac:dyDescent="0.2">
      <c r="A45" s="2556"/>
      <c r="B45" s="2556"/>
      <c r="D45" s="1047"/>
    </row>
    <row r="47" spans="1:4" x14ac:dyDescent="0.2">
      <c r="B47" s="1048" t="s">
        <v>1216</v>
      </c>
      <c r="C47" s="1048"/>
      <c r="D47" s="1049">
        <f>SUM(D35:D45)</f>
        <v>0</v>
      </c>
    </row>
    <row r="49" spans="2:4" x14ac:dyDescent="0.2">
      <c r="B49" s="1048" t="s">
        <v>1215</v>
      </c>
      <c r="C49" s="1048"/>
      <c r="D49" s="1049">
        <f>D32-D47</f>
        <v>351268</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16" t="str">
        <f>'Single Audit Cover'!A7</f>
        <v xml:space="preserve"> Regional Office of Car/Tech Educ</v>
      </c>
      <c r="C1" s="2561"/>
      <c r="D1" s="2561"/>
      <c r="E1" s="2561"/>
      <c r="F1" s="2561"/>
      <c r="G1" s="2561"/>
      <c r="H1" s="2561"/>
      <c r="I1" s="2561"/>
      <c r="J1" s="2561"/>
      <c r="K1" s="2561"/>
      <c r="L1" s="2561"/>
      <c r="M1" s="2561"/>
    </row>
    <row r="2" spans="2:14" ht="15" x14ac:dyDescent="0.2">
      <c r="B2" s="2562">
        <f>'Single Audit Cover'!E7</f>
        <v>51084731045</v>
      </c>
      <c r="C2" s="2562"/>
      <c r="D2" s="2562"/>
      <c r="E2" s="2562"/>
      <c r="F2" s="2562"/>
      <c r="G2" s="2562"/>
      <c r="H2" s="2562"/>
      <c r="I2" s="2562"/>
      <c r="J2" s="2562"/>
      <c r="K2" s="2562"/>
      <c r="L2" s="2562"/>
      <c r="M2" s="2562"/>
      <c r="N2" s="1078"/>
    </row>
    <row r="3" spans="2:14" ht="15" x14ac:dyDescent="0.2">
      <c r="B3" s="2563" t="s">
        <v>1208</v>
      </c>
      <c r="C3" s="2563"/>
      <c r="D3" s="2563"/>
      <c r="E3" s="2563"/>
      <c r="F3" s="2563"/>
      <c r="G3" s="2563"/>
      <c r="H3" s="2563"/>
      <c r="I3" s="2563"/>
      <c r="J3" s="2563"/>
      <c r="K3" s="2563"/>
      <c r="L3" s="2563"/>
      <c r="M3" s="2563"/>
      <c r="N3" s="1078"/>
    </row>
    <row r="4" spans="2:14" ht="15" x14ac:dyDescent="0.2">
      <c r="B4" s="2564" t="str">
        <f>'Single Audit Cover'!A4</f>
        <v>Year Ending June 30, 2020</v>
      </c>
      <c r="C4" s="2564"/>
      <c r="D4" s="2564"/>
      <c r="E4" s="2564"/>
      <c r="F4" s="2564"/>
      <c r="G4" s="2564"/>
      <c r="H4" s="2564"/>
      <c r="I4" s="2564"/>
      <c r="J4" s="2564"/>
      <c r="K4" s="2564"/>
      <c r="L4" s="2564"/>
      <c r="M4" s="2564"/>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66" t="str">
        <f>'Single Audit Cover'!A7</f>
        <v xml:space="preserve"> Regional Office of Car/Tech Educ</v>
      </c>
      <c r="B1" s="2566"/>
      <c r="C1" s="2566"/>
      <c r="D1" s="2566"/>
      <c r="E1" s="2566"/>
      <c r="F1" s="2566"/>
    </row>
    <row r="2" spans="1:7" ht="13.5" customHeight="1" x14ac:dyDescent="0.2">
      <c r="A2" s="2562">
        <f>'Single Audit Cover'!E7</f>
        <v>51084731045</v>
      </c>
      <c r="B2" s="2562"/>
      <c r="C2" s="2562"/>
      <c r="D2" s="2562"/>
      <c r="E2" s="2562"/>
      <c r="F2" s="2562"/>
      <c r="G2" s="1051"/>
    </row>
    <row r="3" spans="1:7" ht="15.75" customHeight="1" x14ac:dyDescent="0.2">
      <c r="A3" s="2567" t="s">
        <v>1260</v>
      </c>
      <c r="B3" s="2567"/>
      <c r="C3" s="2567"/>
      <c r="D3" s="2567"/>
      <c r="E3" s="2567"/>
      <c r="F3" s="2567"/>
    </row>
    <row r="4" spans="1:7" ht="13.5" customHeight="1" x14ac:dyDescent="0.2">
      <c r="A4" s="2568" t="str">
        <f>'Single Audit Cover'!A4</f>
        <v>Year Ending June 30, 2020</v>
      </c>
      <c r="B4" s="2568"/>
      <c r="C4" s="2568"/>
      <c r="D4" s="2568"/>
      <c r="E4" s="2568"/>
      <c r="F4" s="2568"/>
    </row>
    <row r="5" spans="1:7" ht="8.25" customHeight="1" x14ac:dyDescent="0.2">
      <c r="C5" s="295"/>
      <c r="D5" s="295"/>
    </row>
    <row r="6" spans="1:7" ht="13.5" customHeight="1" x14ac:dyDescent="0.2">
      <c r="A6" s="1052" t="s">
        <v>1705</v>
      </c>
      <c r="C6" s="295"/>
      <c r="D6" s="295"/>
    </row>
    <row r="7" spans="1:7" ht="60.95" customHeight="1" x14ac:dyDescent="0.2">
      <c r="A7" s="2565" t="s">
        <v>1706</v>
      </c>
      <c r="B7" s="2565"/>
      <c r="C7" s="2565"/>
      <c r="D7" s="2565"/>
      <c r="E7" s="2565"/>
      <c r="F7" s="2565"/>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65" t="s">
        <v>1708</v>
      </c>
      <c r="B13" s="2565"/>
      <c r="C13" s="2565"/>
      <c r="D13" s="2565"/>
      <c r="E13" s="2565"/>
      <c r="F13" s="2565"/>
    </row>
    <row r="14" spans="1:7" ht="9.75" customHeight="1" x14ac:dyDescent="0.2">
      <c r="C14" s="1036"/>
      <c r="D14" s="1036"/>
    </row>
    <row r="15" spans="1:7" ht="13.5" customHeight="1" x14ac:dyDescent="0.2">
      <c r="C15" s="1476" t="s">
        <v>1259</v>
      </c>
      <c r="D15" s="2570" t="s">
        <v>1258</v>
      </c>
      <c r="E15" s="2570"/>
      <c r="F15" s="2570"/>
    </row>
    <row r="16" spans="1:7" ht="13.5" customHeight="1" x14ac:dyDescent="0.2">
      <c r="A16" s="1058"/>
      <c r="B16" s="1052" t="s">
        <v>1257</v>
      </c>
      <c r="C16" s="1476" t="s">
        <v>1256</v>
      </c>
      <c r="D16" s="2571" t="s">
        <v>1571</v>
      </c>
      <c r="E16" s="2571"/>
      <c r="F16" s="2571"/>
    </row>
    <row r="17" spans="1:6" ht="20.45" customHeight="1" x14ac:dyDescent="0.2">
      <c r="A17" s="1059"/>
      <c r="B17" s="1060"/>
      <c r="C17" s="1061"/>
      <c r="D17" s="2569"/>
      <c r="E17" s="2569"/>
      <c r="F17" s="2569"/>
    </row>
    <row r="18" spans="1:6" ht="20.65" customHeight="1" x14ac:dyDescent="0.2">
      <c r="A18" s="1059"/>
      <c r="B18" s="1060"/>
      <c r="C18" s="1061"/>
      <c r="D18" s="2569"/>
      <c r="E18" s="2569"/>
      <c r="F18" s="2569"/>
    </row>
    <row r="19" spans="1:6" ht="20.65" customHeight="1" x14ac:dyDescent="0.2">
      <c r="A19" s="1059"/>
      <c r="B19" s="1060"/>
      <c r="C19" s="1061"/>
      <c r="D19" s="2569"/>
      <c r="E19" s="2569"/>
      <c r="F19" s="2569"/>
    </row>
    <row r="20" spans="1:6" ht="20.65" customHeight="1" x14ac:dyDescent="0.2">
      <c r="A20" s="1059"/>
      <c r="B20" s="1060"/>
      <c r="C20" s="1061"/>
      <c r="D20" s="2569"/>
      <c r="E20" s="2569"/>
      <c r="F20" s="2569"/>
    </row>
    <row r="21" spans="1:6" ht="20.65" customHeight="1" x14ac:dyDescent="0.2">
      <c r="A21" s="1059"/>
      <c r="B21" s="1060"/>
      <c r="C21" s="1061"/>
      <c r="D21" s="2569"/>
      <c r="E21" s="2569"/>
      <c r="F21" s="2569"/>
    </row>
    <row r="22" spans="1:6" ht="20.65" customHeight="1" x14ac:dyDescent="0.2">
      <c r="A22" s="1059"/>
      <c r="B22" s="1060"/>
      <c r="C22" s="1061"/>
      <c r="D22" s="2569"/>
      <c r="E22" s="2569"/>
      <c r="F22" s="2569"/>
    </row>
    <row r="23" spans="1:6" ht="20.65" customHeight="1" x14ac:dyDescent="0.2">
      <c r="A23" s="1059"/>
      <c r="B23" s="1060"/>
      <c r="C23" s="1061"/>
      <c r="D23" s="2569"/>
      <c r="E23" s="2569"/>
      <c r="F23" s="2569"/>
    </row>
    <row r="24" spans="1:6" ht="20.65" customHeight="1" x14ac:dyDescent="0.2">
      <c r="A24" s="1059"/>
      <c r="B24" s="1060"/>
      <c r="C24" s="1061"/>
      <c r="D24" s="2569"/>
      <c r="E24" s="2569"/>
      <c r="F24" s="2569"/>
    </row>
    <row r="25" spans="1:6" ht="20.65" customHeight="1" x14ac:dyDescent="0.2">
      <c r="A25" s="1059"/>
      <c r="B25" s="1060"/>
      <c r="C25" s="1061"/>
      <c r="D25" s="2569"/>
      <c r="E25" s="2569"/>
      <c r="F25" s="2569"/>
    </row>
    <row r="26" spans="1:6" ht="20.65" customHeight="1" x14ac:dyDescent="0.2">
      <c r="A26" s="1059"/>
      <c r="B26" s="1060"/>
      <c r="C26" s="1061"/>
      <c r="D26" s="2569"/>
      <c r="E26" s="2569"/>
      <c r="F26" s="2569"/>
    </row>
    <row r="27" spans="1:6" ht="20.65" customHeight="1" x14ac:dyDescent="0.2">
      <c r="A27" s="1059"/>
      <c r="B27" s="1060"/>
      <c r="C27" s="1061"/>
      <c r="D27" s="2569"/>
      <c r="E27" s="2569"/>
      <c r="F27" s="2569"/>
    </row>
    <row r="28" spans="1:6" ht="20.65" customHeight="1" x14ac:dyDescent="0.2">
      <c r="A28" s="1059"/>
      <c r="B28" s="1060"/>
      <c r="C28" s="1061"/>
      <c r="D28" s="2569"/>
      <c r="E28" s="2569"/>
      <c r="F28" s="2569"/>
    </row>
    <row r="29" spans="1:6" ht="20.65" customHeight="1" x14ac:dyDescent="0.2">
      <c r="A29" s="1059"/>
      <c r="B29" s="1060"/>
      <c r="C29" s="1061"/>
      <c r="D29" s="2569"/>
      <c r="E29" s="2569"/>
      <c r="F29" s="2569"/>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3" t="s">
        <v>1709</v>
      </c>
      <c r="B32" s="2573"/>
      <c r="C32" s="2573"/>
      <c r="D32" s="2573"/>
      <c r="E32" s="2573"/>
      <c r="F32" s="2573"/>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4">
        <f>+C33+C34</f>
        <v>0</v>
      </c>
      <c r="F34" s="2575"/>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6" t="s">
        <v>1573</v>
      </c>
      <c r="C49" s="2576"/>
      <c r="D49" s="2576"/>
      <c r="E49" s="1168"/>
    </row>
    <row r="50" spans="1:5" s="1076" customFormat="1" ht="3.75" customHeight="1" x14ac:dyDescent="0.2">
      <c r="A50" s="1075"/>
      <c r="B50" s="1475"/>
      <c r="C50" s="1475"/>
      <c r="D50" s="1475"/>
      <c r="E50" s="1168"/>
    </row>
    <row r="51" spans="1:5" s="1076" customFormat="1" ht="20.25" customHeight="1" x14ac:dyDescent="0.2">
      <c r="A51" s="1077">
        <v>6</v>
      </c>
      <c r="B51" s="2572" t="s">
        <v>1534</v>
      </c>
      <c r="C51" s="2572"/>
      <c r="D51" s="2572"/>
    </row>
    <row r="52" spans="1:5" ht="14.25" customHeight="1" x14ac:dyDescent="0.2">
      <c r="A52" s="1077"/>
      <c r="B52" s="2572"/>
      <c r="C52" s="2572"/>
      <c r="D52" s="2572"/>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D119" sqref="D11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49" t="s">
        <v>1158</v>
      </c>
      <c r="B2" s="2149"/>
      <c r="C2" s="2149"/>
      <c r="D2" s="2149"/>
      <c r="E2" s="2149"/>
      <c r="F2" s="2149"/>
      <c r="G2" s="2149"/>
      <c r="H2" s="2149"/>
      <c r="I2" s="2149"/>
      <c r="J2" s="2149"/>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3" t="s">
        <v>1616</v>
      </c>
      <c r="B35" s="2164"/>
      <c r="C35" s="2164"/>
      <c r="D35" s="2164"/>
      <c r="E35" s="2165"/>
      <c r="F35" s="2165"/>
      <c r="G35" s="2165"/>
      <c r="H35" s="2165"/>
      <c r="I35" s="2165"/>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3" t="s">
        <v>310</v>
      </c>
      <c r="B47" s="2166"/>
      <c r="C47" s="2166"/>
      <c r="D47" s="2166"/>
      <c r="E47" s="2167"/>
      <c r="F47" s="2167"/>
      <c r="G47" s="2167"/>
      <c r="H47" s="2167"/>
      <c r="I47" s="2167"/>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0"/>
      <c r="C57" s="2171"/>
      <c r="D57" s="2171"/>
      <c r="E57" s="2171"/>
      <c r="F57" s="2171"/>
      <c r="G57" s="2171"/>
      <c r="H57" s="2171"/>
      <c r="I57" s="2171"/>
      <c r="J57" s="2172"/>
    </row>
    <row r="58" spans="1:10" s="176" customFormat="1" x14ac:dyDescent="0.2">
      <c r="A58" s="248"/>
      <c r="B58" s="2173"/>
      <c r="C58" s="2174"/>
      <c r="D58" s="2174"/>
      <c r="E58" s="2174"/>
      <c r="F58" s="2174"/>
      <c r="G58" s="2174"/>
      <c r="H58" s="2174"/>
      <c r="I58" s="2174"/>
      <c r="J58" s="2175"/>
    </row>
    <row r="59" spans="1:10" s="176" customFormat="1" x14ac:dyDescent="0.2">
      <c r="A59" s="248"/>
      <c r="B59" s="2173"/>
      <c r="C59" s="2174"/>
      <c r="D59" s="2174"/>
      <c r="E59" s="2174"/>
      <c r="F59" s="2174"/>
      <c r="G59" s="2174"/>
      <c r="H59" s="2174"/>
      <c r="I59" s="2174"/>
      <c r="J59" s="2175"/>
    </row>
    <row r="60" spans="1:10" s="176" customFormat="1" x14ac:dyDescent="0.2">
      <c r="A60" s="248"/>
      <c r="B60" s="2173"/>
      <c r="C60" s="2174"/>
      <c r="D60" s="2174"/>
      <c r="E60" s="2174"/>
      <c r="F60" s="2174"/>
      <c r="G60" s="2174"/>
      <c r="H60" s="2174"/>
      <c r="I60" s="2174"/>
      <c r="J60" s="2175"/>
    </row>
    <row r="61" spans="1:10" s="176" customFormat="1" x14ac:dyDescent="0.2">
      <c r="A61" s="248"/>
      <c r="B61" s="2173"/>
      <c r="C61" s="2174"/>
      <c r="D61" s="2174"/>
      <c r="E61" s="2174"/>
      <c r="F61" s="2174"/>
      <c r="G61" s="2174"/>
      <c r="H61" s="2174"/>
      <c r="I61" s="2174"/>
      <c r="J61" s="2175"/>
    </row>
    <row r="62" spans="1:10" s="176" customFormat="1" x14ac:dyDescent="0.2">
      <c r="A62" s="248"/>
      <c r="B62" s="2173"/>
      <c r="C62" s="2174"/>
      <c r="D62" s="2174"/>
      <c r="E62" s="2174"/>
      <c r="F62" s="2174"/>
      <c r="G62" s="2174"/>
      <c r="H62" s="2174"/>
      <c r="I62" s="2174"/>
      <c r="J62" s="2175"/>
    </row>
    <row r="63" spans="1:10" s="176" customFormat="1" x14ac:dyDescent="0.2">
      <c r="A63" s="248"/>
      <c r="B63" s="2173"/>
      <c r="C63" s="2174"/>
      <c r="D63" s="2174"/>
      <c r="E63" s="2174"/>
      <c r="F63" s="2174"/>
      <c r="G63" s="2174"/>
      <c r="H63" s="2174"/>
      <c r="I63" s="2174"/>
      <c r="J63" s="2175"/>
    </row>
    <row r="64" spans="1:10" s="176" customFormat="1" x14ac:dyDescent="0.2">
      <c r="A64" s="248"/>
      <c r="B64" s="2173"/>
      <c r="C64" s="2174"/>
      <c r="D64" s="2174"/>
      <c r="E64" s="2174"/>
      <c r="F64" s="2174"/>
      <c r="G64" s="2174"/>
      <c r="H64" s="2174"/>
      <c r="I64" s="2174"/>
      <c r="J64" s="2175"/>
    </row>
    <row r="65" spans="1:11" s="176" customFormat="1" x14ac:dyDescent="0.2">
      <c r="A65" s="248"/>
      <c r="B65" s="2173"/>
      <c r="C65" s="2174"/>
      <c r="D65" s="2174"/>
      <c r="E65" s="2174"/>
      <c r="F65" s="2174"/>
      <c r="G65" s="2174"/>
      <c r="H65" s="2174"/>
      <c r="I65" s="2174"/>
      <c r="J65" s="2175"/>
    </row>
    <row r="66" spans="1:11" s="176" customFormat="1" x14ac:dyDescent="0.2">
      <c r="A66" s="248"/>
      <c r="B66" s="2173"/>
      <c r="C66" s="2174"/>
      <c r="D66" s="2174"/>
      <c r="E66" s="2174"/>
      <c r="F66" s="2174"/>
      <c r="G66" s="2174"/>
      <c r="H66" s="2174"/>
      <c r="I66" s="2174"/>
      <c r="J66" s="2175"/>
    </row>
    <row r="67" spans="1:11" s="176" customFormat="1" ht="9" customHeight="1" x14ac:dyDescent="0.2">
      <c r="A67" s="249"/>
      <c r="B67" s="2176"/>
      <c r="C67" s="2177"/>
      <c r="D67" s="2177"/>
      <c r="E67" s="2177"/>
      <c r="F67" s="2177"/>
      <c r="G67" s="2177"/>
      <c r="H67" s="2177"/>
      <c r="I67" s="2177"/>
      <c r="J67" s="217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3" t="s">
        <v>1312</v>
      </c>
      <c r="B70" s="2166"/>
      <c r="C70" s="2166"/>
      <c r="D70" s="2166"/>
      <c r="E70" s="2167"/>
      <c r="F70" s="2167"/>
      <c r="G70" s="2167"/>
      <c r="H70" s="2167"/>
      <c r="I70" s="2167"/>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68" t="s">
        <v>1309</v>
      </c>
      <c r="B83" s="2168"/>
      <c r="C83" s="2168"/>
      <c r="D83" s="2169"/>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79" t="s">
        <v>1989</v>
      </c>
      <c r="B85" s="2179"/>
      <c r="C85" s="2179"/>
      <c r="D85" s="2180"/>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1" t="s">
        <v>1989</v>
      </c>
      <c r="B88" s="2182"/>
      <c r="C88" s="2182"/>
      <c r="D88" s="2183"/>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0"/>
      <c r="C102" s="2151"/>
      <c r="D102" s="2151"/>
      <c r="E102" s="2151"/>
      <c r="F102" s="2151"/>
      <c r="G102" s="2151"/>
      <c r="H102" s="2151"/>
      <c r="I102" s="2152"/>
    </row>
    <row r="103" spans="1:9" s="176" customFormat="1" ht="11.25" customHeight="1" x14ac:dyDescent="0.2">
      <c r="A103" s="294"/>
      <c r="B103" s="2153"/>
      <c r="C103" s="2154"/>
      <c r="D103" s="2154"/>
      <c r="E103" s="2154"/>
      <c r="F103" s="2154"/>
      <c r="G103" s="2154"/>
      <c r="H103" s="2154"/>
      <c r="I103" s="2155"/>
    </row>
    <row r="104" spans="1:9" s="176" customFormat="1" ht="11.25" customHeight="1" x14ac:dyDescent="0.2">
      <c r="A104" s="294"/>
      <c r="B104" s="2153"/>
      <c r="C104" s="2154"/>
      <c r="D104" s="2154"/>
      <c r="E104" s="2154"/>
      <c r="F104" s="2154"/>
      <c r="G104" s="2154"/>
      <c r="H104" s="2154"/>
      <c r="I104" s="2155"/>
    </row>
    <row r="105" spans="1:9" s="176" customFormat="1" x14ac:dyDescent="0.2">
      <c r="A105" s="294"/>
      <c r="B105" s="2153"/>
      <c r="C105" s="2154"/>
      <c r="D105" s="2154"/>
      <c r="E105" s="2154"/>
      <c r="F105" s="2154"/>
      <c r="G105" s="2154"/>
      <c r="H105" s="2154"/>
      <c r="I105" s="2155"/>
    </row>
    <row r="106" spans="1:9" s="176" customFormat="1" ht="11.25" customHeight="1" x14ac:dyDescent="0.2">
      <c r="A106" s="294"/>
      <c r="B106" s="2153"/>
      <c r="C106" s="2154"/>
      <c r="D106" s="2154"/>
      <c r="E106" s="2154"/>
      <c r="F106" s="2154"/>
      <c r="G106" s="2154"/>
      <c r="H106" s="2154"/>
      <c r="I106" s="2155"/>
    </row>
    <row r="107" spans="1:9" s="176" customFormat="1" ht="11.25" customHeight="1" x14ac:dyDescent="0.2">
      <c r="A107" s="294"/>
      <c r="B107" s="2153"/>
      <c r="C107" s="2154"/>
      <c r="D107" s="2154"/>
      <c r="E107" s="2154"/>
      <c r="F107" s="2154"/>
      <c r="G107" s="2154"/>
      <c r="H107" s="2154"/>
      <c r="I107" s="2155"/>
    </row>
    <row r="108" spans="1:9" s="176" customFormat="1" ht="11.25" customHeight="1" x14ac:dyDescent="0.2">
      <c r="A108" s="294"/>
      <c r="B108" s="2153"/>
      <c r="C108" s="2154"/>
      <c r="D108" s="2154"/>
      <c r="E108" s="2154"/>
      <c r="F108" s="2154"/>
      <c r="G108" s="2154"/>
      <c r="H108" s="2154"/>
      <c r="I108" s="2155"/>
    </row>
    <row r="109" spans="1:9" s="176" customFormat="1" ht="11.25" customHeight="1" x14ac:dyDescent="0.2">
      <c r="A109" s="294"/>
      <c r="B109" s="2153"/>
      <c r="C109" s="2154"/>
      <c r="D109" s="2154"/>
      <c r="E109" s="2154"/>
      <c r="F109" s="2154"/>
      <c r="G109" s="2154"/>
      <c r="H109" s="2154"/>
      <c r="I109" s="2155"/>
    </row>
    <row r="110" spans="1:9" s="176" customFormat="1" ht="11.25" customHeight="1" x14ac:dyDescent="0.2">
      <c r="A110" s="294"/>
      <c r="B110" s="2153"/>
      <c r="C110" s="2154"/>
      <c r="D110" s="2154"/>
      <c r="E110" s="2154"/>
      <c r="F110" s="2154"/>
      <c r="G110" s="2154"/>
      <c r="H110" s="2154"/>
      <c r="I110" s="2155"/>
    </row>
    <row r="111" spans="1:9" s="176" customFormat="1" ht="11.25" customHeight="1" x14ac:dyDescent="0.2">
      <c r="A111" s="294"/>
      <c r="B111" s="2153"/>
      <c r="C111" s="2154"/>
      <c r="D111" s="2154"/>
      <c r="E111" s="2154"/>
      <c r="F111" s="2154"/>
      <c r="G111" s="2154"/>
      <c r="H111" s="2154"/>
      <c r="I111" s="2155"/>
    </row>
    <row r="112" spans="1:9" s="176" customFormat="1" ht="11.25" customHeight="1" x14ac:dyDescent="0.2">
      <c r="A112" s="294"/>
      <c r="B112" s="2156"/>
      <c r="C112" s="2157"/>
      <c r="D112" s="2157"/>
      <c r="E112" s="2157"/>
      <c r="F112" s="2157"/>
      <c r="G112" s="2157"/>
      <c r="H112" s="2157"/>
      <c r="I112" s="215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59"/>
      <c r="D114" s="2159"/>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0" t="s">
        <v>1319</v>
      </c>
      <c r="D117" s="2161"/>
      <c r="E117" s="2162"/>
      <c r="F117" s="2162"/>
      <c r="G117" s="2162"/>
      <c r="H117" s="2162"/>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1" t="str">
        <f>'Single Audit Cover'!A7</f>
        <v xml:space="preserve"> Regional Office of Car/Tech Educ</v>
      </c>
      <c r="C1" s="2582"/>
      <c r="D1" s="2582"/>
      <c r="E1" s="2582"/>
      <c r="F1" s="2582"/>
      <c r="G1" s="2582"/>
      <c r="H1" s="2582"/>
      <c r="I1" s="2582"/>
      <c r="J1" s="1178"/>
    </row>
    <row r="2" spans="2:10" s="295" customFormat="1" ht="12.75" customHeight="1" x14ac:dyDescent="0.2">
      <c r="B2" s="2583">
        <f>'Single Audit Cover'!E7</f>
        <v>51084731045</v>
      </c>
      <c r="C2" s="2584"/>
      <c r="D2" s="2584"/>
      <c r="E2" s="2584"/>
      <c r="F2" s="2584"/>
      <c r="G2" s="2584"/>
      <c r="H2" s="2584"/>
      <c r="I2" s="2584"/>
      <c r="J2" s="1178"/>
    </row>
    <row r="3" spans="2:10" s="295" customFormat="1" ht="12.75" customHeight="1" x14ac:dyDescent="0.2">
      <c r="B3" s="2585" t="s">
        <v>1274</v>
      </c>
      <c r="C3" s="2586"/>
      <c r="D3" s="2586"/>
      <c r="E3" s="2586"/>
      <c r="F3" s="2586"/>
      <c r="G3" s="2586"/>
      <c r="H3" s="2586"/>
      <c r="I3" s="2586"/>
      <c r="J3" s="1179"/>
    </row>
    <row r="4" spans="2:10" s="295" customFormat="1" ht="12.75" customHeight="1" x14ac:dyDescent="0.2">
      <c r="B4" s="2585" t="str">
        <f>'Single Audit Cover'!A4</f>
        <v>Year Ending June 30, 2020</v>
      </c>
      <c r="C4" s="2586"/>
      <c r="D4" s="2586"/>
      <c r="E4" s="2586"/>
      <c r="F4" s="2586"/>
      <c r="G4" s="2586"/>
      <c r="H4" s="2586"/>
      <c r="I4" s="2586"/>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85" t="s">
        <v>1273</v>
      </c>
      <c r="C7" s="2586"/>
      <c r="D7" s="2586"/>
      <c r="E7" s="2586"/>
      <c r="F7" s="2586"/>
      <c r="G7" s="2586"/>
      <c r="H7" s="2586"/>
      <c r="I7" s="2586"/>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87"/>
      <c r="D11" s="2587"/>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88"/>
      <c r="E29" s="2588"/>
      <c r="F29" s="2588"/>
      <c r="G29" s="2588"/>
      <c r="H29" s="2588"/>
      <c r="I29" s="2588"/>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89" t="s">
        <v>1728</v>
      </c>
      <c r="D37" s="2590"/>
      <c r="E37" s="2590"/>
      <c r="F37" s="2591"/>
      <c r="G37" s="2589" t="s">
        <v>1575</v>
      </c>
      <c r="H37" s="2590"/>
      <c r="I37" s="2591"/>
    </row>
    <row r="38" spans="2:9" ht="16.5" customHeight="1" x14ac:dyDescent="0.2">
      <c r="B38" s="1200"/>
      <c r="C38" s="2577"/>
      <c r="D38" s="2578"/>
      <c r="E38" s="2578"/>
      <c r="F38" s="2579"/>
      <c r="G38" s="2592"/>
      <c r="H38" s="2593"/>
      <c r="I38" s="2594"/>
    </row>
    <row r="39" spans="2:9" ht="16.5" customHeight="1" x14ac:dyDescent="0.2">
      <c r="B39" s="1200"/>
      <c r="C39" s="2577"/>
      <c r="D39" s="2578"/>
      <c r="E39" s="2578"/>
      <c r="F39" s="2579"/>
      <c r="G39" s="2580"/>
      <c r="H39" s="2580"/>
      <c r="I39" s="2580"/>
    </row>
    <row r="40" spans="2:9" ht="16.5" customHeight="1" x14ac:dyDescent="0.2">
      <c r="B40" s="1200"/>
      <c r="C40" s="2577"/>
      <c r="D40" s="2578"/>
      <c r="E40" s="2578"/>
      <c r="F40" s="2579"/>
      <c r="G40" s="2580"/>
      <c r="H40" s="2580"/>
      <c r="I40" s="2580"/>
    </row>
    <row r="41" spans="2:9" ht="16.5" customHeight="1" x14ac:dyDescent="0.2">
      <c r="B41" s="1200"/>
      <c r="C41" s="2577"/>
      <c r="D41" s="2578"/>
      <c r="E41" s="2578"/>
      <c r="F41" s="2579"/>
      <c r="G41" s="2580"/>
      <c r="H41" s="2580"/>
      <c r="I41" s="2580"/>
    </row>
    <row r="42" spans="2:9" ht="16.5" customHeight="1" x14ac:dyDescent="0.2">
      <c r="B42" s="1200"/>
      <c r="C42" s="2577"/>
      <c r="D42" s="2578"/>
      <c r="E42" s="2578"/>
      <c r="F42" s="2579"/>
      <c r="G42" s="2580"/>
      <c r="H42" s="2580"/>
      <c r="I42" s="2580"/>
    </row>
    <row r="43" spans="2:9" ht="16.5" customHeight="1" x14ac:dyDescent="0.2">
      <c r="B43" s="1200"/>
      <c r="C43" s="2595" t="s">
        <v>1576</v>
      </c>
      <c r="D43" s="2596"/>
      <c r="E43" s="2596"/>
      <c r="F43" s="2597"/>
      <c r="G43" s="2598">
        <f>SUM(G38:I42)</f>
        <v>0</v>
      </c>
      <c r="H43" s="2598"/>
      <c r="I43" s="2598"/>
    </row>
    <row r="44" spans="2:9" ht="12.75" customHeight="1" x14ac:dyDescent="0.2"/>
    <row r="45" spans="2:9" ht="12.75" customHeight="1" x14ac:dyDescent="0.2">
      <c r="B45" s="1917" t="str">
        <f>"Total Federal Expenditures for 7/1/"&amp;MID('AFR20'!E2,3,2)-1&amp;"-6/30/"&amp;MID('AFR20'!E2,3,2)</f>
        <v>Total Federal Expenditures for 7/1/19-6/30/20</v>
      </c>
      <c r="C45" s="1918"/>
      <c r="D45" s="2599">
        <v>0</v>
      </c>
      <c r="E45" s="2600"/>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1"/>
      <c r="F49" s="2601"/>
      <c r="G49" s="2601"/>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1" t="str">
        <f>'Single Audit Cover'!A7</f>
        <v xml:space="preserve"> Regional Office of Car/Tech Educ</v>
      </c>
      <c r="C1" s="2581"/>
      <c r="D1" s="2581"/>
      <c r="E1" s="2581"/>
      <c r="F1" s="2581"/>
      <c r="G1" s="2581"/>
      <c r="H1" s="2581"/>
      <c r="I1" s="2581"/>
      <c r="J1" s="2581"/>
      <c r="K1" s="2581"/>
      <c r="L1" s="1144"/>
      <c r="M1" s="1144"/>
    </row>
    <row r="2" spans="1:13" ht="12" customHeight="1" x14ac:dyDescent="0.2">
      <c r="B2" s="2583">
        <f>'Single Audit Cover'!E7</f>
        <v>51084731045</v>
      </c>
      <c r="C2" s="2583"/>
      <c r="D2" s="2583"/>
      <c r="E2" s="2583"/>
      <c r="F2" s="2583"/>
      <c r="G2" s="2583"/>
      <c r="H2" s="2583"/>
      <c r="I2" s="2583"/>
      <c r="J2" s="2583"/>
      <c r="K2" s="2583"/>
      <c r="L2" s="1145"/>
      <c r="M2" s="1146"/>
    </row>
    <row r="3" spans="1:13" ht="10.35" customHeight="1" x14ac:dyDescent="0.2">
      <c r="B3" s="2604" t="s">
        <v>1274</v>
      </c>
      <c r="C3" s="2604"/>
      <c r="D3" s="2604"/>
      <c r="E3" s="2604"/>
      <c r="F3" s="2604"/>
      <c r="G3" s="2604"/>
      <c r="H3" s="2604"/>
      <c r="I3" s="2604"/>
      <c r="J3" s="2604"/>
      <c r="K3" s="2604"/>
      <c r="L3" s="1147"/>
      <c r="M3" s="1147"/>
    </row>
    <row r="4" spans="1:13" ht="14.25" customHeight="1" x14ac:dyDescent="0.2">
      <c r="B4" s="2605" t="str">
        <f>'Single Audit Cover'!A4</f>
        <v>Year Ending June 30, 2020</v>
      </c>
      <c r="C4" s="2605"/>
      <c r="D4" s="2605"/>
      <c r="E4" s="2605"/>
      <c r="F4" s="2605"/>
      <c r="G4" s="2605"/>
      <c r="H4" s="2605"/>
      <c r="I4" s="2605"/>
      <c r="J4" s="2605"/>
      <c r="K4" s="2605"/>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05" t="s">
        <v>1285</v>
      </c>
      <c r="C7" s="2605"/>
      <c r="D7" s="2606"/>
      <c r="E7" s="2606"/>
      <c r="F7" s="2606"/>
      <c r="G7" s="2606"/>
      <c r="H7" s="2606"/>
      <c r="I7" s="2606"/>
      <c r="J7" s="2606"/>
      <c r="K7" s="2606"/>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3"/>
      <c r="C14" s="2603"/>
      <c r="D14" s="2603"/>
      <c r="E14" s="2603"/>
      <c r="F14" s="2603"/>
      <c r="G14" s="2603"/>
      <c r="H14" s="2603"/>
      <c r="I14" s="2603"/>
      <c r="J14" s="2603"/>
      <c r="K14" s="2603"/>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3"/>
      <c r="C17" s="2603"/>
      <c r="D17" s="2603"/>
      <c r="E17" s="2603"/>
      <c r="F17" s="2603"/>
      <c r="G17" s="2603"/>
      <c r="H17" s="2603"/>
      <c r="I17" s="2603"/>
      <c r="J17" s="2603"/>
      <c r="K17" s="2603"/>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07"/>
      <c r="C20" s="2607"/>
      <c r="D20" s="2603"/>
      <c r="E20" s="2603"/>
      <c r="F20" s="2603"/>
      <c r="G20" s="2603"/>
      <c r="H20" s="2603"/>
      <c r="I20" s="2603"/>
      <c r="J20" s="2603"/>
      <c r="K20" s="2603"/>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3"/>
      <c r="C23" s="2603"/>
      <c r="D23" s="2603"/>
      <c r="E23" s="2603"/>
      <c r="F23" s="2603"/>
      <c r="G23" s="2603"/>
      <c r="H23" s="2603"/>
      <c r="I23" s="2603"/>
      <c r="J23" s="2603"/>
      <c r="K23" s="2603"/>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3"/>
      <c r="C26" s="2603"/>
      <c r="D26" s="2603"/>
      <c r="E26" s="2603"/>
      <c r="F26" s="2603"/>
      <c r="G26" s="2603"/>
      <c r="H26" s="2603"/>
      <c r="I26" s="2603"/>
      <c r="J26" s="2603"/>
      <c r="K26" s="2603"/>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2"/>
      <c r="C29" s="2602"/>
      <c r="D29" s="2603"/>
      <c r="E29" s="2603"/>
      <c r="F29" s="2603"/>
      <c r="G29" s="2603"/>
      <c r="H29" s="2603"/>
      <c r="I29" s="2603"/>
      <c r="J29" s="2603"/>
      <c r="K29" s="2603"/>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2"/>
      <c r="C32" s="2602"/>
      <c r="D32" s="2603"/>
      <c r="E32" s="2603"/>
      <c r="F32" s="2603"/>
      <c r="G32" s="2603"/>
      <c r="H32" s="2603"/>
      <c r="I32" s="2603"/>
      <c r="J32" s="2603"/>
      <c r="K32" s="2603"/>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08" t="str">
        <f>'Single Audit Cover'!A7</f>
        <v xml:space="preserve"> Regional Office of Car/Tech Educ</v>
      </c>
      <c r="C1" s="2608"/>
      <c r="D1" s="2608"/>
      <c r="E1" s="2608"/>
      <c r="F1" s="2608"/>
      <c r="G1" s="2608"/>
      <c r="H1" s="2608"/>
      <c r="I1" s="2608"/>
      <c r="J1" s="2608"/>
      <c r="K1" s="2608"/>
      <c r="L1" s="1221"/>
    </row>
    <row r="2" spans="1:12" ht="12.75" customHeight="1" x14ac:dyDescent="0.2">
      <c r="B2" s="2609">
        <f>'Single Audit Cover'!E7</f>
        <v>51084731045</v>
      </c>
      <c r="C2" s="2609"/>
      <c r="D2" s="2609"/>
      <c r="E2" s="2609"/>
      <c r="F2" s="2609"/>
      <c r="G2" s="2609"/>
      <c r="H2" s="2609"/>
      <c r="I2" s="2609"/>
      <c r="J2" s="2609"/>
      <c r="K2" s="2609"/>
      <c r="L2" s="1222"/>
    </row>
    <row r="3" spans="1:12" ht="12.75" customHeight="1" x14ac:dyDescent="0.2">
      <c r="B3" s="2604" t="s">
        <v>1274</v>
      </c>
      <c r="C3" s="2604"/>
      <c r="D3" s="2604"/>
      <c r="E3" s="2604"/>
      <c r="F3" s="2604"/>
      <c r="G3" s="2604"/>
      <c r="H3" s="2604"/>
      <c r="I3" s="2604"/>
      <c r="J3" s="2604"/>
      <c r="K3" s="2604"/>
      <c r="L3" s="1147"/>
    </row>
    <row r="4" spans="1:12" ht="12.75" customHeight="1" x14ac:dyDescent="0.2">
      <c r="B4" s="2604" t="str">
        <f>'Single Audit Cover'!A4</f>
        <v>Year Ending June 30, 2020</v>
      </c>
      <c r="C4" s="2604"/>
      <c r="D4" s="2604"/>
      <c r="E4" s="2604"/>
      <c r="F4" s="2604"/>
      <c r="G4" s="2604"/>
      <c r="H4" s="2604"/>
      <c r="I4" s="2604"/>
      <c r="J4" s="2604"/>
      <c r="K4" s="2604"/>
      <c r="L4" s="1147"/>
    </row>
    <row r="5" spans="1:12" ht="5.25" customHeight="1" x14ac:dyDescent="0.2">
      <c r="B5" s="1036" t="s">
        <v>1159</v>
      </c>
      <c r="C5" s="1036"/>
      <c r="L5" s="300"/>
    </row>
    <row r="6" spans="1:12" ht="30.75" customHeight="1" x14ac:dyDescent="0.2">
      <c r="A6" s="300"/>
      <c r="B6" s="2610" t="s">
        <v>1297</v>
      </c>
      <c r="C6" s="2610"/>
      <c r="D6" s="2610"/>
      <c r="E6" s="2610"/>
      <c r="F6" s="2610"/>
      <c r="G6" s="2610"/>
      <c r="H6" s="2610"/>
      <c r="I6" s="2610"/>
      <c r="J6" s="2610"/>
      <c r="K6" s="2610"/>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88"/>
      <c r="G12" s="2588"/>
      <c r="H12" s="2588"/>
      <c r="I12" s="2588"/>
      <c r="J12" s="2588"/>
      <c r="K12" s="2588"/>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1"/>
      <c r="E14" s="2611"/>
      <c r="F14" s="2611"/>
      <c r="H14" s="1230" t="s">
        <v>1292</v>
      </c>
      <c r="I14" s="2612"/>
      <c r="J14" s="2612"/>
      <c r="K14" s="2612"/>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2"/>
      <c r="E16" s="2612"/>
      <c r="F16" s="2612"/>
      <c r="G16" s="2612"/>
      <c r="H16" s="2612"/>
      <c r="I16" s="2612"/>
      <c r="J16" s="2612"/>
      <c r="K16" s="2612"/>
      <c r="L16" s="300"/>
    </row>
    <row r="17" spans="2:12" ht="13.5" customHeight="1" x14ac:dyDescent="0.2">
      <c r="B17" s="1156" t="s">
        <v>1290</v>
      </c>
      <c r="C17" s="1156"/>
      <c r="D17" s="2613"/>
      <c r="E17" s="2613"/>
      <c r="F17" s="2613"/>
      <c r="G17" s="2613"/>
      <c r="H17" s="2613"/>
      <c r="I17" s="2613"/>
      <c r="J17" s="2613"/>
      <c r="K17" s="2613"/>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3"/>
      <c r="C20" s="2603"/>
      <c r="D20" s="2603"/>
      <c r="E20" s="2603"/>
      <c r="F20" s="2603"/>
      <c r="G20" s="2603"/>
      <c r="H20" s="2603"/>
      <c r="I20" s="2603"/>
      <c r="J20" s="2603"/>
      <c r="K20" s="2603"/>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3"/>
      <c r="C23" s="2603"/>
      <c r="D23" s="2603"/>
      <c r="E23" s="2603"/>
      <c r="F23" s="2603"/>
      <c r="G23" s="2603"/>
      <c r="H23" s="2603"/>
      <c r="I23" s="2603"/>
      <c r="J23" s="2603"/>
      <c r="K23" s="2603"/>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3"/>
      <c r="C26" s="2603"/>
      <c r="D26" s="2603"/>
      <c r="E26" s="2603"/>
      <c r="F26" s="2603"/>
      <c r="G26" s="2603"/>
      <c r="H26" s="2603"/>
      <c r="I26" s="2603"/>
      <c r="J26" s="2603"/>
      <c r="K26" s="2603"/>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3"/>
      <c r="C29" s="2603"/>
      <c r="D29" s="2603"/>
      <c r="E29" s="2603"/>
      <c r="F29" s="2603"/>
      <c r="G29" s="2603"/>
      <c r="H29" s="2603"/>
      <c r="I29" s="2603"/>
      <c r="J29" s="2603"/>
      <c r="K29" s="2603"/>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3"/>
      <c r="C32" s="2603"/>
      <c r="D32" s="2603"/>
      <c r="E32" s="2603"/>
      <c r="F32" s="2603"/>
      <c r="G32" s="2603"/>
      <c r="H32" s="2603"/>
      <c r="I32" s="2603"/>
      <c r="J32" s="2603"/>
      <c r="K32" s="2603"/>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3"/>
      <c r="C35" s="2603"/>
      <c r="D35" s="2603"/>
      <c r="E35" s="2603"/>
      <c r="F35" s="2603"/>
      <c r="G35" s="2603"/>
      <c r="H35" s="2603"/>
      <c r="I35" s="2603"/>
      <c r="J35" s="2603"/>
      <c r="K35" s="2603"/>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3"/>
      <c r="C38" s="2603"/>
      <c r="D38" s="2603"/>
      <c r="E38" s="2603"/>
      <c r="F38" s="2603"/>
      <c r="G38" s="2603"/>
      <c r="H38" s="2603"/>
      <c r="I38" s="2603"/>
      <c r="J38" s="2603"/>
      <c r="K38" s="2603"/>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3"/>
      <c r="C41" s="2603"/>
      <c r="D41" s="2603"/>
      <c r="E41" s="2603"/>
      <c r="F41" s="2603"/>
      <c r="G41" s="2603"/>
      <c r="H41" s="2603"/>
      <c r="I41" s="2603"/>
      <c r="J41" s="2603"/>
      <c r="K41" s="2603"/>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1" t="str">
        <f>'Single Audit Cover'!A7</f>
        <v xml:space="preserve"> Regional Office of Car/Tech Educ</v>
      </c>
      <c r="C1" s="2581"/>
      <c r="D1" s="2581"/>
      <c r="E1" s="1240"/>
    </row>
    <row r="2" spans="2:5" s="1058" customFormat="1" ht="12.75" customHeight="1" x14ac:dyDescent="0.2">
      <c r="B2" s="2583">
        <f>'Single Audit Cover'!E7</f>
        <v>51084731045</v>
      </c>
      <c r="C2" s="2583"/>
      <c r="D2" s="2583"/>
      <c r="E2" s="1241"/>
    </row>
    <row r="3" spans="2:5" ht="12.75" customHeight="1" x14ac:dyDescent="0.2">
      <c r="B3" s="2604" t="s">
        <v>1743</v>
      </c>
      <c r="C3" s="2604"/>
      <c r="D3" s="2604"/>
      <c r="E3" s="1050"/>
    </row>
    <row r="4" spans="2:5" s="1058" customFormat="1" ht="12.75" customHeight="1" x14ac:dyDescent="0.2">
      <c r="B4" s="2614" t="str">
        <f>'Single Audit Cover'!A4</f>
        <v>Year Ending June 30, 2020</v>
      </c>
      <c r="C4" s="2614"/>
      <c r="D4" s="2614"/>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2" colorId="8" zoomScale="110" zoomScaleNormal="110" workbookViewId="0">
      <selection activeCell="L21" sqref="L2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4" t="s">
        <v>383</v>
      </c>
      <c r="B1" s="2184"/>
      <c r="C1" s="2184"/>
      <c r="D1" s="2184"/>
      <c r="E1" s="2184"/>
      <c r="F1" s="2184"/>
      <c r="G1" s="2184"/>
      <c r="H1" s="2184"/>
      <c r="I1" s="2184"/>
      <c r="J1" s="2184"/>
      <c r="K1" s="2184"/>
      <c r="L1" s="2184"/>
      <c r="M1" s="2184"/>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194" t="str">
        <f>IF(SUM(J10)&lt;=0.0999999,"","Enter the Tax Rates by moving the decimal two places to the left.")</f>
        <v/>
      </c>
      <c r="E11" s="2195"/>
      <c r="F11" s="2195"/>
      <c r="G11" s="2195"/>
      <c r="H11" s="2195"/>
      <c r="I11" s="2195"/>
      <c r="J11" s="219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1267052</v>
      </c>
      <c r="E16" s="1547"/>
      <c r="F16" s="1546">
        <f>SUM('Acct Summary 7-8'!C17,'Acct Summary 7-8'!D17,'Acct Summary 7-8'!F17)</f>
        <v>1233448</v>
      </c>
      <c r="G16" s="1547"/>
      <c r="H16" s="1546">
        <f>SUM(D16-F16)</f>
        <v>33604</v>
      </c>
      <c r="I16" s="1548"/>
      <c r="J16" s="1546">
        <f>SUM('Acct Summary 7-8'!C81,'Acct Summary 7-8'!D81,'Acct Summary 7-8'!F81,'Acct Summary 7-8'!I81)</f>
        <v>71104</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5"/>
      <c r="C54" s="2186"/>
      <c r="D54" s="2186"/>
      <c r="E54" s="2186"/>
      <c r="F54" s="2186"/>
      <c r="G54" s="2186"/>
      <c r="H54" s="2186"/>
      <c r="I54" s="2186"/>
      <c r="J54" s="2186"/>
      <c r="K54" s="2186"/>
      <c r="L54" s="2187"/>
      <c r="M54" s="357"/>
    </row>
    <row r="55" spans="1:13" ht="12.75" customHeight="1" x14ac:dyDescent="0.2">
      <c r="B55" s="2188"/>
      <c r="C55" s="2189"/>
      <c r="D55" s="2189"/>
      <c r="E55" s="2189"/>
      <c r="F55" s="2189"/>
      <c r="G55" s="2189"/>
      <c r="H55" s="2189"/>
      <c r="I55" s="2189"/>
      <c r="J55" s="2189"/>
      <c r="K55" s="2189"/>
      <c r="L55" s="2190"/>
      <c r="M55" s="357"/>
    </row>
    <row r="56" spans="1:13" ht="12.75" customHeight="1" x14ac:dyDescent="0.2">
      <c r="B56" s="2188"/>
      <c r="C56" s="2189"/>
      <c r="D56" s="2189"/>
      <c r="E56" s="2189"/>
      <c r="F56" s="2189"/>
      <c r="G56" s="2189"/>
      <c r="H56" s="2189"/>
      <c r="I56" s="2189"/>
      <c r="J56" s="2189"/>
      <c r="K56" s="2189"/>
      <c r="L56" s="2190"/>
      <c r="M56" s="217"/>
    </row>
    <row r="57" spans="1:13" ht="12.75" customHeight="1" x14ac:dyDescent="0.2">
      <c r="B57" s="2188"/>
      <c r="C57" s="2189"/>
      <c r="D57" s="2189"/>
      <c r="E57" s="2189"/>
      <c r="F57" s="2189"/>
      <c r="G57" s="2189"/>
      <c r="H57" s="2189"/>
      <c r="I57" s="2189"/>
      <c r="J57" s="2189"/>
      <c r="K57" s="2189"/>
      <c r="L57" s="2190"/>
      <c r="M57" s="217"/>
    </row>
    <row r="58" spans="1:13" x14ac:dyDescent="0.2">
      <c r="B58" s="2191"/>
      <c r="C58" s="2192"/>
      <c r="D58" s="2192"/>
      <c r="E58" s="2192"/>
      <c r="F58" s="2192"/>
      <c r="G58" s="2192"/>
      <c r="H58" s="2192"/>
      <c r="I58" s="2192"/>
      <c r="J58" s="2192"/>
      <c r="K58" s="2192"/>
      <c r="L58" s="219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6"/>
      <c r="D61" s="219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99"/>
      <c r="B1" s="2200"/>
      <c r="C1" s="2200"/>
      <c r="D1" s="361"/>
      <c r="E1" s="361"/>
      <c r="F1" s="361"/>
      <c r="G1" s="361"/>
      <c r="H1" s="361"/>
      <c r="I1" s="361"/>
      <c r="J1" s="361"/>
      <c r="K1" s="361"/>
      <c r="L1" s="361"/>
      <c r="M1" s="361"/>
      <c r="N1" s="361"/>
      <c r="O1" s="2199"/>
      <c r="P1" s="2200"/>
      <c r="Q1" s="2200"/>
    </row>
    <row r="2" spans="1:18" ht="15" x14ac:dyDescent="0.2">
      <c r="A2" s="2203" t="s">
        <v>552</v>
      </c>
      <c r="B2" s="2203"/>
      <c r="C2" s="2203"/>
      <c r="D2" s="2203"/>
      <c r="E2" s="2203"/>
      <c r="F2" s="2203"/>
      <c r="G2" s="2203"/>
      <c r="H2" s="2203"/>
      <c r="I2" s="2203"/>
      <c r="J2" s="2203"/>
      <c r="K2" s="2203"/>
      <c r="L2" s="2203"/>
      <c r="M2" s="2203"/>
      <c r="N2" s="2203"/>
      <c r="O2" s="2203"/>
      <c r="P2" s="2203"/>
      <c r="Q2" s="2203"/>
      <c r="R2" s="2203"/>
    </row>
    <row r="3" spans="1:18" ht="12.75" x14ac:dyDescent="0.2">
      <c r="A3" s="2204" t="s">
        <v>1396</v>
      </c>
      <c r="B3" s="2204"/>
      <c r="C3" s="2204"/>
      <c r="D3" s="2204"/>
      <c r="E3" s="2204"/>
      <c r="F3" s="2204"/>
      <c r="G3" s="2204"/>
      <c r="H3" s="2204"/>
      <c r="I3" s="2204"/>
      <c r="J3" s="2204"/>
      <c r="K3" s="2204"/>
      <c r="L3" s="2204"/>
      <c r="M3" s="2204"/>
      <c r="N3" s="2204"/>
      <c r="O3" s="2204"/>
      <c r="P3" s="2204"/>
      <c r="Q3" s="2204"/>
      <c r="R3" s="2204"/>
    </row>
    <row r="4" spans="1:18" x14ac:dyDescent="0.2">
      <c r="A4" s="2205" t="s">
        <v>1537</v>
      </c>
      <c r="B4" s="2205"/>
      <c r="C4" s="2205"/>
      <c r="D4" s="2205"/>
      <c r="E4" s="2205"/>
      <c r="F4" s="2205"/>
      <c r="G4" s="2205"/>
      <c r="H4" s="2205"/>
      <c r="I4" s="2205"/>
      <c r="J4" s="2205"/>
      <c r="K4" s="2205"/>
      <c r="L4" s="2205"/>
      <c r="M4" s="2205"/>
      <c r="N4" s="2205"/>
      <c r="O4" s="2205"/>
      <c r="P4" s="2205"/>
      <c r="Q4" s="2205"/>
      <c r="R4" s="220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Regional Office of Car/Tech Educ</v>
      </c>
      <c r="E7" s="368"/>
      <c r="G7" s="247"/>
      <c r="H7" s="364"/>
      <c r="I7" s="364"/>
      <c r="J7" s="364"/>
      <c r="K7" s="364"/>
      <c r="L7" s="307"/>
      <c r="M7" s="307"/>
      <c r="N7" s="307"/>
      <c r="O7" s="307"/>
      <c r="P7" s="307"/>
    </row>
    <row r="8" spans="1:18" ht="12.75" x14ac:dyDescent="0.2">
      <c r="A8" s="307"/>
      <c r="B8" s="307"/>
      <c r="C8" s="366" t="s">
        <v>1115</v>
      </c>
      <c r="D8" s="369">
        <f>COVER!A13</f>
        <v>51084731045</v>
      </c>
      <c r="E8" s="370"/>
      <c r="G8" s="307"/>
      <c r="H8" s="307"/>
      <c r="I8" s="307"/>
      <c r="J8" s="307"/>
      <c r="K8" s="307"/>
      <c r="L8" s="307"/>
      <c r="M8" s="307"/>
      <c r="N8" s="307"/>
      <c r="O8" s="307"/>
      <c r="P8" s="307"/>
    </row>
    <row r="9" spans="1:18" ht="12.75" x14ac:dyDescent="0.2">
      <c r="A9" s="307"/>
      <c r="B9" s="307"/>
      <c r="C9" s="366" t="s">
        <v>708</v>
      </c>
      <c r="D9" s="371" t="str">
        <f>COVER!A15</f>
        <v>Sangamon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2</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71104</v>
      </c>
      <c r="I12" s="380"/>
      <c r="J12" s="380"/>
      <c r="K12" s="1559">
        <f>TRUNC((H12/H13*100000),5)/100000</f>
        <v>5.61176652E-2</v>
      </c>
      <c r="L12" s="381"/>
      <c r="M12" s="337" t="s">
        <v>1134</v>
      </c>
      <c r="N12" s="337"/>
      <c r="O12" s="1562">
        <v>0.35</v>
      </c>
      <c r="P12" s="213"/>
      <c r="Q12" s="213"/>
    </row>
    <row r="13" spans="1:18" s="382" customFormat="1" ht="12.75" x14ac:dyDescent="0.2">
      <c r="A13" s="213"/>
      <c r="B13" s="377"/>
      <c r="C13" s="2201" t="s">
        <v>1313</v>
      </c>
      <c r="D13" s="2202"/>
      <c r="E13" s="213"/>
      <c r="F13" s="383" t="s">
        <v>788</v>
      </c>
      <c r="G13" s="378"/>
      <c r="H13" s="1551">
        <f>SUM('Acct Summary 7-8'!C8+'Acct Summary 7-8'!D8+'Acct Summary 7-8'!F8+'Acct Summary 7-8'!I8)+H14</f>
        <v>1267052</v>
      </c>
      <c r="I13" s="380"/>
      <c r="J13" s="380"/>
      <c r="K13" s="1558"/>
      <c r="L13" s="213"/>
      <c r="M13" s="337" t="s">
        <v>1135</v>
      </c>
      <c r="N13" s="337"/>
      <c r="O13" s="1563">
        <f>(O11*O12)</f>
        <v>0.7</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1233448</v>
      </c>
      <c r="I17" s="380"/>
      <c r="J17" s="389"/>
      <c r="K17" s="1559">
        <f>TRUNC((H17/H18*100000),5)/100000</f>
        <v>0.97347859439999995</v>
      </c>
      <c r="L17" s="381"/>
      <c r="M17" s="390" t="s">
        <v>1161</v>
      </c>
      <c r="O17" s="1565" t="str">
        <f>IF(AND(O16="2", J20 &gt; 2),"1",IF(AND(O16 = "1", J20 &gt; 2),"2",IF(AND(O16="1", J20 &gt;1),"1","0")))</f>
        <v>0</v>
      </c>
      <c r="P17" s="213"/>
    </row>
    <row r="18" spans="1:18" s="382" customFormat="1" ht="11.25" x14ac:dyDescent="0.2">
      <c r="A18" s="213"/>
      <c r="B18" s="377"/>
      <c r="C18" s="2201" t="s">
        <v>1306</v>
      </c>
      <c r="D18" s="2202"/>
      <c r="E18" s="213"/>
      <c r="F18" s="391" t="s">
        <v>789</v>
      </c>
      <c r="G18" s="378"/>
      <c r="H18" s="1551">
        <f>SUM('Acct Summary 7-8'!C8+'Acct Summary 7-8'!D8+'Acct Summary 7-8'!F8+'Acct Summary 7-8'!I8)+H19</f>
        <v>1267052</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198" t="s">
        <v>1395</v>
      </c>
      <c r="D24" s="2198"/>
      <c r="E24" s="213"/>
      <c r="F24" s="213" t="s">
        <v>442</v>
      </c>
      <c r="G24" s="378"/>
      <c r="H24" s="1551">
        <f>SUM('Assets-Liab 5-6'!C4+'Assets-Liab 5-6'!D4+'Assets-Liab 5-6'!F4+'Assets-Liab 5-6'!I4+'Assets-Liab 5-6'!C5+'Assets-Liab 5-6'!D5+'Assets-Liab 5-6'!F5+'Assets-Liab 5-6'!I5)</f>
        <v>372881</v>
      </c>
      <c r="I24" s="394"/>
      <c r="J24" s="394"/>
      <c r="K24" s="1555">
        <f>TRUNC(((H24/H25*100000)/100000),2)</f>
        <v>108.83</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3426.2444399999999</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3" activePane="bottomLeft" state="frozen"/>
      <selection pane="bottomLeft" activeCell="C9" sqref="C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6"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07"/>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08" t="s">
        <v>967</v>
      </c>
      <c r="B3" s="2209"/>
      <c r="C3" s="1306"/>
      <c r="D3" s="1307"/>
      <c r="E3" s="1307"/>
      <c r="F3" s="1307"/>
      <c r="G3" s="1307"/>
      <c r="H3" s="1307"/>
      <c r="I3" s="1307"/>
      <c r="J3" s="1307"/>
      <c r="K3" s="1307"/>
      <c r="L3" s="1307"/>
      <c r="M3" s="1308"/>
      <c r="N3" s="1309"/>
    </row>
    <row r="4" spans="1:14" ht="13.5" customHeight="1" x14ac:dyDescent="0.2">
      <c r="A4" s="427" t="s">
        <v>1632</v>
      </c>
      <c r="B4" s="428"/>
      <c r="C4" s="1572">
        <v>372881</v>
      </c>
      <c r="D4" s="1573"/>
      <c r="E4" s="1573"/>
      <c r="F4" s="1573"/>
      <c r="G4" s="1573"/>
      <c r="H4" s="1573"/>
      <c r="I4" s="1573"/>
      <c r="J4" s="1574"/>
      <c r="K4" s="1573"/>
      <c r="L4" s="1573"/>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v>7735</v>
      </c>
      <c r="D8" s="1574"/>
      <c r="E8" s="1574"/>
      <c r="F8" s="1574"/>
      <c r="G8" s="1583"/>
      <c r="H8" s="1574"/>
      <c r="I8" s="1579"/>
      <c r="J8" s="1579"/>
      <c r="K8" s="1584"/>
      <c r="L8" s="1585"/>
      <c r="M8" s="1575"/>
      <c r="N8" s="1576"/>
    </row>
    <row r="9" spans="1:14" ht="13.5" customHeight="1" x14ac:dyDescent="0.2">
      <c r="A9" s="430" t="s">
        <v>268</v>
      </c>
      <c r="B9" s="429">
        <v>160</v>
      </c>
      <c r="C9" s="1581">
        <v>0</v>
      </c>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v>9528</v>
      </c>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390144</v>
      </c>
      <c r="D13" s="1587">
        <f t="shared" ref="D13:L13" si="0">SUM(D4:D12)</f>
        <v>0</v>
      </c>
      <c r="E13" s="1587">
        <f t="shared" si="0"/>
        <v>0</v>
      </c>
      <c r="F13" s="1587">
        <f t="shared" si="0"/>
        <v>0</v>
      </c>
      <c r="G13" s="1587">
        <f t="shared" si="0"/>
        <v>0</v>
      </c>
      <c r="H13" s="1587">
        <f t="shared" si="0"/>
        <v>0</v>
      </c>
      <c r="I13" s="1587">
        <f t="shared" si="0"/>
        <v>0</v>
      </c>
      <c r="J13" s="1587">
        <f t="shared" si="0"/>
        <v>0</v>
      </c>
      <c r="K13" s="1587">
        <f t="shared" si="0"/>
        <v>0</v>
      </c>
      <c r="L13" s="1587">
        <f t="shared" si="0"/>
        <v>0</v>
      </c>
      <c r="M13" s="1575"/>
      <c r="N13" s="1576"/>
    </row>
    <row r="14" spans="1:14" ht="18" customHeight="1" thickTop="1" x14ac:dyDescent="0.2">
      <c r="A14" s="2210" t="s">
        <v>146</v>
      </c>
      <c r="B14" s="2211"/>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c r="N16" s="1592"/>
    </row>
    <row r="17" spans="1:14" s="433" customFormat="1" ht="12.75" customHeight="1" x14ac:dyDescent="0.2">
      <c r="A17" s="431" t="s">
        <v>1386</v>
      </c>
      <c r="B17" s="432">
        <v>230</v>
      </c>
      <c r="C17" s="1582"/>
      <c r="D17" s="1582"/>
      <c r="E17" s="1582"/>
      <c r="F17" s="1582"/>
      <c r="G17" s="1582"/>
      <c r="H17" s="1582"/>
      <c r="I17" s="1582"/>
      <c r="J17" s="1582"/>
      <c r="K17" s="1582"/>
      <c r="L17" s="1582"/>
      <c r="M17" s="1574"/>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157601</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157601</v>
      </c>
      <c r="N23" s="1594">
        <f>SUM(N21:N22)</f>
        <v>0</v>
      </c>
    </row>
    <row r="24" spans="1:14" ht="18" customHeight="1" thickTop="1" x14ac:dyDescent="0.2">
      <c r="A24" s="2212" t="s">
        <v>594</v>
      </c>
      <c r="B24" s="2213"/>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v>5000</v>
      </c>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v>31</v>
      </c>
      <c r="D31" s="1574"/>
      <c r="E31" s="1574"/>
      <c r="F31" s="1573"/>
      <c r="G31" s="1574"/>
      <c r="H31" s="1574"/>
      <c r="I31" s="1574"/>
      <c r="J31" s="1574"/>
      <c r="K31" s="1574"/>
      <c r="L31" s="1575"/>
      <c r="M31" s="1575"/>
      <c r="N31" s="1575"/>
    </row>
    <row r="32" spans="1:14" ht="13.5" customHeight="1" x14ac:dyDescent="0.2">
      <c r="A32" s="434" t="s">
        <v>647</v>
      </c>
      <c r="B32" s="435">
        <v>490</v>
      </c>
      <c r="C32" s="1599">
        <v>314009</v>
      </c>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c r="M33" s="1575"/>
      <c r="N33" s="1576"/>
    </row>
    <row r="34" spans="1:14" ht="13.5" customHeight="1" thickBot="1" x14ac:dyDescent="0.25">
      <c r="A34" s="1427" t="s">
        <v>649</v>
      </c>
      <c r="B34" s="1428"/>
      <c r="C34" s="1600">
        <f>SUM(C25:C33)</f>
        <v>319040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14" t="s">
        <v>526</v>
      </c>
      <c r="B35" s="2215"/>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v>0</v>
      </c>
      <c r="D38" s="1573"/>
      <c r="E38" s="1573"/>
      <c r="F38" s="1573"/>
      <c r="G38" s="1573"/>
      <c r="H38" s="1573"/>
      <c r="I38" s="1573"/>
      <c r="J38" s="1574"/>
      <c r="K38" s="1573"/>
      <c r="L38" s="1586"/>
      <c r="M38" s="1604"/>
      <c r="N38" s="1604"/>
    </row>
    <row r="39" spans="1:14" s="307" customFormat="1" ht="13.5" customHeight="1" x14ac:dyDescent="0.2">
      <c r="A39" s="438" t="s">
        <v>339</v>
      </c>
      <c r="B39" s="432">
        <v>730</v>
      </c>
      <c r="C39" s="1573">
        <v>71104</v>
      </c>
      <c r="D39" s="1573"/>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157601</v>
      </c>
      <c r="N40" s="1604"/>
    </row>
    <row r="41" spans="1:14" ht="13.5" customHeight="1" thickBot="1" x14ac:dyDescent="0.25">
      <c r="A41" s="1426" t="s">
        <v>650</v>
      </c>
      <c r="B41" s="1405"/>
      <c r="C41" s="1594">
        <f>(SUM(C34,C37,C38,C39))</f>
        <v>390144</v>
      </c>
      <c r="D41" s="1594">
        <f t="shared" ref="D41:L41" si="2">SUM(D34,D37,D38:D39)</f>
        <v>0</v>
      </c>
      <c r="E41" s="1594">
        <f t="shared" si="2"/>
        <v>0</v>
      </c>
      <c r="F41" s="1594">
        <f t="shared" si="2"/>
        <v>0</v>
      </c>
      <c r="G41" s="1594">
        <f t="shared" si="2"/>
        <v>0</v>
      </c>
      <c r="H41" s="1594">
        <f t="shared" si="2"/>
        <v>0</v>
      </c>
      <c r="I41" s="1594">
        <f t="shared" si="2"/>
        <v>0</v>
      </c>
      <c r="J41" s="1594">
        <f t="shared" si="2"/>
        <v>0</v>
      </c>
      <c r="K41" s="1594">
        <f t="shared" si="2"/>
        <v>0</v>
      </c>
      <c r="L41" s="1594">
        <f t="shared" si="2"/>
        <v>0</v>
      </c>
      <c r="M41" s="1594">
        <f>SUM(M40)</f>
        <v>157601</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4"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5"/>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36" t="s">
        <v>1165</v>
      </c>
      <c r="B3" s="2237"/>
      <c r="C3" s="1311"/>
      <c r="D3" s="1312"/>
      <c r="E3" s="1312"/>
      <c r="F3" s="1312"/>
      <c r="G3" s="1312"/>
      <c r="H3" s="1312"/>
      <c r="I3" s="1312"/>
      <c r="J3" s="1312"/>
      <c r="K3" s="1313"/>
      <c r="L3" s="446"/>
    </row>
    <row r="4" spans="1:13" ht="15.75" customHeight="1" x14ac:dyDescent="0.2">
      <c r="A4" s="1537" t="s">
        <v>1482</v>
      </c>
      <c r="B4" s="1538">
        <v>1000</v>
      </c>
      <c r="C4" s="1606">
        <f>'Revenues 9-14'!C109</f>
        <v>158295</v>
      </c>
      <c r="D4" s="1606">
        <f>'Revenues 9-14'!D109</f>
        <v>0</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757489</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351268</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1267052</v>
      </c>
      <c r="D8" s="1594">
        <f t="shared" ref="D8:K8" si="0">SUM(D4:D7)</f>
        <v>0</v>
      </c>
      <c r="E8" s="1594">
        <f t="shared" si="0"/>
        <v>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v>0</v>
      </c>
      <c r="D9" s="1613"/>
      <c r="E9" s="1586"/>
      <c r="F9" s="1586"/>
      <c r="G9" s="1614"/>
      <c r="H9" s="1586"/>
      <c r="I9" s="1609" t="s">
        <v>1159</v>
      </c>
      <c r="J9" s="1583"/>
      <c r="K9" s="1586"/>
      <c r="L9" s="325"/>
    </row>
    <row r="10" spans="1:13" s="452" customFormat="1" ht="13.5" thickBot="1" x14ac:dyDescent="0.25">
      <c r="A10" s="1426" t="s">
        <v>1163</v>
      </c>
      <c r="B10" s="1407"/>
      <c r="C10" s="1594">
        <f>SUM(C8:C9)</f>
        <v>1267052</v>
      </c>
      <c r="D10" s="1594">
        <f t="shared" ref="D10:K10" si="1">SUM(D8:D9)</f>
        <v>0</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10" t="s">
        <v>1166</v>
      </c>
      <c r="B11" s="2211"/>
      <c r="C11" s="1602"/>
      <c r="D11" s="1603"/>
      <c r="E11" s="1603"/>
      <c r="F11" s="1603"/>
      <c r="G11" s="1603"/>
      <c r="H11" s="1603"/>
      <c r="I11" s="1603"/>
      <c r="J11" s="1603"/>
      <c r="K11" s="1615"/>
      <c r="L11" s="451"/>
    </row>
    <row r="12" spans="1:13" ht="15.75" customHeight="1" x14ac:dyDescent="0.2">
      <c r="A12" s="1314" t="s">
        <v>453</v>
      </c>
      <c r="B12" s="1316">
        <v>1000</v>
      </c>
      <c r="C12" s="1606">
        <f>'Expenditures 15-22'!K33</f>
        <v>287025</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287567</v>
      </c>
      <c r="D13" s="1607">
        <f>'Expenditures 15-22'!K129</f>
        <v>0</v>
      </c>
      <c r="E13" s="1576" t="s">
        <v>1159</v>
      </c>
      <c r="F13" s="1607">
        <f>'Expenditures 15-22'!K184</f>
        <v>0</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658856</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1233448</v>
      </c>
      <c r="D17" s="1594">
        <f t="shared" si="2"/>
        <v>0</v>
      </c>
      <c r="E17" s="1594">
        <f t="shared" si="2"/>
        <v>0</v>
      </c>
      <c r="F17" s="1594">
        <f t="shared" si="2"/>
        <v>0</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1233448</v>
      </c>
      <c r="D19" s="1594">
        <f t="shared" si="4"/>
        <v>0</v>
      </c>
      <c r="E19" s="1594">
        <f t="shared" si="4"/>
        <v>0</v>
      </c>
      <c r="F19" s="1594">
        <f t="shared" si="4"/>
        <v>0</v>
      </c>
      <c r="G19" s="1594">
        <f t="shared" si="4"/>
        <v>0</v>
      </c>
      <c r="H19" s="1594">
        <f t="shared" si="4"/>
        <v>0</v>
      </c>
      <c r="I19" s="1575"/>
      <c r="J19" s="1594">
        <f>SUM(J17:J18)</f>
        <v>0</v>
      </c>
      <c r="K19" s="1594">
        <f>SUM(K17:K18)</f>
        <v>0</v>
      </c>
      <c r="L19" s="325"/>
    </row>
    <row r="20" spans="1:12" ht="16.5" thickTop="1" thickBot="1" x14ac:dyDescent="0.25">
      <c r="A20" s="2226" t="s">
        <v>1636</v>
      </c>
      <c r="B20" s="2227"/>
      <c r="C20" s="1622">
        <f>C8-C17</f>
        <v>33604</v>
      </c>
      <c r="D20" s="1622">
        <f t="shared" ref="D20:K20" si="5">D8-D17</f>
        <v>0</v>
      </c>
      <c r="E20" s="1622">
        <f t="shared" si="5"/>
        <v>0</v>
      </c>
      <c r="F20" s="1622">
        <f t="shared" si="5"/>
        <v>0</v>
      </c>
      <c r="G20" s="1622">
        <f t="shared" si="5"/>
        <v>0</v>
      </c>
      <c r="H20" s="1622">
        <f t="shared" si="5"/>
        <v>0</v>
      </c>
      <c r="I20" s="1622">
        <f t="shared" si="5"/>
        <v>0</v>
      </c>
      <c r="J20" s="1622">
        <f t="shared" si="5"/>
        <v>0</v>
      </c>
      <c r="K20" s="1622">
        <f t="shared" si="5"/>
        <v>0</v>
      </c>
      <c r="L20" s="325"/>
    </row>
    <row r="21" spans="1:12" ht="16.7" customHeight="1" thickTop="1" x14ac:dyDescent="0.2">
      <c r="A21" s="2238" t="s">
        <v>591</v>
      </c>
      <c r="B21" s="2239"/>
      <c r="C21" s="1602"/>
      <c r="D21" s="1603"/>
      <c r="E21" s="1603"/>
      <c r="F21" s="1603"/>
      <c r="G21" s="1603"/>
      <c r="H21" s="1603"/>
      <c r="I21" s="1603"/>
      <c r="J21" s="1603"/>
      <c r="K21" s="1615"/>
      <c r="L21" s="453"/>
    </row>
    <row r="22" spans="1:12" ht="15.75" customHeight="1" collapsed="1" x14ac:dyDescent="0.2">
      <c r="A22" s="2234" t="s">
        <v>592</v>
      </c>
      <c r="B22" s="2235"/>
      <c r="C22" s="1582"/>
      <c r="D22" s="1582"/>
      <c r="E22" s="1582"/>
      <c r="F22" s="1582"/>
      <c r="G22" s="1582"/>
      <c r="H22" s="1582"/>
      <c r="I22" s="1582"/>
      <c r="J22" s="1582"/>
      <c r="K22" s="1582"/>
      <c r="L22" s="325"/>
    </row>
    <row r="23" spans="1:12" s="433" customFormat="1" ht="15.75" customHeight="1" x14ac:dyDescent="0.2">
      <c r="A23" s="2230" t="s">
        <v>290</v>
      </c>
      <c r="B23" s="2231"/>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2" t="s">
        <v>974</v>
      </c>
      <c r="B32" s="2233"/>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0" t="s">
        <v>371</v>
      </c>
      <c r="B44" s="2241"/>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4" t="s">
        <v>108</v>
      </c>
      <c r="B45" s="2235"/>
      <c r="C45" s="1625"/>
      <c r="D45" s="1625"/>
      <c r="E45" s="1625"/>
      <c r="F45" s="1625"/>
      <c r="G45" s="1625"/>
      <c r="H45" s="1625"/>
      <c r="I45" s="1625"/>
      <c r="J45" s="1625"/>
      <c r="K45" s="1625"/>
      <c r="L45" s="325"/>
    </row>
    <row r="46" spans="1:12" s="433" customFormat="1" ht="15.75" customHeight="1" x14ac:dyDescent="0.2">
      <c r="A46" s="2242" t="s">
        <v>109</v>
      </c>
      <c r="B46" s="2243"/>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16" t="s">
        <v>437</v>
      </c>
      <c r="B76" s="2217"/>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18" t="s">
        <v>1167</v>
      </c>
      <c r="B77" s="2219"/>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2" t="s">
        <v>593</v>
      </c>
      <c r="B78" s="2223"/>
      <c r="C78" s="1629">
        <f t="shared" ref="C78:K78" si="9">C20+C77</f>
        <v>33604</v>
      </c>
      <c r="D78" s="1629">
        <f t="shared" si="9"/>
        <v>0</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37500</v>
      </c>
      <c r="D79" s="1630"/>
      <c r="E79" s="1630"/>
      <c r="F79" s="1630"/>
      <c r="G79" s="1630"/>
      <c r="H79" s="1630"/>
      <c r="I79" s="1630"/>
      <c r="J79" s="1630"/>
      <c r="K79" s="1630"/>
      <c r="L79" s="325"/>
    </row>
    <row r="80" spans="1:12" x14ac:dyDescent="0.2">
      <c r="A80" s="2228" t="s">
        <v>1772</v>
      </c>
      <c r="B80" s="2229"/>
      <c r="C80" s="1574"/>
      <c r="D80" s="1574"/>
      <c r="E80" s="1574"/>
      <c r="F80" s="1574"/>
      <c r="G80" s="1574"/>
      <c r="H80" s="1574"/>
      <c r="I80" s="1574"/>
      <c r="J80" s="1574"/>
      <c r="K80" s="1574"/>
      <c r="L80" s="325"/>
    </row>
    <row r="81" spans="1:12" ht="13.5" thickBot="1" x14ac:dyDescent="0.25">
      <c r="A81" s="2220" t="str">
        <f>"Fund Balances - June 30, "&amp;'AFR20'!E2</f>
        <v>Fund Balances - June 30, 2020</v>
      </c>
      <c r="B81" s="2221"/>
      <c r="C81" s="1594">
        <f>(SUM(C78:C80))</f>
        <v>71104</v>
      </c>
      <c r="D81" s="1594">
        <f>SUM(D78:D80)</f>
        <v>0</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33604</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0.47260351035103509</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92" activePane="bottomLeft" state="frozen"/>
      <selection pane="bottomLeft" activeCell="C219" sqref="C21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4" t="s">
        <v>1779</v>
      </c>
      <c r="B1" s="416"/>
      <c r="C1" s="417" t="s">
        <v>422</v>
      </c>
      <c r="D1" s="417" t="s">
        <v>423</v>
      </c>
      <c r="E1" s="417" t="s">
        <v>424</v>
      </c>
      <c r="F1" s="417" t="s">
        <v>425</v>
      </c>
      <c r="G1" s="417" t="s">
        <v>426</v>
      </c>
      <c r="H1" s="417" t="s">
        <v>427</v>
      </c>
      <c r="I1" s="417" t="s">
        <v>428</v>
      </c>
      <c r="J1" s="417" t="s">
        <v>429</v>
      </c>
      <c r="K1" s="417" t="s">
        <v>751</v>
      </c>
    </row>
    <row r="2" spans="1:12" ht="36" x14ac:dyDescent="0.2">
      <c r="A2" s="2225"/>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c r="D5" s="1586"/>
      <c r="E5" s="1573"/>
      <c r="F5" s="1631"/>
      <c r="G5" s="1573"/>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1380</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1380</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156915</v>
      </c>
      <c r="D107" s="1573"/>
      <c r="E107" s="1573"/>
      <c r="F107" s="1573"/>
      <c r="G107" s="1573"/>
      <c r="H107" s="1573"/>
      <c r="I107" s="1573"/>
      <c r="J107" s="1574"/>
      <c r="K107" s="1573"/>
    </row>
    <row r="108" spans="1:12" ht="12.75" customHeight="1" thickBot="1" x14ac:dyDescent="0.25">
      <c r="A108" s="1406" t="s">
        <v>484</v>
      </c>
      <c r="B108" s="1408"/>
      <c r="C108" s="1633">
        <f>SUM(C95:C107)</f>
        <v>156915</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158295</v>
      </c>
      <c r="D109" s="1641">
        <f t="shared" si="4"/>
        <v>0</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737989</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v>19500</v>
      </c>
      <c r="D140" s="1573"/>
      <c r="E140" s="1640"/>
      <c r="F140" s="1582"/>
      <c r="G140" s="1574"/>
      <c r="H140" s="1575"/>
      <c r="I140" s="1575"/>
      <c r="J140" s="1575"/>
      <c r="K140" s="1575"/>
    </row>
    <row r="141" spans="1:11" ht="12.75" customHeight="1" thickBot="1" x14ac:dyDescent="0.25">
      <c r="A141" s="1406" t="s">
        <v>599</v>
      </c>
      <c r="B141" s="1414"/>
      <c r="C141" s="1633">
        <f>SUM(C134:C140)</f>
        <v>757489</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44" t="s">
        <v>395</v>
      </c>
      <c r="B169" s="2245"/>
      <c r="C169" s="1658">
        <f t="shared" ref="C169:K169" si="6">SUM(C132,C141,C145,C146:C150,C155,C156:C167,C168)</f>
        <v>757489</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757489</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46" t="s">
        <v>1475</v>
      </c>
      <c r="B172" s="2247"/>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0" t="s">
        <v>1646</v>
      </c>
      <c r="B175" s="2251"/>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4" t="s">
        <v>1645</v>
      </c>
      <c r="B176" s="2255"/>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2" t="s">
        <v>780</v>
      </c>
      <c r="B181" s="2253"/>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48" t="s">
        <v>1780</v>
      </c>
      <c r="B182" s="2249"/>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351268</v>
      </c>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351268</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351268</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351268</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1267052</v>
      </c>
      <c r="D268" s="1641">
        <f t="shared" si="12"/>
        <v>0</v>
      </c>
      <c r="E268" s="1641">
        <f t="shared" si="12"/>
        <v>0</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225" activePane="bottomLeft" state="frozen"/>
      <selection pane="bottomLeft" activeCell="H99" sqref="H9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4"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58"/>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4" t="s">
        <v>294</v>
      </c>
      <c r="B3" s="2265"/>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c r="D5" s="1573"/>
      <c r="E5" s="1573"/>
      <c r="F5" s="1573"/>
      <c r="G5" s="1573"/>
      <c r="H5" s="1573"/>
      <c r="I5" s="1574"/>
      <c r="J5" s="1574"/>
      <c r="K5" s="1672">
        <f>SUM(C5:J5)</f>
        <v>0</v>
      </c>
      <c r="L5" s="1573"/>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c r="D8" s="1573"/>
      <c r="E8" s="1573"/>
      <c r="F8" s="1573"/>
      <c r="G8" s="1573"/>
      <c r="H8" s="1573"/>
      <c r="I8" s="1574"/>
      <c r="J8" s="1574"/>
      <c r="K8" s="1672">
        <f t="shared" si="0"/>
        <v>0</v>
      </c>
      <c r="L8" s="1573"/>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v>132792</v>
      </c>
      <c r="G13" s="1573">
        <v>154233</v>
      </c>
      <c r="H13" s="1573"/>
      <c r="I13" s="1574"/>
      <c r="J13" s="1574"/>
      <c r="K13" s="1672">
        <f t="shared" si="0"/>
        <v>287025</v>
      </c>
      <c r="L13" s="1573"/>
    </row>
    <row r="14" spans="1:14" x14ac:dyDescent="0.2">
      <c r="A14" s="1274" t="s">
        <v>957</v>
      </c>
      <c r="B14" s="503">
        <v>1500</v>
      </c>
      <c r="C14" s="1573"/>
      <c r="D14" s="1573"/>
      <c r="E14" s="1573"/>
      <c r="F14" s="1573"/>
      <c r="G14" s="1573"/>
      <c r="H14" s="1573"/>
      <c r="I14" s="1574"/>
      <c r="J14" s="1574"/>
      <c r="K14" s="1672">
        <f t="shared" si="0"/>
        <v>0</v>
      </c>
      <c r="L14" s="1573"/>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0</v>
      </c>
      <c r="D33" s="1674">
        <f t="shared" ref="D33:L33" si="1">SUM(D5:D32)</f>
        <v>0</v>
      </c>
      <c r="E33" s="1674">
        <f t="shared" si="1"/>
        <v>0</v>
      </c>
      <c r="F33" s="1674">
        <f t="shared" si="1"/>
        <v>132792</v>
      </c>
      <c r="G33" s="1674">
        <f t="shared" si="1"/>
        <v>154233</v>
      </c>
      <c r="H33" s="1674">
        <f t="shared" si="1"/>
        <v>0</v>
      </c>
      <c r="I33" s="1674">
        <f t="shared" si="1"/>
        <v>0</v>
      </c>
      <c r="J33" s="1674">
        <f t="shared" si="1"/>
        <v>0</v>
      </c>
      <c r="K33" s="1674">
        <f t="shared" si="1"/>
        <v>287025</v>
      </c>
      <c r="L33" s="1674">
        <f t="shared" si="1"/>
        <v>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v>62077</v>
      </c>
      <c r="D37" s="1573">
        <v>18826</v>
      </c>
      <c r="E37" s="1573">
        <v>11222</v>
      </c>
      <c r="F37" s="1573">
        <v>37127</v>
      </c>
      <c r="G37" s="1573">
        <v>1609</v>
      </c>
      <c r="H37" s="1573"/>
      <c r="I37" s="1574"/>
      <c r="J37" s="1574"/>
      <c r="K37" s="1672">
        <f t="shared" si="2"/>
        <v>130861</v>
      </c>
      <c r="L37" s="1573"/>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62077</v>
      </c>
      <c r="D42" s="1674">
        <f t="shared" ref="D42:L42" si="3">SUM(D36:D41)</f>
        <v>18826</v>
      </c>
      <c r="E42" s="1674">
        <f t="shared" si="3"/>
        <v>11222</v>
      </c>
      <c r="F42" s="1674">
        <f t="shared" si="3"/>
        <v>37127</v>
      </c>
      <c r="G42" s="1674">
        <f t="shared" si="3"/>
        <v>1609</v>
      </c>
      <c r="H42" s="1674">
        <f t="shared" si="3"/>
        <v>0</v>
      </c>
      <c r="I42" s="1674">
        <f t="shared" si="3"/>
        <v>0</v>
      </c>
      <c r="J42" s="1674">
        <f t="shared" si="3"/>
        <v>0</v>
      </c>
      <c r="K42" s="1674">
        <f t="shared" si="3"/>
        <v>130861</v>
      </c>
      <c r="L42" s="1674">
        <f t="shared" si="3"/>
        <v>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12570</v>
      </c>
      <c r="D44" s="1586"/>
      <c r="E44" s="1586">
        <v>18490</v>
      </c>
      <c r="F44" s="1586">
        <v>3560</v>
      </c>
      <c r="G44" s="1586"/>
      <c r="H44" s="1586"/>
      <c r="I44" s="1574"/>
      <c r="J44" s="1574"/>
      <c r="K44" s="1678">
        <f>SUM(C44:J44)</f>
        <v>34620</v>
      </c>
      <c r="L44" s="1586"/>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12570</v>
      </c>
      <c r="D47" s="1674">
        <f t="shared" ref="D47:K47" si="4">SUM(D44:D46)</f>
        <v>0</v>
      </c>
      <c r="E47" s="1674">
        <f t="shared" si="4"/>
        <v>18490</v>
      </c>
      <c r="F47" s="1674">
        <f t="shared" si="4"/>
        <v>3560</v>
      </c>
      <c r="G47" s="1674">
        <f t="shared" si="4"/>
        <v>0</v>
      </c>
      <c r="H47" s="1674">
        <f t="shared" si="4"/>
        <v>0</v>
      </c>
      <c r="I47" s="1674">
        <f t="shared" si="4"/>
        <v>0</v>
      </c>
      <c r="J47" s="1674">
        <f t="shared" si="4"/>
        <v>0</v>
      </c>
      <c r="K47" s="1674">
        <f t="shared" si="4"/>
        <v>34620</v>
      </c>
      <c r="L47" s="1674">
        <f>SUM(L44:L46)</f>
        <v>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c r="F49" s="1586"/>
      <c r="G49" s="1586"/>
      <c r="H49" s="1586"/>
      <c r="I49" s="1574"/>
      <c r="J49" s="1574"/>
      <c r="K49" s="1678">
        <f>SUM(C49:J49)</f>
        <v>0</v>
      </c>
      <c r="L49" s="1586"/>
    </row>
    <row r="50" spans="1:14" x14ac:dyDescent="0.2">
      <c r="A50" s="1274" t="s">
        <v>813</v>
      </c>
      <c r="B50" s="503">
        <v>2320</v>
      </c>
      <c r="C50" s="1573">
        <v>78830</v>
      </c>
      <c r="D50" s="1573">
        <v>5842</v>
      </c>
      <c r="E50" s="1573">
        <v>34390</v>
      </c>
      <c r="F50" s="1573">
        <v>2508</v>
      </c>
      <c r="G50" s="1573"/>
      <c r="H50" s="1573"/>
      <c r="I50" s="1574"/>
      <c r="J50" s="1574"/>
      <c r="K50" s="1678">
        <f>SUM(C50:J50)</f>
        <v>121570</v>
      </c>
      <c r="L50" s="1573"/>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78830</v>
      </c>
      <c r="D53" s="1674">
        <f t="shared" ref="D53:L53" si="5">SUM(D49:D52)</f>
        <v>5842</v>
      </c>
      <c r="E53" s="1674">
        <f t="shared" si="5"/>
        <v>34390</v>
      </c>
      <c r="F53" s="1674">
        <f t="shared" si="5"/>
        <v>2508</v>
      </c>
      <c r="G53" s="1674">
        <f t="shared" si="5"/>
        <v>0</v>
      </c>
      <c r="H53" s="1674">
        <f t="shared" si="5"/>
        <v>0</v>
      </c>
      <c r="I53" s="1674">
        <f t="shared" si="5"/>
        <v>0</v>
      </c>
      <c r="J53" s="1674">
        <f t="shared" si="5"/>
        <v>0</v>
      </c>
      <c r="K53" s="1674">
        <f t="shared" si="5"/>
        <v>121570</v>
      </c>
      <c r="L53" s="1674">
        <f t="shared" si="5"/>
        <v>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c r="D55" s="1586"/>
      <c r="E55" s="1586"/>
      <c r="F55" s="1586"/>
      <c r="G55" s="1586"/>
      <c r="H55" s="1586"/>
      <c r="I55" s="1574"/>
      <c r="J55" s="1574"/>
      <c r="K55" s="1678">
        <f>SUM(C55:J55)</f>
        <v>0</v>
      </c>
      <c r="L55" s="1586"/>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4">
        <f>SUM(L55:L56)</f>
        <v>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c r="D60" s="1573"/>
      <c r="E60" s="1573"/>
      <c r="F60" s="1573"/>
      <c r="G60" s="1573"/>
      <c r="H60" s="1573"/>
      <c r="I60" s="1574"/>
      <c r="J60" s="1574"/>
      <c r="K60" s="1678">
        <f t="shared" si="7"/>
        <v>0</v>
      </c>
      <c r="L60" s="1573"/>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c r="D63" s="1573"/>
      <c r="E63" s="1573"/>
      <c r="F63" s="1573"/>
      <c r="G63" s="1573"/>
      <c r="H63" s="1573"/>
      <c r="I63" s="1574"/>
      <c r="J63" s="1574"/>
      <c r="K63" s="1678">
        <f t="shared" si="7"/>
        <v>0</v>
      </c>
      <c r="L63" s="1573"/>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0</v>
      </c>
      <c r="D65" s="1674">
        <f t="shared" ref="D65:L65" si="8">SUM(D59:D64)</f>
        <v>0</v>
      </c>
      <c r="E65" s="1674">
        <f t="shared" si="8"/>
        <v>0</v>
      </c>
      <c r="F65" s="1674">
        <f t="shared" si="8"/>
        <v>0</v>
      </c>
      <c r="G65" s="1674">
        <f t="shared" si="8"/>
        <v>0</v>
      </c>
      <c r="H65" s="1674">
        <f t="shared" si="8"/>
        <v>0</v>
      </c>
      <c r="I65" s="1674">
        <f t="shared" si="8"/>
        <v>0</v>
      </c>
      <c r="J65" s="1674">
        <f t="shared" si="8"/>
        <v>0</v>
      </c>
      <c r="K65" s="1674">
        <f t="shared" si="8"/>
        <v>0</v>
      </c>
      <c r="L65" s="1674">
        <f t="shared" si="8"/>
        <v>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v>516</v>
      </c>
      <c r="I73" s="1627"/>
      <c r="J73" s="1627"/>
      <c r="K73" s="1674">
        <f>SUM(C73:J73)</f>
        <v>516</v>
      </c>
      <c r="L73" s="1651"/>
      <c r="M73" s="501"/>
      <c r="N73" s="501"/>
    </row>
    <row r="74" spans="1:14" ht="12.75" customHeight="1" thickTop="1" thickBot="1" x14ac:dyDescent="0.25">
      <c r="A74" s="1380" t="s">
        <v>806</v>
      </c>
      <c r="B74" s="1384">
        <v>2000</v>
      </c>
      <c r="C74" s="1681">
        <f>SUM(C42,C47,C53,C57,C65,C72,C73)</f>
        <v>153477</v>
      </c>
      <c r="D74" s="1681">
        <f t="shared" ref="D74:K74" si="10">SUM(D42,D47,D53,D57,D65,D72,D73)</f>
        <v>24668</v>
      </c>
      <c r="E74" s="1681">
        <f t="shared" si="10"/>
        <v>64102</v>
      </c>
      <c r="F74" s="1681">
        <f t="shared" si="10"/>
        <v>43195</v>
      </c>
      <c r="G74" s="1681">
        <f t="shared" si="10"/>
        <v>1609</v>
      </c>
      <c r="H74" s="1681">
        <f t="shared" si="10"/>
        <v>516</v>
      </c>
      <c r="I74" s="1681">
        <f t="shared" si="10"/>
        <v>0</v>
      </c>
      <c r="J74" s="1681">
        <f t="shared" si="10"/>
        <v>0</v>
      </c>
      <c r="K74" s="1681">
        <f t="shared" si="10"/>
        <v>287567</v>
      </c>
      <c r="L74" s="1681">
        <f>SUM(L42,L47,L53,L57,L65,L72,L73)</f>
        <v>0</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0</v>
      </c>
      <c r="I84" s="1582"/>
      <c r="J84" s="1582"/>
      <c r="K84" s="1674">
        <f>SUM(K78:K83)</f>
        <v>0</v>
      </c>
      <c r="L84" s="1674">
        <f>SUM(L78:L83)</f>
        <v>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v>522432</v>
      </c>
      <c r="I95" s="1582"/>
      <c r="J95" s="1582"/>
      <c r="K95" s="1681">
        <f t="shared" si="12"/>
        <v>522432</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v>136424</v>
      </c>
      <c r="I98" s="1582"/>
      <c r="J98" s="1582"/>
      <c r="K98" s="1681">
        <f t="shared" si="12"/>
        <v>136424</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658856</v>
      </c>
      <c r="I100" s="1582"/>
      <c r="J100" s="1582"/>
      <c r="K100" s="1681">
        <f>SUM(K93:K99)</f>
        <v>658856</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658856</v>
      </c>
      <c r="I102" s="1582"/>
      <c r="J102" s="1582"/>
      <c r="K102" s="1681">
        <f>SUM(K84,K92,K100,K101)</f>
        <v>658856</v>
      </c>
      <c r="L102" s="1681">
        <f>SUM(L84,L92,L100,L101)</f>
        <v>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153477</v>
      </c>
      <c r="D114" s="1674">
        <f t="shared" ref="D114:K114" si="13">SUM(D33,D74,D75,D102,D112,D113)</f>
        <v>24668</v>
      </c>
      <c r="E114" s="1674">
        <f t="shared" si="13"/>
        <v>64102</v>
      </c>
      <c r="F114" s="1674">
        <f t="shared" si="13"/>
        <v>175987</v>
      </c>
      <c r="G114" s="1674">
        <f t="shared" si="13"/>
        <v>155842</v>
      </c>
      <c r="H114" s="1674">
        <f>SUM(H33,H74,H75,H102,H112,H113)</f>
        <v>659372</v>
      </c>
      <c r="I114" s="1674">
        <f t="shared" si="13"/>
        <v>0</v>
      </c>
      <c r="J114" s="1674">
        <f t="shared" si="13"/>
        <v>0</v>
      </c>
      <c r="K114" s="1674">
        <f t="shared" si="13"/>
        <v>1233448</v>
      </c>
      <c r="L114" s="1674">
        <f>SUM(L33,L74,L75,L102,L112,L113)</f>
        <v>0</v>
      </c>
    </row>
    <row r="115" spans="1:14" ht="13.5" thickTop="1" x14ac:dyDescent="0.2">
      <c r="A115" s="2256" t="s">
        <v>989</v>
      </c>
      <c r="B115" s="2257"/>
      <c r="C115" s="1675"/>
      <c r="D115" s="1675"/>
      <c r="E115" s="1675"/>
      <c r="F115" s="1675"/>
      <c r="G115" s="1675"/>
      <c r="H115" s="1675"/>
      <c r="I115" s="1675"/>
      <c r="J115" s="1675"/>
      <c r="K115" s="1689">
        <f>'Revenues 9-14'!C268-'Expenditures 15-22'!K114</f>
        <v>33604</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1" t="s">
        <v>293</v>
      </c>
      <c r="B117" s="2262"/>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c r="F124" s="1573"/>
      <c r="G124" s="1573"/>
      <c r="H124" s="1573"/>
      <c r="I124" s="1574"/>
      <c r="J124" s="1574"/>
      <c r="K124" s="1674">
        <f>SUM(C124:J124)</f>
        <v>0</v>
      </c>
      <c r="L124" s="1573"/>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0</v>
      </c>
      <c r="F127" s="1674">
        <f t="shared" si="14"/>
        <v>0</v>
      </c>
      <c r="G127" s="1674">
        <f t="shared" si="14"/>
        <v>0</v>
      </c>
      <c r="H127" s="1674">
        <f t="shared" si="14"/>
        <v>0</v>
      </c>
      <c r="I127" s="1674">
        <f t="shared" si="14"/>
        <v>0</v>
      </c>
      <c r="J127" s="1674">
        <f t="shared" si="14"/>
        <v>0</v>
      </c>
      <c r="K127" s="1674">
        <f t="shared" si="14"/>
        <v>0</v>
      </c>
      <c r="L127" s="1674">
        <f t="shared" si="14"/>
        <v>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0</v>
      </c>
      <c r="F129" s="1681">
        <f t="shared" si="15"/>
        <v>0</v>
      </c>
      <c r="G129" s="1681">
        <f t="shared" si="15"/>
        <v>0</v>
      </c>
      <c r="H129" s="1681">
        <f t="shared" si="15"/>
        <v>0</v>
      </c>
      <c r="I129" s="1681">
        <f t="shared" si="15"/>
        <v>0</v>
      </c>
      <c r="J129" s="1681">
        <f t="shared" si="15"/>
        <v>0</v>
      </c>
      <c r="K129" s="1681">
        <f t="shared" si="15"/>
        <v>0</v>
      </c>
      <c r="L129" s="1681">
        <f t="shared" si="15"/>
        <v>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3" t="s">
        <v>616</v>
      </c>
      <c r="B151" s="2253"/>
      <c r="C151" s="1674">
        <f>SUM(C129,C130,C139,C149,C150)</f>
        <v>0</v>
      </c>
      <c r="D151" s="1674">
        <f t="shared" ref="D151:K151" si="16">SUM(D129,D130,D139,D149,D150)</f>
        <v>0</v>
      </c>
      <c r="E151" s="1674">
        <f t="shared" si="16"/>
        <v>0</v>
      </c>
      <c r="F151" s="1674">
        <f t="shared" si="16"/>
        <v>0</v>
      </c>
      <c r="G151" s="1674">
        <f t="shared" si="16"/>
        <v>0</v>
      </c>
      <c r="H151" s="1674">
        <f t="shared" si="16"/>
        <v>0</v>
      </c>
      <c r="I151" s="1674">
        <f t="shared" si="16"/>
        <v>0</v>
      </c>
      <c r="J151" s="1674">
        <f t="shared" si="16"/>
        <v>0</v>
      </c>
      <c r="K151" s="1674">
        <f t="shared" si="16"/>
        <v>0</v>
      </c>
      <c r="L151" s="1674">
        <f>SUM(L129,L130,L139,L149,L150)</f>
        <v>0</v>
      </c>
    </row>
    <row r="152" spans="1:14" ht="12.75" customHeight="1" thickTop="1" x14ac:dyDescent="0.2">
      <c r="A152" s="2276" t="s">
        <v>1168</v>
      </c>
      <c r="B152" s="2277"/>
      <c r="C152" s="1675"/>
      <c r="D152" s="1675"/>
      <c r="E152" s="1675"/>
      <c r="F152" s="1675"/>
      <c r="G152" s="1675"/>
      <c r="H152" s="1675"/>
      <c r="I152" s="1675"/>
      <c r="J152" s="1673"/>
      <c r="K152" s="1689">
        <f>'Revenues 9-14'!D268-'Expenditures 15-22'!K151</f>
        <v>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1" t="s">
        <v>617</v>
      </c>
      <c r="B154" s="2263"/>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56" t="s">
        <v>989</v>
      </c>
      <c r="B175" s="2257"/>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c r="F182" s="1573"/>
      <c r="G182" s="1573"/>
      <c r="H182" s="1573"/>
      <c r="I182" s="1574"/>
      <c r="J182" s="1574"/>
      <c r="K182" s="1672">
        <f>SUM(C182:J182)</f>
        <v>0</v>
      </c>
      <c r="L182" s="1573"/>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256" t="s">
        <v>989</v>
      </c>
      <c r="B211" s="2257"/>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78" t="s">
        <v>959</v>
      </c>
      <c r="B213" s="2279"/>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c r="E215" s="1673"/>
      <c r="F215" s="1673"/>
      <c r="G215" s="1673"/>
      <c r="H215" s="1673"/>
      <c r="I215" s="1673"/>
      <c r="J215" s="1673"/>
      <c r="K215" s="1672">
        <f>D215</f>
        <v>0</v>
      </c>
      <c r="L215" s="1573"/>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4" t="s">
        <v>502</v>
      </c>
      <c r="B295" s="2275"/>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56" t="s">
        <v>989</v>
      </c>
      <c r="B296" s="2257"/>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6" t="s">
        <v>142</v>
      </c>
      <c r="B298" s="2260"/>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1" t="s">
        <v>275</v>
      </c>
      <c r="B312" s="2272"/>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67" t="s">
        <v>989</v>
      </c>
      <c r="B313" s="2268"/>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0" t="s">
        <v>148</v>
      </c>
      <c r="B315" s="2281"/>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2" t="s">
        <v>892</v>
      </c>
      <c r="B317" s="2281"/>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69" t="s">
        <v>989</v>
      </c>
      <c r="B343" s="2270"/>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59" t="s">
        <v>960</v>
      </c>
      <c r="B345" s="2260"/>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56" t="s">
        <v>989</v>
      </c>
      <c r="B368" s="2257"/>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d21dc803-237d-4c68-8692-8d731fd29118"/>
    <ds:schemaRef ds:uri="http://www.w3.org/XML/1998/namespace"/>
    <ds:schemaRef ds:uri="http://schemas.microsoft.com/office/2006/documentManagement/types"/>
    <ds:schemaRef ds:uri="http://purl.org/dc/elements/1.1/"/>
    <ds:schemaRef ds:uri="http://schemas.microsoft.com/office/infopath/2007/PartnerControls"/>
    <ds:schemaRef ds:uri="http://schemas.microsoft.com/office/2006/metadata/properties"/>
    <ds:schemaRef ds:uri="http://schemas.openxmlformats.org/package/2006/metadata/core-properties"/>
    <ds:schemaRef ds:uri="6ce3111e-7420-4802-b50a-75d4e9a0b980"/>
    <ds:schemaRef ds:uri="http://purl.org/dc/terms/"/>
    <ds:schemaRef ds:uri="4d435f69-8686-490b-bd6d-b153bf22ab50"/>
    <ds:schemaRef ds:uri="http://schemas.microsoft.com/sharepoint/v3"/>
    <ds:schemaRef ds:uri="http://purl.org/dc/dcmityp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2020-12-08T22:42:18Z</cp:lastPrinted>
  <dcterms:created xsi:type="dcterms:W3CDTF">2003-10-29T19:06:34Z</dcterms:created>
  <dcterms:modified xsi:type="dcterms:W3CDTF">2020-12-18T18:59:53Z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