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5856CC94-6AFA-400E-B2A6-C7E5E29E6257}" xr6:coauthVersionLast="36" xr6:coauthVersionMax="36" xr10:uidLastSave="{00000000-0000-0000-0000-000000000000}"/>
  <bookViews>
    <workbookView xWindow="-105" yWindow="-105" windowWidth="23250" windowHeight="126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2)" sheetId="185"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5" l="1"/>
  <c r="B4" i="185"/>
  <c r="B2" i="185"/>
  <c r="B1" i="185"/>
  <c r="I8" i="11" l="1"/>
  <c r="C39" i="3" l="1"/>
  <c r="C38" i="3" l="1"/>
  <c r="C31" i="3" l="1"/>
  <c r="C27" i="3"/>
  <c r="C4" i="3"/>
  <c r="H98"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E18" i="183"/>
  <c r="F18" i="183" s="1"/>
  <c r="F17" i="183"/>
  <c r="E17" i="183"/>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D24" i="37" l="1"/>
  <c r="B4270" i="106" s="1"/>
  <c r="D4270" i="106" s="1"/>
  <c r="G30" i="108"/>
  <c r="B7696" i="106"/>
  <c r="D7696" i="106" s="1"/>
  <c r="E66" i="184"/>
  <c r="N66" i="184" s="1"/>
  <c r="B7135" i="106"/>
  <c r="D7135" i="106" s="1"/>
  <c r="E58" i="184"/>
  <c r="N58" i="184" s="1"/>
  <c r="F37" i="34"/>
  <c r="B7829" i="106" s="1"/>
  <c r="D7829" i="106" s="1"/>
  <c r="F34" i="34"/>
  <c r="B7826" i="106" s="1"/>
  <c r="D7826" i="106" s="1"/>
  <c r="D68" i="36"/>
  <c r="B7189" i="106"/>
  <c r="D7189" i="106" s="1"/>
  <c r="E64" i="184"/>
  <c r="N64" i="184" s="1"/>
  <c r="C352" i="29"/>
  <c r="H76" i="4"/>
  <c r="B3298" i="106" s="1"/>
  <c r="D3298" i="106" s="1"/>
  <c r="D31" i="108"/>
  <c r="E16" i="184"/>
  <c r="H16" i="184" s="1"/>
  <c r="B7705" i="106"/>
  <c r="D7705" i="106" s="1"/>
  <c r="E67" i="184"/>
  <c r="N67" i="184" s="1"/>
  <c r="B7198" i="106"/>
  <c r="D7198" i="106" s="1"/>
  <c r="E65" i="184"/>
  <c r="N65" i="184" s="1"/>
  <c r="B7126" i="106"/>
  <c r="D7126" i="106" s="1"/>
  <c r="E57" i="184"/>
  <c r="H12" i="184"/>
  <c r="G33" i="108"/>
  <c r="E17" i="184"/>
  <c r="H17" i="184" s="1"/>
  <c r="B7180" i="106"/>
  <c r="D7180" i="106" s="1"/>
  <c r="E63" i="184"/>
  <c r="N63" i="184" s="1"/>
  <c r="B7171" i="106"/>
  <c r="D7171" i="106" s="1"/>
  <c r="E62" i="184"/>
  <c r="N62" i="184" s="1"/>
  <c r="C129" i="29"/>
  <c r="F36" i="34"/>
  <c r="B7828" i="106" s="1"/>
  <c r="D7828" i="106" s="1"/>
  <c r="B7162" i="106"/>
  <c r="D7162" i="106" s="1"/>
  <c r="E61" i="184"/>
  <c r="N61" i="184" s="1"/>
  <c r="B7153" i="106"/>
  <c r="D7153" i="106" s="1"/>
  <c r="E60" i="184"/>
  <c r="N6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B5527" i="106"/>
  <c r="D5527" i="106" s="1"/>
  <c r="E367" i="29"/>
  <c r="B3635" i="106"/>
  <c r="E19" i="184"/>
  <c r="B7220" i="106"/>
  <c r="D7220" i="106" s="1"/>
  <c r="F75" i="34"/>
  <c r="B7886" i="106" s="1"/>
  <c r="D7886" i="106" s="1"/>
  <c r="D44" i="36"/>
  <c r="H19" i="184"/>
  <c r="L20" i="184" s="1"/>
  <c r="L16" i="11"/>
  <c r="B2061" i="106" s="1"/>
  <c r="D2061" i="106" s="1"/>
  <c r="K342" i="29"/>
  <c r="F13" i="34" s="1"/>
  <c r="B7222" i="106"/>
  <c r="D7222" i="106" s="1"/>
  <c r="F76" i="34"/>
  <c r="B7887" i="106" s="1"/>
  <c r="D7887" i="106" s="1"/>
  <c r="N57" i="184"/>
  <c r="N68" i="184" s="1"/>
  <c r="E68" i="184"/>
  <c r="K77" i="4"/>
  <c r="B3587" i="106" s="1"/>
  <c r="D3587"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<sst xmlns="http://schemas.openxmlformats.org/spreadsheetml/2006/main" count="5206" uniqueCount="2117">
  <si>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</si>
  <si>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</si>
  <si>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</si>
  <si>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</si>
  <si>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</si>
  <si>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</si>
  <si>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</si>
  <si>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</si>
  <si>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</si>
  <si>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</si>
  <si>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</si>
  <si>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</si>
  <si>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</si>
  <si>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</si>
  <si>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</si>
  <si>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</si>
  <si>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</si>
  <si>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</si>
  <si>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</si>
  <si>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</si>
  <si>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</si>
  <si>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</si>
  <si>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</si>
  <si>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</si>
  <si>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</si>
  <si>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</si>
  <si>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</si>
  <si>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</si>
  <si>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</si>
  <si>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</si>
  <si>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</si>
  <si>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</si>
  <si>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</si>
  <si>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</si>
  <si>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</si>
  <si>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</si>
  <si>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</si>
  <si>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</si>
  <si>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</si>
  <si>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</si>
  <si>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</si>
  <si>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</si>
  <si>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</si>
  <si>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</si>
  <si>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</si>
  <si>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</si>
  <si>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</si>
  <si>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</si>
  <si>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</si>
  <si>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</si>
  <si>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</si>
  <si>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</si>
  <si>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</si>
  <si>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</si>
  <si>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</si>
  <si>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</si>
  <si>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</si>
  <si>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</si>
  <si>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</si>
  <si>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</si>
  <si>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</si>
  <si>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</si>
  <si>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</si>
  <si>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</si>
  <si>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</si>
  <si>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</si>
  <si>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</si>
  <si>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</si>
  <si>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</si>
  <si>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</si>
  <si>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</si>
  <si>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</si>
  <si>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</si>
  <si>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</si>
  <si>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</si>
  <si>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</si>
  <si>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</si>
  <si>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</si>
  <si>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</si>
  <si>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</si>
  <si>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</si>
  <si>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</si>
  <si>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</si>
  <si>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</si>
  <si>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</si>
  <si>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</si>
  <si>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</si>
  <si>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</si>
  <si>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</si>
  <si>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</si>
  <si>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</si>
  <si>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</si>
  <si>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</si>
  <si>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</si>
  <si>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</si>
  <si>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</si>
  <si>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</si>
  <si>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</si>
  <si>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</si>
  <si>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</si>
  <si>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</si>
  <si>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</si>
  <si>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</si>
  <si>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</si>
  <si>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</si>
  <si>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</si>
  <si>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</si>
  <si>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</si>
  <si>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</si>
  <si>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</si>
  <si>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</si>
  <si>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</si>
  <si>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</si>
  <si>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</si>
  <si>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</si>
  <si>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</si>
  <si>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</si>
  <si>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</si>
  <si>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</si>
  <si>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</si>
  <si>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</si>
  <si>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</si>
  <si>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</si>
  <si>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</si>
  <si>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</si>
  <si>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</si>
  <si>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</si>
  <si>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</si>
  <si>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</si>
  <si>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</si>
  <si>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</si>
  <si>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</si>
  <si>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</si>
  <si>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</si>
  <si>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</si>
  <si>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</si>
  <si>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</si>
  <si>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</si>
  <si>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</si>
  <si>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</si>
  <si>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</si>
  <si>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</si>
  <si>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</si>
  <si>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</si>
  <si>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</si>
  <si>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</si>
  <si>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</si>
  <si>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</si>
  <si>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</si>
  <si>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</si>
  <si>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</si>
  <si>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</si>
  <si>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</si>
  <si>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</si>
  <si>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</si>
  <si>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</si>
  <si>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</si>
  <si>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</si>
  <si>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</si>
  <si>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</si>
  <si>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</si>
  <si>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</si>
  <si>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</si>
  <si>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</si>
  <si>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</si>
  <si>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</si>
  <si>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</si>
  <si>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</si>
  <si>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</si>
  <si>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</si>
  <si>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</si>
  <si>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</si>
  <si>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</si>
  <si>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</si>
  <si>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</si>
  <si>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</si>
  <si>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</si>
  <si>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</si>
  <si>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</si>
  <si>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</si>
  <si>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</si>
  <si>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</si>
  <si>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</si>
  <si>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</si>
  <si>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</si>
  <si>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</si>
  <si>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</si>
  <si>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</si>
  <si>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</si>
  <si>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</si>
  <si>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</si>
  <si>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</si>
  <si>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</si>
  <si>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</si>
  <si>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</si>
  <si>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</si>
  <si>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</si>
  <si>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</si>
  <si>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</si>
  <si>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</si>
  <si>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</si>
  <si>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</si>
  <si>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</si>
  <si>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</si>
  <si>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</si>
  <si>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</si>
  <si>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</si>
  <si>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</si>
  <si>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</si>
  <si>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</si>
  <si>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</si>
  <si>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</si>
  <si>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</si>
  <si>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</si>
  <si>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</si>
  <si>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</si>
  <si>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</si>
  <si>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</si>
  <si>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</si>
  <si>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</si>
  <si>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</si>
  <si>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</si>
  <si>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</si>
  <si>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</si>
  <si>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</si>
  <si>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</si>
  <si>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</si>
  <si>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</si>
  <si>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</si>
  <si>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</si>
  <si>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</si>
  <si>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</si>
  <si>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</si>
  <si>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</si>
  <si>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</si>
  <si>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</si>
  <si>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</si>
  <si>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</si>
  <si>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</si>
  <si>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</si>
  <si>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</si>
  <si>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</si>
  <si>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</si>
  <si>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</si>
  <si>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</si>
  <si>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</si>
  <si>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</si>
  <si>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</si>
  <si>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</si>
  <si>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</si>
  <si>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</si>
  <si>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</si>
  <si>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</si>
  <si>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</si>
  <si>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</si>
  <si>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</si>
  <si>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</si>
  <si>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</si>
  <si>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</si>
  <si>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</si>
  <si>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</si>
  <si>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</si>
  <si>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</si>
  <si>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</si>
  <si>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</si>
  <si>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</si>
  <si>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</si>
  <si>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</si>
  <si>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</si>
  <si>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</si>
  <si>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</si>
  <si>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</si>
  <si>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</si>
  <si>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</si>
  <si>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</si>
  <si>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</si>
  <si>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</si>
  <si>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</si>
  <si>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</si>
  <si>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</si>
  <si>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</si>
  <si>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</si>
  <si>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</si>
  <si>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</si>
  <si>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</si>
  <si>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</si>
  <si>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</si>
  <si>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</si>
  <si>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</si>
  <si>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</si>
  <si>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</si>
  <si>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</si>
  <si>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</si>
  <si>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</si>
  <si>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</si>
  <si>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</si>
  <si>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</si>
  <si>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</si>
  <si>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</si>
  <si>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</si>
  <si>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</si>
  <si>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</si>
  <si>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</si>
  <si>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</si>
  <si>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</si>
  <si>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</si>
  <si>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</si>
  <si>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</si>
  <si>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</si>
  <si>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</si>
  <si>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</si>
  <si>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</si>
  <si>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</si>
  <si>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</si>
  <si>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</si>
  <si>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</si>
  <si>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</si>
  <si>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</si>
  <si>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</si>
  <si>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</si>
  <si>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</si>
  <si>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</si>
  <si>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</si>
  <si>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</si>
  <si>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</si>
  <si>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</si>
  <si>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</si>
  <si>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</si>
  <si>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</si>
  <si>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</si>
  <si>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</si>
  <si>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</si>
  <si>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</si>
  <si>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</si>
  <si>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</si>
  <si>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</si>
  <si>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</si>
  <si>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</si>
  <si>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</si>
  <si>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</si>
  <si>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</si>
  <si>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</si>
  <si>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</si>
  <si>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</si>
  <si>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</si>
  <si>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</si>
  <si>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</si>
  <si>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</si>
  <si>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</si>
  <si>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</si>
  <si>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</si>
  <si>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</si>
  <si>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</si>
  <si>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</si>
  <si>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</si>
  <si>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</si>
  <si>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</si>
  <si>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</si>
  <si>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</si>
  <si>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</si>
  <si>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</si>
  <si>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</si>
  <si>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</si>
  <si>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</si>
  <si>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</si>
  <si>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</si>
  <si>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</si>
  <si>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</si>
  <si>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</si>
  <si>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</si>
  <si>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</si>
  <si>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</si>
  <si>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</si>
  <si>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</si>
  <si>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</si>
  <si>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</si>
  <si>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</si>
  <si>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</si>
  <si>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</si>
  <si>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</si>
  <si>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</si>
  <si>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</si>
  <si>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</si>
  <si>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</si>
  <si>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</si>
  <si>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</si>
  <si>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</si>
  <si>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</si>
  <si>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</si>
  <si>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</si>
  <si>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</si>
  <si>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</si>
  <si>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</si>
  <si>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</si>
  <si>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</si>
  <si>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</si>
  <si>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</si>
  <si>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</si>
  <si>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</si>
  <si>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</si>
  <si>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</si>
  <si>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</si>
  <si>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</si>
  <si>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</si>
  <si>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</si>
  <si>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</si>
  <si>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</si>
  <si>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</si>
  <si>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</si>
  <si>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</si>
  <si>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</si>
  <si>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</si>
  <si>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</si>
  <si>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</si>
  <si>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</si>
  <si>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</si>
  <si>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</si>
  <si>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</si>
  <si>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</si>
  <si>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</si>
  <si>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</si>
  <si>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</si>
  <si>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</si>
  <si>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</si>
  <si>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</si>
  <si>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</si>
  <si>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</si>
  <si>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</si>
  <si>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</si>
  <si>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</si>
  <si>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</si>
  <si>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</si>
  <si>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</si>
  <si>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</si>
  <si>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</si>
  <si>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</si>
  <si>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</si>
  <si>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</si>
  <si>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</si>
  <si>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</si>
  <si>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</si>
  <si>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</si>
  <si>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</si>
  <si>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</si>
  <si>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</si>
  <si>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</si>
  <si>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</si>
  <si>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</si>
  <si>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</si>
  <si>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</si>
  <si>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</si>
  <si>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</si>
  <si>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</si>
  <si>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</si>
  <si>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</si>
  <si>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</si>
  <si>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</si>
  <si>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</si>
  <si>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</si>
  <si>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</si>
  <si>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</si>
  <si>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</si>
  <si>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</si>
  <si>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</si>
  <si>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</si>
  <si>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</si>
  <si>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</si>
  <si>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</si>
  <si>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</si>
  <si>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</si>
  <si>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</si>
  <si>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</si>
  <si>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</si>
  <si>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</si>
  <si>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</si>
  <si>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</si>
  <si>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</si>
  <si>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</si>
  <si>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</si>
  <si>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</si>
  <si>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</si>
  <si>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</si>
  <si>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</si>
  <si>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</si>
  <si>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</si>
  <si>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</si>
  <si>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</si>
  <si>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</si>
  <si>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</si>
  <si>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</si>
  <si>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</si>
  <si>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</si>
  <si>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</si>
  <si>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</si>
  <si>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</si>
  <si>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</si>
  <si>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</si>
  <si>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</si>
  <si>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</si>
  <si>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</si>
  <si>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</si>
  <si>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</si>
  <si>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</si>
  <si>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</si>
  <si>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</si>
  <si>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</si>
  <si>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</si>
  <si>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</si>
  <si>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</si>
  <si>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</si>
  <si>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</si>
  <si>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</si>
  <si>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</si>
  <si>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</si>
  <si>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</si>
  <si>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</si>
  <si>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</si>
  <si>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</si>
  <si>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</si>
  <si>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</si>
  <si>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</si>
  <si>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</si>
  <si>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</si>
  <si>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</si>
  <si>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</si>
  <si>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</si>
  <si>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</si>
  <si>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</si>
  <si>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</si>
  <si>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</si>
  <si>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</si>
  <si>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</si>
  <si>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</si>
  <si>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</si>
  <si>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</si>
  <si>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</si>
  <si>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</si>
  <si>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</si>
  <si>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</si>
  <si>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</si>
  <si>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</si>
  <si>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</si>
  <si>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</si>
  <si>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</si>
  <si>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</si>
  <si>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</si>
  <si>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</si>
  <si>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</si>
  <si>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</si>
  <si>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</si>
  <si>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</si>
  <si>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</si>
  <si>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</si>
  <si>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</si>
  <si>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</si>
  <si>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</si>
  <si>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</si>
  <si>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</si>
  <si>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</si>
  <si>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</si>
  <si>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</si>
  <si>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</si>
  <si>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</si>
  <si>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</si>
  <si>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</si>
  <si>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</si>
  <si>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</si>
  <si>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</si>
  <si>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</si>
  <si>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</si>
  <si>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</si>
  <si>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</si>
  <si>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</si>
  <si>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</si>
  <si>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</si>
  <si>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</si>
  <si>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</si>
  <si>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</si>
  <si>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</si>
  <si>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</si>
  <si>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</si>
  <si>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</si>
  <si>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</si>
  <si>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</si>
  <si>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</si>
  <si>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</si>
  <si>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</si>
  <si>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</si>
  <si>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</si>
  <si>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</si>
  <si>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</si>
  <si>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</si>
  <si>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</si>
  <si>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</si>
  <si>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</si>
  <si>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</si>
  <si>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</si>
  <si>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</si>
  <si>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</si>
  <si>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</si>
  <si>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</si>
  <si>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</si>
  <si>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</si>
  <si>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</si>
  <si>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</si>
  <si>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</si>
  <si>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</si>
  <si>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</si>
  <si>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</si>
  <si>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</si>
  <si>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</si>
  <si>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</si>
  <si>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</si>
  <si>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</si>
  <si>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</si>
  <si>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</si>
  <si>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</si>
  <si>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</si>
  <si>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</si>
  <si>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</si>
  <si>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</si>
  <si>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</si>
  <si>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</si>
  <si>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</si>
  <si>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</si>
  <si>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</si>
  <si>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</si>
  <si>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</si>
  <si>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</si>
  <si>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</si>
  <si>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</si>
  <si>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</si>
  <si>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</si>
  <si>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</si>
  <si>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</si>
  <si>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</si>
  <si>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</si>
  <si>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</si>
  <si>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</si>
  <si>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</si>
  <si>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</si>
  <si>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</si>
  <si>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</si>
  <si>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</si>
  <si>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</si>
  <si>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</si>
  <si>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</si>
  <si>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</si>
  <si>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</si>
  <si>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</si>
  <si>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</si>
  <si>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</si>
  <si>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</si>
  <si>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</si>
  <si>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</si>
  <si>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</si>
  <si>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</si>
  <si>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</si>
  <si>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</si>
  <si>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</si>
  <si>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</si>
  <si>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</si>
  <si>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</si>
  <si>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</si>
  <si>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</si>
  <si>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</si>
  <si>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</si>
  <si>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</si>
  <si>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</si>
  <si>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</si>
  <si>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</si>
  <si>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</si>
  <si>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</si>
  <si>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</si>
  <si>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</si>
  <si>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</si>
  <si>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</si>
  <si>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</si>
  <si>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</si>
  <si>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</si>
  <si>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</si>
  <si>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</si>
  <si>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</si>
  <si>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</si>
  <si>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</si>
  <si>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</si>
  <si>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</si>
  <si>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</si>
  <si>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</si>
  <si>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</si>
  <si>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</si>
  <si>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</si>
  <si>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</si>
  <si>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</si>
  <si>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</si>
  <si>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</si>
  <si>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</si>
  <si>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</si>
  <si>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</si>
  <si>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</si>
  <si>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</si>
  <si>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</si>
  <si>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</si>
  <si>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</si>
  <si>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</si>
  <si>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</si>
  <si>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</si>
  <si>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</si>
  <si>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</si>
  <si>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</si>
  <si>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</si>
  <si>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</si>
  <si>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</si>
  <si>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</si>
  <si>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</si>
  <si>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</si>
  <si>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</si>
  <si>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</si>
  <si>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</si>
  <si>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</si>
  <si>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</si>
  <si>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</si>
  <si>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</si>
  <si>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</si>
  <si>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</si>
  <si>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</si>
  <si>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</si>
  <si>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</si>
  <si>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</si>
  <si>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</si>
  <si>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</si>
  <si>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</si>
  <si>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</si>
  <si>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</si>
  <si>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</si>
  <si>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</si>
  <si>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</si>
  <si>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</si>
  <si>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</si>
  <si>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</si>
  <si>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</si>
  <si>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</si>
  <si>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</si>
  <si>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</si>
  <si>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</si>
  <si>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</si>
  <si>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</si>
  <si>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</si>
  <si>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</si>
  <si>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</si>
  <si>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</si>
  <si>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</si>
  <si>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</si>
  <si>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</si>
  <si>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</si>
  <si>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</si>
  <si>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</si>
  <si>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</si>
  <si>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</si>
  <si>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</si>
  <si>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</si>
  <si>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</si>
  <si>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</si>
  <si>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</si>
  <si>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</si>
  <si>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</si>
  <si>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</si>
  <si>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</si>
  <si>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</si>
  <si>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</si>
  <si>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</si>
  <si>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</si>
  <si>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</si>
  <si>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</si>
  <si>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</si>
  <si>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</si>
  <si>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</si>
  <si>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</si>
  <si>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</si>
  <si>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</si>
  <si>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</si>
  <si>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</si>
  <si>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</si>
  <si>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</si>
  <si>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</si>
  <si>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</si>
  <si>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</si>
  <si>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</si>
  <si>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</si>
  <si>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</si>
  <si>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</si>
  <si>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</si>
  <si>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</si>
  <si>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</si>
  <si>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</si>
  <si>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</si>
  <si>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</si>
  <si>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</si>
  <si>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</si>
  <si>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</si>
  <si>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</si>
  <si>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</si>
  <si>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</si>
  <si>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</si>
  <si>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</si>
  <si>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</si>
  <si>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</si>
  <si>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</si>
  <si>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</si>
  <si>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</si>
  <si>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</si>
  <si>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</si>
  <si>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</si>
  <si>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</si>
  <si>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</si>
  <si>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</si>
  <si>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</si>
  <si>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</si>
  <si>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</si>
  <si>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</si>
  <si>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</si>
  <si>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</si>
  <si>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</si>
  <si>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</si>
  <si>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</si>
  <si>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</si>
  <si>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</si>
  <si>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</si>
  <si>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</si>
  <si>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</si>
  <si>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</si>
  <si>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</si>
  <si>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</si>
  <si>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</si>
  <si>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</si>
  <si>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</si>
  <si>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</si>
  <si>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</si>
  <si>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</si>
  <si>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</si>
  <si>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</si>
  <si>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</si>
  <si>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</si>
  <si>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</si>
  <si>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</si>
  <si>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</si>
  <si>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</si>
  <si>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</si>
  <si>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</si>
  <si>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</si>
  <si>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</si>
  <si>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</si>
  <si>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</si>
  <si>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</si>
  <si>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</si>
  <si>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</si>
  <si>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</si>
  <si>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</si>
  <si>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</si>
  <si>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</si>
  <si>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</si>
  <si>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</si>
  <si>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</si>
  <si>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</si>
  <si>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</si>
  <si>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</si>
  <si>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</si>
  <si>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</si>
  <si>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</si>
  <si>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</si>
  <si>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</si>
  <si>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</si>
  <si>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</si>
  <si>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</si>
  <si>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</si>
  <si>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</si>
  <si>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</si>
  <si>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</si>
  <si>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</si>
  <si>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</si>
  <si>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</si>
  <si>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</si>
  <si>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</si>
  <si>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</si>
  <si>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</si>
  <si>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</si>
  <si>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</si>
  <si>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</si>
  <si>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</si>
  <si>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</si>
  <si>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</si>
  <si>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</si>
  <si>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</si>
  <si>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</si>
  <si>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</si>
  <si>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</si>
  <si>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</si>
  <si>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</si>
  <si>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</si>
  <si>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</si>
  <si>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</si>
  <si>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</si>
  <si>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</si>
  <si>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</si>
  <si>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</si>
  <si>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</si>
  <si>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</si>
  <si>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</si>
  <si>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</si>
  <si>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</si>
  <si>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</si>
  <si>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</si>
  <si>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</si>
  <si>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</si>
  <si>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</si>
  <si>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</si>
  <si>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</si>
  <si>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</si>
  <si>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</si>
  <si>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</si>
  <si>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</si>
  <si>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</si>
  <si>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</si>
  <si>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</si>
  <si>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</si>
  <si>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</si>
  <si>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</si>
  <si>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</si>
  <si>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</si>
  <si>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</si>
  <si>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</si>
  <si>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</si>
  <si>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</si>
  <si>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</si>
  <si>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</si>
  <si>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</si>
  <si>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</si>
  <si>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</si>
  <si>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</si>
  <si>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</si>
  <si>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</si>
  <si>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</si>
  <si>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</si>
  <si>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</si>
  <si>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</si>
  <si>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</si>
  <si>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</si>
  <si>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</si>
  <si>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</si>
  <si>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</si>
  <si>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</si>
  <si>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</si>
  <si>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</si>
  <si>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</si>
  <si>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</si>
  <si>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</si>
  <si>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</si>
  <si>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</si>
  <si>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</si>
  <si>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</si>
  <si>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</si>
  <si>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</si>
  <si>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</si>
  <si>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</si>
  <si>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</si>
  <si>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</si>
  <si>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</si>
  <si>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</si>
  <si>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</si>
  <si>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</si>
  <si>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</si>
  <si>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</si>
  <si>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</si>
  <si>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</si>
  <si>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</si>
  <si>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</si>
  <si>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</si>
  <si>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</si>
  <si>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</si>
  <si>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</si>
  <si>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</si>
  <si>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</si>
  <si>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</si>
  <si>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</si>
  <si>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</si>
  <si>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</si>
  <si>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</si>
  <si>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</si>
  <si>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</si>
  <si>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</si>
  <si>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</si>
  <si>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</si>
  <si>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</si>
  <si>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</si>
  <si>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</si>
  <si>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</si>
  <si>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</si>
  <si>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</si>
  <si>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</si>
  <si>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</si>
  <si>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</si>
  <si>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</si>
  <si>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</si>
  <si>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</si>
  <si>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</si>
  <si>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</si>
  <si>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</si>
  <si>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</si>
  <si>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</si>
  <si>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</si>
  <si>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</si>
  <si>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</si>
  <si>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</si>
  <si>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</si>
  <si>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</si>
  <si>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</si>
  <si>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</si>
  <si>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</si>
  <si>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</si>
  <si>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</si>
  <si>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</si>
  <si>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</si>
  <si>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</si>
  <si>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</si>
  <si>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</si>
  <si>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</si>
  <si>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</si>
  <si>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</si>
  <si>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</si>
  <si>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</si>
  <si>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</si>
  <si>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</si>
  <si>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</si>
  <si>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</si>
  <si>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</si>
  <si>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</si>
  <si>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</si>
  <si>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</si>
  <si>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</si>
  <si>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</si>
  <si>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</si>
  <si>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</si>
  <si>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</si>
  <si>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</si>
  <si>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</si>
  <si>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</si>
  <si>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</si>
  <si>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</si>
  <si>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</si>
  <si>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</si>
  <si>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</si>
  <si>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</si>
  <si>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</si>
  <si>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</si>
  <si>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</si>
  <si>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</si>
  <si>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</si>
  <si>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</si>
  <si>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</si>
  <si>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</si>
  <si>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</si>
  <si>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</si>
  <si>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</si>
  <si>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</si>
  <si>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</si>
  <si>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</si>
  <si>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</si>
  <si>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</si>
  <si>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</si>
  <si>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</si>
  <si>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</si>
  <si>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</si>
  <si>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</si>
  <si>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</si>
  <si>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</si>
  <si>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</si>
  <si>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</si>
  <si>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</si>
  <si>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</si>
  <si>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</si>
  <si>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</si>
  <si>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</si>
  <si>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</si>
  <si>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</si>
  <si>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</si>
  <si>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</si>
  <si>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</si>
  <si>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</si>
  <si>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</si>
  <si>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</si>
  <si>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</si>
  <si>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</si>
  <si>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</si>
  <si>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</si>
  <si>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</si>
  <si>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</si>
  <si>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</si>
  <si>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</si>
  <si>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</si>
  <si>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</si>
  <si>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</si>
  <si>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</si>
  <si>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</si>
  <si>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</si>
  <si>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</si>
  <si>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</si>
  <si>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</si>
  <si>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</si>
  <si>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</si>
  <si>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</si>
  <si>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</si>
  <si>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</si>
  <si>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</si>
  <si>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</si>
  <si>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</si>
  <si>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</si>
  <si>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</si>
  <si>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</si>
  <si>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</si>
  <si>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</si>
  <si>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</si>
  <si>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</si>
  <si>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</si>
  <si>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</si>
  <si>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</si>
  <si>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</si>
  <si>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</si>
  <si>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</si>
  <si>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</si>
  <si>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</si>
  <si>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</si>
  <si>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</si>
  <si>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</si>
  <si>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</si>
  <si>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</si>
  <si>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</si>
  <si>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</si>
  <si>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</si>
  <si>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</si>
  <si>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</si>
  <si>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</si>
  <si>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</si>
  <si>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</si>
  <si>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</si>
  <si>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</si>
  <si>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</si>
  <si>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</si>
  <si>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</si>
  <si>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</si>
  <si>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</si>
  <si>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</si>
  <si>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</si>
  <si>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</si>
  <si>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</si>
  <si>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</si>
  <si>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</si>
  <si>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</si>
  <si>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</si>
  <si>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</si>
  <si>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</si>
  <si>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</si>
  <si>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</si>
  <si>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</si>
  <si>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</si>
  <si>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</si>
  <si>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</si>
  <si>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</si>
  <si>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</si>
  <si>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</si>
  <si>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</si>
  <si>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</si>
  <si>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</si>
  <si>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</si>
  <si>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</si>
  <si>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</si>
  <si>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</si>
  <si>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</si>
  <si>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</si>
  <si>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</si>
  <si>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</si>
  <si>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</si>
  <si>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</si>
  <si>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</si>
  <si>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</si>
  <si>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</si>
  <si>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</si>
  <si>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</si>
  <si>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</si>
  <si>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</si>
  <si>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</si>
  <si>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</si>
  <si>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</si>
  <si>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</si>
  <si>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</si>
  <si>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</si>
  <si>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</si>
  <si>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</si>
  <si>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</si>
  <si>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</si>
  <si>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</si>
  <si>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</si>
  <si>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</si>
  <si>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</si>
  <si>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</si>
  <si>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</si>
  <si>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</si>
  <si>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</si>
  <si>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</si>
  <si>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</si>
  <si>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</si>
  <si>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</si>
  <si>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</si>
  <si>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</si>
  <si>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</si>
  <si>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</si>
  <si>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</si>
  <si>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</si>
  <si>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</si>
  <si>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</si>
  <si>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</si>
  <si>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</si>
  <si>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</si>
  <si>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</si>
  <si>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</si>
  <si>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</si>
  <si>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</si>
  <si>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</si>
  <si>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</si>
  <si>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</si>
  <si>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</si>
  <si>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</si>
  <si>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</si>
  <si>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</si>
  <si>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</si>
  <si>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</si>
  <si>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</si>
  <si>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</si>
  <si>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</si>
  <si>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</si>
  <si>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</si>
  <si>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</si>
  <si>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</si>
  <si>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</si>
  <si>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</si>
  <si>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</si>
  <si>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</si>
  <si>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</si>
  <si>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</si>
  <si>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</si>
  <si>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</si>
  <si>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</si>
  <si>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</si>
  <si>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</si>
  <si>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</si>
  <si>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</si>
  <si>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</si>
  <si>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</si>
  <si>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</si>
  <si>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</si>
  <si>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</si>
  <si>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</si>
  <si>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</si>
  <si>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</si>
  <si>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</si>
  <si>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</si>
  <si>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</si>
  <si>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</si>
  <si>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</si>
  <si>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</si>
  <si>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</si>
  <si>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</si>
  <si>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</si>
  <si>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</si>
  <si>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</si>
  <si>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</si>
  <si>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</si>
  <si>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</si>
  <si>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</si>
  <si>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</si>
  <si>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</si>
  <si>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</si>
  <si>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</si>
  <si>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</si>
  <si>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</si>
  <si>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</si>
  <si>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</si>
  <si>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</si>
  <si>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</si>
  <si>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</si>
  <si>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</si>
  <si>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</si>
  <si>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</si>
  <si>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</si>
  <si>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</si>
  <si>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</si>
  <si>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</si>
  <si>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</si>
  <si>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</si>
  <si>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</si>
  <si>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</si>
  <si>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</si>
  <si>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</si>
  <si>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</si>
  <si>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</si>
  <si>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</si>
  <si>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</si>
  <si>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</si>
  <si>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</si>
  <si>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</si>
  <si>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</si>
  <si>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</si>
  <si>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</si>
  <si>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</si>
  <si>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</si>
  <si>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</si>
  <si>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</si>
  <si>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</si>
  <si>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</si>
  <si>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</si>
  <si>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</si>
  <si>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</si>
  <si>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</si>
  <si>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</si>
  <si>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</si>
  <si>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</si>
  <si>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</si>
  <si>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</si>
  <si>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</si>
  <si>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</si>
  <si>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</si>
  <si>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</si>
  <si>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</si>
  <si>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</si>
  <si>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</si>
  <si>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</si>
  <si>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</si>
  <si>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</si>
  <si>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</si>
  <si>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</si>
  <si>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</si>
  <si>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</si>
  <si>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</si>
  <si>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</si>
  <si>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</si>
  <si>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</si>
  <si>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</si>
  <si>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</si>
  <si>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</si>
  <si>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</si>
  <si>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</si>
  <si>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</si>
  <si>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</si>
  <si>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</si>
  <si>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</si>
  <si>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</si>
  <si>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</si>
  <si>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</si>
  <si>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</si>
  <si>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</si>
  <si>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</si>
  <si>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</si>
  <si>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</si>
  <si>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</si>
  <si>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</si>
  <si>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</si>
  <si>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</si>
  <si>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</si>
  <si>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</si>
  <si>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</si>
  <si>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</si>
  <si>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</si>
  <si>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</si>
  <si>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</si>
  <si>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</si>
  <si>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</si>
  <si>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</si>
  <si>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</si>
  <si>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</si>
  <si>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</si>
  <si>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</si>
  <si>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</si>
  <si>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</si>
  <si>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</si>
  <si>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</si>
  <si>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</si>
  <si>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</si>
  <si>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</si>
  <si>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</si>
  <si>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</si>
  <si>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</si>
  <si>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</si>
  <si>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</si>
  <si>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</si>
  <si>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</si>
  <si>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</si>
  <si>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</si>
  <si>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</si>
  <si>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</si>
  <si>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</si>
  <si>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</si>
  <si>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</si>
  <si>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</si>
  <si>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</si>
  <si>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</si>
  <si>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</si>
  <si>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</si>
  <si>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</si>
  <si>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</si>
  <si>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</si>
  <si>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</si>
  <si>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</si>
  <si>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</si>
  <si>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</si>
  <si>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</si>
  <si>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</si>
  <si>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</si>
  <si>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</si>
  <si>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</si>
  <si>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</si>
  <si>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</si>
  <si>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</si>
  <si>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</si>
  <si>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</si>
  <si>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</si>
  <si>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</si>
  <si>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</si>
  <si>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</si>
  <si>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</si>
  <si>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</si>
  <si>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</si>
  <si>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</si>
  <si>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</si>
  <si>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</si>
  <si>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</si>
  <si>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</si>
  <si>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</si>
  <si>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</si>
  <si>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</si>
  <si>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</si>
  <si>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</si>
  <si>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</si>
  <si>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</si>
  <si>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</si>
  <si>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</si>
  <si>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</si>
  <si>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</si>
  <si>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</si>
  <si>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</si>
  <si>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</si>
  <si>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</si>
  <si>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</si>
  <si>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</si>
  <si>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</si>
  <si>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</si>
  <si>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</si>
  <si>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</si>
  <si>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</si>
  <si>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</si>
  <si>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</si>
  <si>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</si>
  <si>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</si>
  <si>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</si>
  <si>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</si>
  <si>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</si>
  <si>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</si>
  <si>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</si>
  <si>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</si>
  <si>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</si>
  <si>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</si>
  <si>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</si>
  <si>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</si>
  <si>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</si>
  <si>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</si>
  <si>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</si>
  <si>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</si>
  <si>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</si>
  <si>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</si>
  <si>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</si>
  <si>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</si>
  <si>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</si>
  <si>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</si>
  <si>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</si>
  <si>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</si>
  <si>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</si>
  <si>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</si>
  <si>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</si>
  <si>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</si>
  <si>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</si>
  <si>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</si>
  <si>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</si>
  <si>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</si>
  <si>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</si>
  <si>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</si>
  <si>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</si>
  <si>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</si>
  <si>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</si>
  <si>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</si>
  <si>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</si>
  <si>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</si>
  <si>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</si>
  <si>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</si>
  <si>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</si>
  <si>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</si>
  <si>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</si>
  <si>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</si>
  <si>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</si>
  <si>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</si>
  <si>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</si>
  <si>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</si>
  <si>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</si>
  <si>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</si>
  <si>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</si>
  <si>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</si>
  <si>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</si>
  <si>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</si>
  <si>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</si>
  <si>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</si>
  <si>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</si>
  <si>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</si>
  <si>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</si>
  <si>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</si>
  <si>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</si>
  <si>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</si>
  <si>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</si>
  <si>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</si>
  <si>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</si>
  <si>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</si>
  <si>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</si>
  <si>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</si>
  <si>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</si>
  <si>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</si>
  <si>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</si>
  <si>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</si>
  <si>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</si>
  <si>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</si>
  <si>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</si>
  <si>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</si>
  <si>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</si>
  <si>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</si>
  <si>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</si>
  <si>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</si>
  <si>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</si>
  <si>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</si>
  <si>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</si>
  <si>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</si>
  <si>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</si>
  <si>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</si>
  <si>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</si>
  <si>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</si>
  <si>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</si>
  <si>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</si>
  <si>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</si>
  <si>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</si>
  <si>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</si>
  <si>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</si>
  <si>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</si>
  <si>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</si>
  <si>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</si>
  <si>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</si>
  <si>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</si>
  <si>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</si>
  <si>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</si>
  <si>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</si>
  <si>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</si>
  <si>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</si>
  <si>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</si>
  <si>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</si>
  <si>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</si>
  <si>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</si>
  <si>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</si>
  <si>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</si>
  <si>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</si>
  <si>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</si>
  <si>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</si>
  <si>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</si>
  <si>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</si>
  <si>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</si>
  <si>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</si>
  <si>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</si>
  <si>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</si>
  <si>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</si>
  <si>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</si>
  <si>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</si>
  <si>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</si>
  <si>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</si>
  <si>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</si>
  <si>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</si>
  <si>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</si>
  <si>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</si>
  <si>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</si>
  <si>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</si>
  <si>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</si>
  <si>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</si>
  <si>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</si>
  <si>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</si>
  <si>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</si>
  <si>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</si>
  <si>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</si>
  <si>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</si>
  <si>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</si>
  <si>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</si>
  <si>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</si>
  <si>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</si>
  <si>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</si>
  <si>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</si>
  <si>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</si>
  <si>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</si>
  <si>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</si>
  <si>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</si>
  <si>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</si>
  <si>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</si>
  <si>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</si>
  <si>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</si>
  <si>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</si>
  <si>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</si>
  <si>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</si>
  <si>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</si>
  <si>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</si>
  <si>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</si>
  <si>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</si>
  <si>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</si>
  <si>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</si>
  <si>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</si>
  <si>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</si>
  <si>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</si>
  <si>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</si>
  <si>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</si>
  <si>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</si>
  <si>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</si>
  <si>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</si>
  <si>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</si>
  <si>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</si>
  <si>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</si>
  <si>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</si>
  <si>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</si>
  <si>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</si>
  <si>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</si>
  <si>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</si>
  <si>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</si>
  <si>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</si>
  <si>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</si>
  <si>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</si>
  <si>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</si>
  <si>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</si>
  <si>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</si>
  <si>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</si>
  <si>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</si>
  <si>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</si>
  <si>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</si>
  <si>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</si>
  <si>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</si>
  <si>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</si>
  <si>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</si>
  <si>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</si>
  <si>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</si>
  <si>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</si>
  <si>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</si>
  <si>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</si>
  <si>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</si>
  <si>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</si>
  <si>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</si>
  <si>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</si>
  <si>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</si>
  <si>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</si>
  <si>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</si>
  <si>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</si>
  <si>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</si>
  <si>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</si>
  <si>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</si>
  <si>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</si>
  <si>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</si>
  <si>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</si>
  <si>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</si>
  <si>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</si>
  <si>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</si>
  <si>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</si>
  <si>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</si>
  <si>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</si>
  <si>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</si>
  <si>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</si>
  <si>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</si>
  <si>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</si>
  <si>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</si>
  <si>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</si>
  <si>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</si>
  <si>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</si>
  <si>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</si>
  <si>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</si>
  <si>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</si>
  <si>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</si>
  <si>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</si>
  <si>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</si>
  <si>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</si>
  <si>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</si>
  <si>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</si>
  <si>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</si>
  <si>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</si>
  <si>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</si>
  <si>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</si>
  <si>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</si>
  <si>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</si>
  <si>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</si>
  <si>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</si>
  <si>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</si>
  <si>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</si>
  <si>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</si>
  <si>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</si>
  <si>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</si>
  <si>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</si>
  <si>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</si>
  <si>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</si>
  <si>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</si>
  <si>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</si>
  <si>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</si>
  <si>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</si>
  <si>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</si>
  <si>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</si>
  <si>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</si>
  <si>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</si>
  <si>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</si>
  <si>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</si>
  <si>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</si>
  <si>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</si>
  <si>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</si>
  <si>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</si>
  <si>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</si>
  <si>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</si>
  <si>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</si>
  <si>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</si>
  <si>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</si>
  <si>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</si>
  <si>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</si>
  <si>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</si>
  <si>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</si>
  <si>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</si>
  <si>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</si>
  <si>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</si>
  <si>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</si>
  <si>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</si>
  <si>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</si>
  <si>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</si>
  <si>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</si>
  <si>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</si>
  <si>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</si>
  <si>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</si>
  <si>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</si>
  <si>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</si>
  <si>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</si>
  <si>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</si>
  <si>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</si>
  <si>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</si>
  <si>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</si>
  <si>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</si>
  <si>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</si>
  <si>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</si>
  <si>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</si>
  <si>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</si>
  <si>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</si>
  <si>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</si>
  <si>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</si>
  <si>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</si>
  <si>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</si>
  <si>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</si>
  <si>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</si>
  <si>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</si>
  <si>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</si>
  <si>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</si>
  <si>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</si>
  <si>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</si>
  <si>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</si>
  <si>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</si>
  <si>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</si>
  <si>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</si>
  <si>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</si>
  <si>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</si>
  <si>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</si>
  <si>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</si>
  <si>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</si>
  <si>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</si>
  <si>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</si>
  <si>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</si>
  <si>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</si>
  <si>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</si>
  <si>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</si>
  <si>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</si>
  <si>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</si>
  <si>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</si>
  <si>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</si>
  <si>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</si>
  <si>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</si>
  <si>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</si>
  <si>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</si>
  <si>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</si>
  <si>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</si>
  <si>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</si>
  <si>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</si>
  <si>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</si>
  <si>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</si>
  <si>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</si>
  <si>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</si>
  <si>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</si>
  <si>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</si>
  <si>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</si>
  <si>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</si>
  <si>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</si>
  <si>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</si>
  <si>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</si>
  <si>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</si>
  <si>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</si>
  <si>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</si>
  <si>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</si>
  <si>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</si>
  <si>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</si>
  <si>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</si>
  <si>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</si>
  <si>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</si>
  <si>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</si>
  <si>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</si>
  <si>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</si>
  <si>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</si>
  <si>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</si>
  <si>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</si>
  <si>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</si>
  <si>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</si>
  <si>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</si>
  <si>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</si>
  <si>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</si>
  <si>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</si>
  <si>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</si>
  <si>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</si>
  <si>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</si>
  <si>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</si>
  <si>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</si>
  <si>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</si>
  <si>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</si>
  <si>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</si>
  <si>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</si>
  <si>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</si>
  <si>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</si>
  <si>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</si>
  <si>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</si>
  <si>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</si>
  <si>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</si>
  <si>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</si>
  <si>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</si>
  <si>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</si>
  <si>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</si>
  <si>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</si>
  <si>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</si>
  <si>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</si>
  <si>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</si>
  <si>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</si>
  <si>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</si>
  <si>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</si>
  <si>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</si>
  <si>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</si>
  <si>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</si>
  <si>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</si>
  <si>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</si>
  <si>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</si>
  <si>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</si>
  <si>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</si>
  <si>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</si>
  <si>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</si>
  <si>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</si>
  <si>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</si>
  <si>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</si>
  <si>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</si>
  <si>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</si>
  <si>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</si>
  <si>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</si>
  <si>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</si>
  <si>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</si>
  <si>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</si>
  <si>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</si>
  <si>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</si>
  <si>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</si>
  <si>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</si>
  <si>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</si>
  <si>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</si>
  <si>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</si>
  <si>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</si>
  <si>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</si>
  <si>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</si>
  <si>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</si>
  <si>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</si>
  <si>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</si>
  <si>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</si>
  <si>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</si>
  <si>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</si>
  <si>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</si>
  <si>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</si>
  <si>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</si>
  <si>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</si>
  <si>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</si>
  <si>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</si>
  <si>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</si>
  <si>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</si>
  <si>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</si>
  <si>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</si>
  <si>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</si>
  <si>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</si>
  <si>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</si>
  <si>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</si>
  <si>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</si>
  <si>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</si>
  <si>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</si>
  <si>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</si>
  <si>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</si>
  <si>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</si>
  <si>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</si>
  <si>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</si>
  <si>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</si>
  <si>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</si>
  <si>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</si>
  <si>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</si>
  <si>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</si>
  <si>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</si>
  <si>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</si>
  <si>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</si>
  <si>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</si>
  <si>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</si>
  <si>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</si>
  <si>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</si>
  <si>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</si>
  <si>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</si>
  <si>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</si>
  <si>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</si>
  <si>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</si>
  <si>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</si>
  <si>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</si>
  <si>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</si>
  <si>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</si>
  <si>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</si>
  <si>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</si>
  <si>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</si>
  <si>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</si>
  <si>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</si>
  <si>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</si>
  <si>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</si>
  <si>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</si>
  <si>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</si>
  <si>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</si>
  <si>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</si>
  <si>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</si>
  <si>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</si>
  <si>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</si>
  <si>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</si>
  <si>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</si>
  <si>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</si>
  <si>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</si>
  <si>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</si>
  <si>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</si>
  <si>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</si>
  <si>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</si>
  <si>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</si>
  <si>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</si>
  <si>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</si>
  <si>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</si>
  <si>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</si>
  <si>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</si>
  <si>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</si>
  <si>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</si>
  <si>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</si>
  <si>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</si>
  <si>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</si>
  <si>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</si>
  <si>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</si>
  <si>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</si>
  <si>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</si>
  <si>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</si>
  <si>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</si>
  <si>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</si>
  <si>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</si>
  <si>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</si>
  <si>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</si>
  <si>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</si>
  <si>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</si>
  <si>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</si>
  <si>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</si>
  <si>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</si>
  <si>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</si>
  <si>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</si>
  <si>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</si>
  <si>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</si>
  <si>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</si>
  <si>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</si>
  <si>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</si>
  <si>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</si>
  <si>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</si>
  <si>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</si>
  <si>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</si>
  <si>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</si>
  <si>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</si>
  <si>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</si>
  <si>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</si>
  <si>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</si>
  <si>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</si>
  <si>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</si>
  <si>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</si>
  <si>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</si>
  <si>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</si>
  <si>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</si>
  <si>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</si>
  <si>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</si>
  <si>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</si>
  <si>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</si>
  <si>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</si>
  <si>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</si>
  <si>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</si>
  <si>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</si>
  <si>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</si>
  <si>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</si>
  <si>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</si>
  <si>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</si>
  <si>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</si>
  <si>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</si>
  <si>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</si>
  <si>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</si>
  <si>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</si>
  <si>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</si>
  <si>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</si>
  <si>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</si>
  <si>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</si>
  <si>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</si>
  <si>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</si>
  <si>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</si>
  <si>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</si>
  <si>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</si>
  <si>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</si>
  <si>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</si>
  <si>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</si>
  <si>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</si>
  <si>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</si>
  <si>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</si>
  <si>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</si>
  <si>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</si>
  <si>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</si>
  <si>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</si>
  <si>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</si>
  <si>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</si>
  <si>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</si>
  <si>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</si>
  <si>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</si>
  <si>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</si>
  <si>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</si>
  <si>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</si>
  <si>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</si>
  <si>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</si>
  <si>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</si>
  <si>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</si>
  <si>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</si>
  <si>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50-082-8010-60</t>
  </si>
  <si>
    <t>St. Clair</t>
  </si>
  <si>
    <t>Belleville Area Special Services Cooperative</t>
  </si>
  <si>
    <t>2411 Pathways Crossing</t>
  </si>
  <si>
    <t>x</t>
  </si>
  <si>
    <t>Scheffel Boyle</t>
  </si>
  <si>
    <t>Dale Holtmann</t>
  </si>
  <si>
    <t>222 East Main Street</t>
  </si>
  <si>
    <t>Belleville</t>
  </si>
  <si>
    <t>IL</t>
  </si>
  <si>
    <t>618-277-8100</t>
  </si>
  <si>
    <t>618-233-6334</t>
  </si>
  <si>
    <t>065-026956</t>
  </si>
  <si>
    <t>dale.holtmann@scheffelboyle.com</t>
  </si>
  <si>
    <t>618-355-4700</t>
  </si>
  <si>
    <t>618-355-4415</t>
  </si>
  <si>
    <t>stephen.kozuszek@bassc-sped.org</t>
  </si>
  <si>
    <t>Stephen Kozuszek</t>
  </si>
  <si>
    <t>Building Debt Certificate</t>
  </si>
  <si>
    <t>Unmodified</t>
  </si>
  <si>
    <t>We noted that the Co-op was not able to prepare their financial statements including disclosures in accordance with accounting principles generally accepted in the United States of America for the year ended June 30, 2020.</t>
  </si>
  <si>
    <t>The Co-op lacks the resources to research, study and apply all the new accounting statements, standards, revisions and regulations needed to prepare their year end financial statements including formatting notes and exhibits in accordance with accounting principles generally accepted in the United States of America.</t>
  </si>
  <si>
    <t>To study the cost versus benefit of providing the necessary education and training to staff or hiring a qualified vendor to prepare or review the Co-op's year end financial statements including disclosures in accordance with accounting principles generally accepted in the United States of America.</t>
  </si>
  <si>
    <t>None</t>
  </si>
  <si>
    <t>The effect of the journal entries for the year ended June 30, 2020 amounted to adjusting the year end cash basis data to the modified accrual basis and reclassifying items out of capital outlay.  Journal entries were necessary to bring the trial balance into compliance with accounting principles generally accepted in the United States of America.</t>
  </si>
  <si>
    <t>The Co-op did not properly record all transactions in accordance with accounting principles generally accepted in the United States of America for the year ended June 30, 2020.</t>
  </si>
  <si>
    <t>The Co-op personnel do not have the necessary training or resources available to ensure that all transactions recorded are in accordance with accounting principles generally accepted in the United States of America.</t>
  </si>
  <si>
    <t xml:space="preserve">To provide the necessary training and resources for accounting employees to properly record all transactions in accordance with accounting principles generally accepted in the United States of America.  </t>
  </si>
  <si>
    <t>2019-001</t>
  </si>
  <si>
    <t>Prepare the financial statement</t>
  </si>
  <si>
    <t>Management reviewed the costs versus benefit of</t>
  </si>
  <si>
    <t>providing the necessary education and training to staff</t>
  </si>
  <si>
    <t xml:space="preserve">or hiring a qualified vendor to prepare the financial </t>
  </si>
  <si>
    <t>statements including disclosures and decided to not</t>
  </si>
  <si>
    <t>change the process from the prior year.</t>
  </si>
  <si>
    <t>2019-002</t>
  </si>
  <si>
    <t>Journal entries made during audit</t>
  </si>
  <si>
    <t>Management reviewed their trial balance before year</t>
  </si>
  <si>
    <t xml:space="preserve">end and made some journal entries.  However, a </t>
  </si>
  <si>
    <t>few journal entries were still needed during the audit.</t>
  </si>
  <si>
    <t>2019-003</t>
  </si>
  <si>
    <t>Reporting on federal grants</t>
  </si>
  <si>
    <t>2019-004</t>
  </si>
  <si>
    <t>Monitoring of subrecipients</t>
  </si>
  <si>
    <t>Resolved this year.</t>
  </si>
  <si>
    <t>We noted that the Co-op did not properly record all transactions for the year ended June 30, 2020 in accordance with accounting principles generally accepted in the United States of America.</t>
  </si>
  <si>
    <t>The Co-op is required to prepare their financial statements and disclosures in accordance with accounting principles generally accepted in the United States of America for the year ended June 30, 2020.</t>
  </si>
  <si>
    <t>The Co-op does not have sufficient experience and research capabilities over their financial reporting.  The financial statements were prepared by the auditors and then reviewed and approved by management.</t>
  </si>
  <si>
    <t>The Co-op was unable to prepare their financial statements including disclosures in accordance with accounting principles generally accepted in the United States of America for the year ended June 30, 2020.   The Co-op required the expertise of the auditor to prepare the financial statements and disclosures in accordance with accounting principles generally accepted in the United States of America for the year ended June 30, 2020.</t>
  </si>
  <si>
    <t>The Co-op is required to ensure that they have procedures in place so that all transactions are properly recorded in accordance with accounting principles generally accepted in the United States of America.</t>
  </si>
  <si>
    <t>Management has studied the cost versus benefit of providing the necessary education and training and resources to staff or hiring a qualified vendor to ensure that the Co-op's transactions are properly recorded in accordance with accounting principles generally accepted in the United States of America.   They do not find it cost beneficial.</t>
  </si>
  <si>
    <t>The Co-op believes its accounting staff maintains adequate books and records of the Co-op's transactions.  Additionally, the Co-op does not believe it is cost beneficial to hire additional accounting expertise to ensure the Co-op's annual financial statements are prepared in accordance with accounting principles generally accepted in the United States of America.</t>
  </si>
  <si>
    <t>ED-Special Education-General Administration</t>
  </si>
  <si>
    <t>ED-Central-Data Processing</t>
  </si>
  <si>
    <t>Brecht Database Solutions</t>
  </si>
  <si>
    <t>Embrace Education</t>
  </si>
  <si>
    <t>ED-Business-Supplies and Maintenance</t>
  </si>
  <si>
    <t>St Pauls UCC</t>
  </si>
  <si>
    <t>Belleville School District #118</t>
  </si>
  <si>
    <t>Page 14, Account 4998 - Other Restricted Revenue from Federal Sources</t>
  </si>
  <si>
    <t xml:space="preserve">   $6,207 - CARES Act grant</t>
  </si>
  <si>
    <t>Page 15, Account 2190, Other Support Services - Pupils</t>
  </si>
  <si>
    <t>Programs expenses for Extended School Year and Music Therapy</t>
  </si>
  <si>
    <t>Page 16, Account 4190, Other Payments to In State Govt Units</t>
  </si>
  <si>
    <t>Payments for Audiology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</si>
</sst>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605270</xdr:colOff>
          <xdr:row>4</xdr:row>
          <xdr:rowOff>10391</xdr:rowOff>
        </xdr:from>
        <xdr:to>
          <xdr:col>4</xdr:col>
          <xdr:colOff>297007</xdr:colOff>
          <xdr:row>8</xdr:row>
          <xdr:rowOff>58882</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D8" sqref="D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2051</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2056</v>
      </c>
      <c r="P12" s="97" t="s">
        <v>200</v>
      </c>
      <c r="Q12" s="71"/>
      <c r="R12" s="30"/>
      <c r="S12" s="30"/>
      <c r="T12" s="82" t="s">
        <v>263</v>
      </c>
      <c r="U12" s="48"/>
      <c r="V12" s="48"/>
      <c r="W12" s="48"/>
      <c r="X12" s="48"/>
      <c r="Y12" s="43"/>
      <c r="Z12" s="43"/>
      <c r="AA12" s="44"/>
    </row>
    <row r="13" spans="1:32" ht="13.5" customHeight="1" x14ac:dyDescent="0.2">
      <c r="A13" s="2101" t="s">
        <v>2052</v>
      </c>
      <c r="B13" s="2102"/>
      <c r="C13" s="2102"/>
      <c r="D13" s="2102"/>
      <c r="E13" s="2102"/>
      <c r="F13" s="2102"/>
      <c r="G13" s="2102"/>
      <c r="H13" s="2103"/>
      <c r="I13" s="31"/>
      <c r="J13" s="30"/>
      <c r="K13" s="28"/>
      <c r="L13" s="30"/>
      <c r="M13" s="30"/>
      <c r="N13" s="30"/>
      <c r="O13" s="30"/>
      <c r="P13" s="30"/>
      <c r="Q13" s="30"/>
      <c r="R13" s="30"/>
      <c r="S13" s="30"/>
      <c r="T13" s="2107" t="s">
        <v>2057</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2058</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2054</v>
      </c>
      <c r="B17" s="2075"/>
      <c r="C17" s="2075"/>
      <c r="D17" s="2075"/>
      <c r="E17" s="2075"/>
      <c r="F17" s="2075"/>
      <c r="G17" s="2075"/>
      <c r="H17" s="2100"/>
      <c r="T17" s="2118" t="s">
        <v>2059</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2055</v>
      </c>
      <c r="B19" s="2060"/>
      <c r="C19" s="2060"/>
      <c r="D19" s="2060"/>
      <c r="E19" s="2060"/>
      <c r="F19" s="2060"/>
      <c r="G19" s="2060"/>
      <c r="H19" s="2040"/>
      <c r="I19" s="30"/>
      <c r="J19" s="96"/>
      <c r="K19" s="40"/>
      <c r="L19" s="38"/>
      <c r="M19" s="109" t="s">
        <v>312</v>
      </c>
      <c r="P19" s="27"/>
      <c r="Q19" s="27"/>
      <c r="R19" s="27"/>
      <c r="S19" s="31"/>
      <c r="T19" s="2104" t="s">
        <v>2060</v>
      </c>
      <c r="U19" s="2039"/>
      <c r="V19" s="2039"/>
      <c r="W19" s="2040"/>
      <c r="X19" s="2116" t="s">
        <v>2061</v>
      </c>
      <c r="Y19" s="2117"/>
      <c r="Z19" s="2114">
        <v>62220</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2062</v>
      </c>
      <c r="U21" s="2130"/>
      <c r="V21" s="2130"/>
      <c r="W21" s="2130"/>
      <c r="X21" s="2135" t="s">
        <v>2063</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2068</v>
      </c>
      <c r="B23" s="2092"/>
      <c r="C23" s="2092"/>
      <c r="D23" s="2092"/>
      <c r="E23" s="2092"/>
      <c r="F23" s="2092"/>
      <c r="G23" s="2092"/>
      <c r="H23" s="2093"/>
      <c r="T23" s="2074" t="s">
        <v>2064</v>
      </c>
      <c r="U23" s="2128"/>
      <c r="V23" s="2128"/>
      <c r="W23" s="2128"/>
      <c r="X23" s="2132">
        <v>44469</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62221</v>
      </c>
      <c r="B25" s="2039"/>
      <c r="C25" s="2039"/>
      <c r="D25" s="2039"/>
      <c r="E25" s="2039"/>
      <c r="F25" s="2039"/>
      <c r="G25" s="2039"/>
      <c r="H25" s="2040"/>
      <c r="I25" s="110"/>
      <c r="J25" s="2063"/>
      <c r="K25" s="2063"/>
      <c r="L25" s="2063"/>
      <c r="M25" s="2063"/>
      <c r="N25" s="2063"/>
      <c r="O25" s="2063"/>
      <c r="P25" s="2063"/>
      <c r="Q25" s="2063"/>
      <c r="R25" s="2063"/>
      <c r="S25" s="2064"/>
      <c r="T25" s="2125" t="s">
        <v>2065</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2056</v>
      </c>
      <c r="F29" s="137" t="s">
        <v>1305</v>
      </c>
      <c r="G29" s="111"/>
      <c r="I29" s="51"/>
      <c r="J29" s="99"/>
      <c r="K29" s="28" t="s">
        <v>572</v>
      </c>
      <c r="L29" s="144" t="s">
        <v>2056</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2069</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2068</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2066</v>
      </c>
      <c r="B42" s="2058"/>
      <c r="C42" s="2059"/>
      <c r="D42" s="2057" t="s">
        <v>2067</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0" sqref="A40:H4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A40" sqref="A40:H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v>22276</v>
      </c>
      <c r="D27" s="1664"/>
      <c r="E27" s="1664">
        <v>98</v>
      </c>
      <c r="F27" s="1732">
        <f>SUM(C27+D27)-E27</f>
        <v>22178</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41557</v>
      </c>
      <c r="C31" s="1734">
        <v>2155000</v>
      </c>
      <c r="D31" s="1735">
        <v>3</v>
      </c>
      <c r="E31" s="1734">
        <v>975000</v>
      </c>
      <c r="F31" s="1734"/>
      <c r="G31" s="1734"/>
      <c r="H31" s="1734">
        <v>315000</v>
      </c>
      <c r="I31" s="1736">
        <f>((E31+F31)-H31)+G31</f>
        <v>660000</v>
      </c>
      <c r="J31" s="1734">
        <v>606507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2155000</v>
      </c>
      <c r="D49" s="1742"/>
      <c r="E49" s="1736">
        <f t="shared" ref="E49:J49" si="2">SUM(E31:E48)</f>
        <v>975000</v>
      </c>
      <c r="F49" s="1736">
        <f t="shared" si="2"/>
        <v>0</v>
      </c>
      <c r="G49" s="1736">
        <f t="shared" si="2"/>
        <v>0</v>
      </c>
      <c r="H49" s="1736">
        <f t="shared" si="2"/>
        <v>315000</v>
      </c>
      <c r="I49" s="1736">
        <f t="shared" si="2"/>
        <v>660000</v>
      </c>
      <c r="J49" s="1736">
        <f t="shared" si="2"/>
        <v>606507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A40" sqref="A40:H4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D1" colorId="8" zoomScale="110" zoomScaleNormal="110" workbookViewId="0">
      <selection activeCell="A40" sqref="A40:H4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806287</v>
      </c>
      <c r="D5" s="1770"/>
      <c r="E5" s="1770"/>
      <c r="F5" s="1765">
        <f>(C5+D5)-E5</f>
        <v>806287</v>
      </c>
      <c r="G5" s="676"/>
      <c r="H5" s="680"/>
      <c r="I5" s="680"/>
      <c r="J5" s="680"/>
      <c r="K5" s="637"/>
      <c r="L5" s="1442">
        <f>F5-K5</f>
        <v>806287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7866681</v>
      </c>
      <c r="D8" s="1771"/>
      <c r="E8" s="1771"/>
      <c r="F8" s="1765">
        <f>(C8+D8)-E8</f>
        <v>7866681</v>
      </c>
      <c r="G8" s="681">
        <v>50</v>
      </c>
      <c r="H8" s="619">
        <v>2512109</v>
      </c>
      <c r="I8" s="619">
        <f>145132+14024</f>
        <v>159156</v>
      </c>
      <c r="J8" s="619"/>
      <c r="K8" s="1442">
        <f>(H8+I8)-J8</f>
        <v>2671265</v>
      </c>
      <c r="L8" s="1442">
        <f>F8-K8</f>
        <v>5195416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1573808</v>
      </c>
      <c r="D13" s="1771">
        <v>17809</v>
      </c>
      <c r="E13" s="1771"/>
      <c r="F13" s="1765">
        <f>(C13+D13)-E13</f>
        <v>1591617</v>
      </c>
      <c r="G13" s="681">
        <v>5</v>
      </c>
      <c r="H13" s="619">
        <v>1567702</v>
      </c>
      <c r="I13" s="619">
        <v>6863</v>
      </c>
      <c r="J13" s="619"/>
      <c r="K13" s="1442">
        <f>(H13+I13)-J13</f>
        <v>1574565</v>
      </c>
      <c r="L13" s="1442">
        <f>F13-K13</f>
        <v>17052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10246776</v>
      </c>
      <c r="D16" s="1765">
        <f>SUM(D3,D5:D6,D8:D10,D12:D15)</f>
        <v>17809</v>
      </c>
      <c r="E16" s="1765">
        <f>SUM(E3,E5:E6,E8:E10,E12:E15)</f>
        <v>0</v>
      </c>
      <c r="F16" s="1765">
        <f>SUM(F3,F5:F6,F8:F10,F12:F15)</f>
        <v>10264585</v>
      </c>
      <c r="G16" s="681"/>
      <c r="H16" s="1435">
        <f>SUM(H3,H6,H8:H10,H12:H14,)</f>
        <v>4079811</v>
      </c>
      <c r="I16" s="1435">
        <f>SUM(I3,I6,I8:I10,I12:I14,)</f>
        <v>166019</v>
      </c>
      <c r="J16" s="1435">
        <f>SUM(J3,J6,J8:J10,J12:J14,)</f>
        <v>0</v>
      </c>
      <c r="K16" s="1435">
        <f>(H16+I16)-J16</f>
        <v>4245830</v>
      </c>
      <c r="L16" s="1435">
        <f>F16-K16</f>
        <v>6018755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133810</v>
      </c>
      <c r="G17" s="676">
        <v>10</v>
      </c>
      <c r="H17" s="621"/>
      <c r="I17" s="1442">
        <f>F17/G17</f>
        <v>13381</v>
      </c>
      <c r="J17" s="621"/>
      <c r="K17" s="638"/>
      <c r="L17" s="638"/>
    </row>
    <row r="18" spans="1:12" ht="14.25" thickTop="1" thickBot="1" x14ac:dyDescent="0.25">
      <c r="A18" s="1440" t="s">
        <v>680</v>
      </c>
      <c r="B18" s="1441"/>
      <c r="C18" s="623"/>
      <c r="D18" s="623"/>
      <c r="E18" s="623"/>
      <c r="F18" s="686"/>
      <c r="G18" s="687"/>
      <c r="H18" s="624"/>
      <c r="I18" s="1435">
        <f>SUM(I16,I17)</f>
        <v>179400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9" colorId="8" zoomScale="110" zoomScaleNormal="110" workbookViewId="0">
      <selection activeCell="A40" sqref="A40:H4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14746462</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342690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15089152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968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807290</v>
      </c>
      <c r="G53" s="701"/>
    </row>
    <row r="54" spans="1:7" x14ac:dyDescent="0.2">
      <c r="A54" s="705" t="s">
        <v>456</v>
      </c>
      <c r="B54" s="705" t="s">
        <v>1459</v>
      </c>
      <c r="C54" s="724" t="s">
        <v>975</v>
      </c>
      <c r="D54" s="720" t="s">
        <v>1086</v>
      </c>
      <c r="E54" s="704"/>
      <c r="F54" s="1782">
        <f>'Expenditures 15-22'!G114</f>
        <v>17809</v>
      </c>
      <c r="G54" s="701"/>
    </row>
    <row r="55" spans="1:7" x14ac:dyDescent="0.2">
      <c r="A55" s="705" t="s">
        <v>456</v>
      </c>
      <c r="B55" s="705" t="s">
        <v>1460</v>
      </c>
      <c r="C55" s="724" t="s">
        <v>975</v>
      </c>
      <c r="D55" s="720" t="s">
        <v>288</v>
      </c>
      <c r="E55" s="704"/>
      <c r="F55" s="1782">
        <f>'Expenditures 15-22'!I114</f>
        <v>133810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315000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1274877</v>
      </c>
      <c r="G77" s="701"/>
    </row>
    <row r="78" spans="1:9" s="728" customFormat="1" ht="12" customHeight="1" thickTop="1" thickBot="1" x14ac:dyDescent="0.25">
      <c r="A78" s="1450"/>
      <c r="B78" s="1448"/>
      <c r="C78" s="1445"/>
      <c r="D78" s="1449" t="s">
        <v>2012</v>
      </c>
      <c r="E78" s="1447"/>
      <c r="F78" s="1788">
        <f>(F14-F77)</f>
        <v>13814275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3421</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148461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3220573</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342690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1290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71470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19205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69562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136476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6207</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4019355</v>
      </c>
    </row>
    <row r="176" spans="1:7" ht="12" customHeight="1" x14ac:dyDescent="0.2">
      <c r="A176" s="1443"/>
      <c r="B176" s="1453"/>
      <c r="C176" s="1454"/>
      <c r="D176" s="1455" t="s">
        <v>2014</v>
      </c>
      <c r="E176" s="1456"/>
      <c r="F176" s="1793">
        <f>'PCTC-OEPP 27-28'!F78-F175</f>
        <v>9794920</v>
      </c>
    </row>
    <row r="177" spans="1:9" ht="12" customHeight="1" x14ac:dyDescent="0.2">
      <c r="A177" s="1443"/>
      <c r="B177" s="1453"/>
      <c r="C177" s="1454"/>
      <c r="D177" s="1455" t="s">
        <v>1794</v>
      </c>
      <c r="E177" s="1456"/>
      <c r="F177" s="1793">
        <f>'Cap Outlay Deprec 26'!I18</f>
        <v>179400</v>
      </c>
    </row>
    <row r="178" spans="1:9" ht="12" customHeight="1" x14ac:dyDescent="0.2">
      <c r="A178" s="1443"/>
      <c r="B178" s="1453"/>
      <c r="C178" s="1454"/>
      <c r="D178" s="1455" t="s">
        <v>2015</v>
      </c>
      <c r="E178" s="1456"/>
      <c r="F178" s="1793">
        <f>F176+F177</f>
        <v>9974320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6" zoomScaleNormal="100" workbookViewId="0">
      <selection activeCell="A40" sqref="A40:H4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2104</v>
      </c>
      <c r="B18" s="1908">
        <v>102300300</v>
      </c>
      <c r="C18" s="2037" t="s">
        <v>2057</v>
      </c>
      <c r="D18" s="1886">
        <v>15750</v>
      </c>
      <c r="E18" s="1906">
        <f t="shared" ref="E18:E81" si="0">IF(D18&lt;25000,D18,"25,000")</f>
        <v>15750</v>
      </c>
      <c r="F18" s="1906" t="str">
        <f t="shared" ref="F18:F81" si="1">IF(D18&gt;=25000,(D18-E18),"0")</f>
        <v>0</v>
      </c>
      <c r="G18" s="1887"/>
    </row>
    <row r="19" spans="1:7" x14ac:dyDescent="0.25">
      <c r="A19" s="2036" t="s">
        <v>2105</v>
      </c>
      <c r="B19" s="1908">
        <v>102660300</v>
      </c>
      <c r="C19" s="2037" t="s">
        <v>2106</v>
      </c>
      <c r="D19" s="1886">
        <v>10784</v>
      </c>
      <c r="E19" s="1906">
        <f t="shared" si="0"/>
        <v>10784</v>
      </c>
      <c r="F19" s="1906" t="str">
        <f t="shared" si="1"/>
        <v>0</v>
      </c>
    </row>
    <row r="20" spans="1:7" x14ac:dyDescent="0.25">
      <c r="A20" s="2036" t="s">
        <v>2105</v>
      </c>
      <c r="B20" s="1908">
        <v>102660300</v>
      </c>
      <c r="C20" s="2037" t="s">
        <v>2107</v>
      </c>
      <c r="D20" s="1886">
        <v>58748</v>
      </c>
      <c r="E20" s="1906" t="str">
        <f t="shared" si="0"/>
        <v>25,000</v>
      </c>
      <c r="F20" s="1906">
        <f t="shared" si="1"/>
        <v>33748</v>
      </c>
    </row>
    <row r="21" spans="1:7" x14ac:dyDescent="0.25">
      <c r="A21" s="2036" t="s">
        <v>2108</v>
      </c>
      <c r="B21" s="1908">
        <v>102540300</v>
      </c>
      <c r="C21" s="2037" t="s">
        <v>2109</v>
      </c>
      <c r="D21" s="1886">
        <v>9600</v>
      </c>
      <c r="E21" s="1906">
        <f t="shared" si="0"/>
        <v>9600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94882</v>
      </c>
      <c r="E142" s="1893">
        <f>SUM(E18:E141)</f>
        <v>36134</v>
      </c>
      <c r="F142" s="1894">
        <f>SUM(F18:F141)</f>
        <v>33748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A40" sqref="A40:H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2784</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6959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7281906</v>
      </c>
      <c r="F19" s="1802"/>
      <c r="G19" s="1804">
        <f>'Expenditures 15-22'!K33-SUM('Expenditures 15-22'!G33,'Expenditures 15-22'!I33)+'Expenditures 15-22'!D229</f>
        <v>7281906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3007494</v>
      </c>
      <c r="F21" s="1805"/>
      <c r="G21" s="1808">
        <f>'Expenditures 15-22'!K42-SUM('Expenditures 15-22'!G42,'Expenditures 15-22'!I42)+'Expenditures 15-22'!K120-SUM('Expenditures 15-22'!G120,'Expenditures 15-22'!I120)+'Expenditures 15-22'!K180-SUM('Expenditures 15-22'!G180,'Expenditures 15-22'!I180)+'Expenditures 15-22'!D238</f>
        <v>3007494</v>
      </c>
      <c r="H21" s="817"/>
      <c r="I21" s="157"/>
    </row>
    <row r="22" spans="1:9" s="542" customFormat="1" ht="12" customHeight="1" x14ac:dyDescent="0.2">
      <c r="A22" s="824" t="s">
        <v>560</v>
      </c>
      <c r="B22" s="825"/>
      <c r="C22" s="823">
        <v>2200</v>
      </c>
      <c r="D22" s="1805"/>
      <c r="E22" s="1807">
        <f>'Expenditures 15-22'!K47-SUM('Expenditures 15-22'!G47,'Expenditures 15-22'!I47)+'Expenditures 15-22'!D243</f>
        <v>586832</v>
      </c>
      <c r="F22" s="1805"/>
      <c r="G22" s="1808">
        <f>'Expenditures 15-22'!K47-SUM('Expenditures 15-22'!G47,'Expenditures 15-22'!I47)+'Expenditures 15-22'!D243</f>
        <v>586832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574267</v>
      </c>
      <c r="F23" s="1805"/>
      <c r="G23" s="1807">
        <f>'Expenditures 15-22'!K53-SUM('Expenditures 15-22'!G53,'Expenditures 15-22'!I53)+'Expenditures 15-22'!D257+'Expenditures 15-22'!K330-SUM('Expenditures 15-22'!G330,'Expenditures 15-22'!I330)</f>
        <v>574267</v>
      </c>
      <c r="H23" s="817"/>
      <c r="I23" s="157"/>
    </row>
    <row r="24" spans="1:9" s="542" customFormat="1" ht="12" customHeight="1" x14ac:dyDescent="0.2">
      <c r="A24" s="824" t="s">
        <v>562</v>
      </c>
      <c r="B24" s="825"/>
      <c r="C24" s="823">
        <v>2400</v>
      </c>
      <c r="D24" s="1805"/>
      <c r="E24" s="1807">
        <f>'Expenditures 15-22'!K57-SUM('Expenditures 15-22'!G57,'Expenditures 15-22'!I57)+'Expenditures 15-22'!D261</f>
        <v>252619</v>
      </c>
      <c r="F24" s="1805"/>
      <c r="G24" s="1808">
        <f>'Expenditures 15-22'!K57-SUM('Expenditures 15-22'!G57,'Expenditures 15-22'!I57)+'Expenditures 15-22'!D261</f>
        <v>252619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199091</v>
      </c>
      <c r="E26" s="1807">
        <f>'Expenditures 15-22'!K122-SUM('Expenditures 15-22'!G122,'Expenditures 15-22'!I122)+E7</f>
        <v>0</v>
      </c>
      <c r="F26" s="1807">
        <f>'Expenditures 15-22'!K59-SUM('Expenditures 15-22'!G59,'Expenditures 15-22'!I59)+'Expenditures 15-22'!D263-E7</f>
        <v>199091</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175235</v>
      </c>
      <c r="E27" s="1807">
        <f>E8</f>
        <v>0</v>
      </c>
      <c r="F27" s="1807">
        <f>'Expenditures 15-22'!K60-SUM('Expenditures 15-22'!G60,'Expenditures 15-22'!I60)+'Expenditures 15-22'!D264-E8</f>
        <v>175235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1564414</v>
      </c>
      <c r="F28" s="1809">
        <f>'Expenditures 15-22'!K61-SUM('Expenditures 15-22'!G61,'Expenditures 15-22'!I61)+'Expenditures 15-22'!K124-SUM('Expenditures 15-22'!G124,'Expenditures 15-22'!I124)+'Expenditures 15-22'!D266-E9</f>
        <v>1564414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34473</v>
      </c>
      <c r="F30" s="1805"/>
      <c r="G30" s="1807">
        <f>'Expenditures 15-22'!K63-SUM('Expenditures 15-22'!G63,'Expenditures 15-22'!I63)+'Expenditures 15-22'!D268-E10</f>
        <v>34473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1921</v>
      </c>
      <c r="F35" s="1805"/>
      <c r="G35" s="1807">
        <f>'Expenditures 15-22'!K69-SUM('Expenditures 15-22'!G69,'Expenditures 15-22'!I69)+'Expenditures 15-22'!D274</f>
        <v>1921</v>
      </c>
    </row>
    <row r="36" spans="1:7" ht="12" customHeight="1" x14ac:dyDescent="0.2">
      <c r="A36" s="824" t="s">
        <v>400</v>
      </c>
      <c r="B36" s="827"/>
      <c r="C36" s="823">
        <v>2640</v>
      </c>
      <c r="D36" s="1807">
        <f>'Expenditures 15-22'!K70-SUM('Expenditures 15-22'!G70,'Expenditures 15-22'!I70)+'Expenditures 15-22'!D275-E13</f>
        <v>4000</v>
      </c>
      <c r="E36" s="1807">
        <f>E13</f>
        <v>0</v>
      </c>
      <c r="F36" s="1807">
        <f>'Expenditures 15-22'!K70-SUM('Expenditures 15-22'!G70,'Expenditures 15-22'!I70)+'Expenditures 15-22'!D275-E13</f>
        <v>4000</v>
      </c>
      <c r="G36" s="1807">
        <f>E13</f>
        <v>0</v>
      </c>
    </row>
    <row r="37" spans="1:7" ht="12" customHeight="1" x14ac:dyDescent="0.2">
      <c r="A37" s="824" t="s">
        <v>401</v>
      </c>
      <c r="B37" s="827"/>
      <c r="C37" s="823">
        <v>2660</v>
      </c>
      <c r="D37" s="1807">
        <f>'Expenditures 15-22'!K71-SUM('Expenditures 15-22'!G71,'Expenditures 15-22'!I71)+'Expenditures 15-22'!D276-E14</f>
        <v>102517</v>
      </c>
      <c r="E37" s="1807">
        <f>E14</f>
        <v>0</v>
      </c>
      <c r="F37" s="1807">
        <f>'Expenditures 15-22'!K71-SUM('Expenditures 15-22'!G71,'Expenditures 15-22'!I71)+'Expenditures 15-22'!D276-E14</f>
        <v>102517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-33748</v>
      </c>
      <c r="F40" s="1805"/>
      <c r="G40" s="1809">
        <f>-'Contracts Paid in CY 29'!F142</f>
        <v>-33748</v>
      </c>
    </row>
    <row r="41" spans="1:7" ht="12" customHeight="1" x14ac:dyDescent="0.2">
      <c r="A41" s="828" t="s">
        <v>155</v>
      </c>
      <c r="B41" s="829"/>
      <c r="C41" s="830"/>
      <c r="D41" s="1809">
        <f>SUM(D19:D39)</f>
        <v>480843</v>
      </c>
      <c r="E41" s="1809">
        <f>SUM(E19:E40)</f>
        <v>13270178</v>
      </c>
      <c r="F41" s="1809">
        <f>SUM(F19:F39)</f>
        <v>2045257</v>
      </c>
      <c r="G41" s="1809">
        <f>SUM(G19:G40)</f>
        <v>11705764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480843</v>
      </c>
      <c r="F43" s="1458" t="s">
        <v>470</v>
      </c>
      <c r="G43" s="1810">
        <f>F41</f>
        <v>2045257</v>
      </c>
    </row>
    <row r="44" spans="1:7" ht="12" customHeight="1" x14ac:dyDescent="0.2">
      <c r="A44" s="817"/>
      <c r="B44" s="157"/>
      <c r="C44" s="831"/>
      <c r="D44" s="1458" t="s">
        <v>471</v>
      </c>
      <c r="E44" s="1810">
        <f>E41</f>
        <v>13270178</v>
      </c>
      <c r="F44" s="1458" t="s">
        <v>471</v>
      </c>
      <c r="G44" s="1810">
        <f>G41</f>
        <v>11705764</v>
      </c>
    </row>
    <row r="45" spans="1:7" ht="12" customHeight="1" x14ac:dyDescent="0.2">
      <c r="A45" s="817"/>
      <c r="B45" s="157"/>
      <c r="C45" s="157"/>
      <c r="D45" s="1459" t="s">
        <v>999</v>
      </c>
      <c r="E45" s="1811">
        <f>(E43/E44)</f>
        <v>3.6234856834625732E-2</v>
      </c>
      <c r="F45" s="1459" t="s">
        <v>999</v>
      </c>
      <c r="G45" s="1811">
        <f>(G43/G44)</f>
        <v>0.17472221377434227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A40" sqref="A40:H4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Belleville Area Special Services Cooperative</v>
      </c>
      <c r="D6" s="2416"/>
      <c r="E6" s="2416"/>
      <c r="F6" s="1482"/>
      <c r="G6" s="1507"/>
      <c r="L6" s="1507"/>
      <c r="M6" s="1855"/>
      <c r="N6" s="1855"/>
      <c r="O6" s="1855"/>
    </row>
    <row r="7" spans="1:15" ht="11.25" customHeight="1" thickBot="1" x14ac:dyDescent="0.3">
      <c r="A7" s="1480"/>
      <c r="B7" s="1481"/>
      <c r="C7" s="2417" t="str">
        <f>COVER!A13</f>
        <v>50-082-8010-60</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2110</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I13" sqref="I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Belleville Area Special Services Cooperative</v>
      </c>
      <c r="K6" s="2438"/>
      <c r="L6" s="2452"/>
      <c r="M6" s="838"/>
      <c r="N6" s="1998"/>
    </row>
    <row r="7" spans="1:14" x14ac:dyDescent="0.2">
      <c r="A7" s="2453" t="s">
        <v>864</v>
      </c>
      <c r="B7" s="2454"/>
      <c r="C7" s="2454"/>
      <c r="D7" s="2454"/>
      <c r="E7" s="2455"/>
      <c r="F7" s="839"/>
      <c r="G7" s="838"/>
      <c r="H7" s="838"/>
      <c r="I7" s="1924" t="s">
        <v>369</v>
      </c>
      <c r="J7" s="2440" t="str">
        <f>COVER!A13</f>
        <v>50-082-8010-60</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376583</v>
      </c>
      <c r="F13" s="1942"/>
      <c r="G13" s="1968">
        <f>H68</f>
        <v>0</v>
      </c>
      <c r="H13" s="1944">
        <f t="shared" si="0"/>
        <v>376583</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199091</v>
      </c>
      <c r="F15" s="1944">
        <f>'Expenditures 15-22'!K122</f>
        <v>0</v>
      </c>
      <c r="G15" s="1968">
        <f>J68</f>
        <v>0</v>
      </c>
      <c r="H15" s="1944">
        <f t="shared" si="0"/>
        <v>199091</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575674</v>
      </c>
      <c r="F19" s="1950">
        <f t="shared" si="2"/>
        <v>0</v>
      </c>
      <c r="G19" s="1950">
        <f t="shared" ref="G19" si="3">SUM(G12:G17)-G18</f>
        <v>0</v>
      </c>
      <c r="H19" s="1950">
        <f t="shared" si="2"/>
        <v>575674</v>
      </c>
      <c r="I19" s="1950">
        <f t="shared" si="2"/>
        <v>0</v>
      </c>
      <c r="J19" s="1950">
        <f t="shared" si="2"/>
        <v>0</v>
      </c>
      <c r="K19" s="1950">
        <f t="shared" si="2"/>
        <v>0</v>
      </c>
      <c r="L19" s="1950">
        <f t="shared" si="2"/>
        <v>0</v>
      </c>
      <c r="M19" s="838"/>
      <c r="N19" s="1998"/>
    </row>
    <row r="20" spans="1:14" ht="13.5" thickTop="1" x14ac:dyDescent="0.2">
      <c r="A20" s="2003">
        <v>9</v>
      </c>
      <c r="B20" s="2462" t="s">
        <v>2021</v>
      </c>
      <c r="C20" s="2462"/>
      <c r="D20" s="246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Belleville Area Special Services Cooperative</v>
      </c>
      <c r="M52" s="2438"/>
      <c r="N52" s="2439"/>
    </row>
    <row r="53" spans="1:14" x14ac:dyDescent="0.2">
      <c r="A53" s="1982"/>
      <c r="B53" s="1983"/>
      <c r="C53" s="1983"/>
      <c r="D53" s="1983"/>
      <c r="E53" s="1983"/>
      <c r="F53" s="1983"/>
      <c r="G53" s="1983"/>
      <c r="H53" s="1983"/>
      <c r="I53" s="1983"/>
      <c r="J53" s="1983"/>
      <c r="K53" s="1924" t="s">
        <v>369</v>
      </c>
      <c r="L53" s="2440" t="str">
        <f>J7</f>
        <v>50-082-8010-60</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2111</v>
      </c>
    </row>
    <row r="6" spans="1:2" x14ac:dyDescent="0.2">
      <c r="A6" s="847"/>
      <c r="B6" s="307" t="s">
        <v>2112</v>
      </c>
    </row>
    <row r="7" spans="1:2" x14ac:dyDescent="0.2">
      <c r="A7" s="847"/>
    </row>
    <row r="8" spans="1:2" x14ac:dyDescent="0.2">
      <c r="A8" s="847"/>
      <c r="B8" s="307" t="s">
        <v>2113</v>
      </c>
    </row>
    <row r="9" spans="1:2" x14ac:dyDescent="0.2">
      <c r="A9" s="848"/>
      <c r="B9" s="307" t="s">
        <v>2114</v>
      </c>
    </row>
    <row r="10" spans="1:2" x14ac:dyDescent="0.2">
      <c r="A10" s="848"/>
    </row>
    <row r="11" spans="1:2" x14ac:dyDescent="0.2">
      <c r="A11" s="848"/>
      <c r="B11" s="307" t="s">
        <v>2115</v>
      </c>
    </row>
    <row r="12" spans="1:2" x14ac:dyDescent="0.2">
      <c r="A12" s="848"/>
      <c r="B12" s="307" t="s">
        <v>2116</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Belleville Area Special Services Cooperative</v>
      </c>
    </row>
    <row r="65" spans="2:2" x14ac:dyDescent="0.2">
      <c r="B65" s="849" t="str">
        <f>COVER!A13</f>
        <v>50-082-8010-60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A40" sqref="A40:H4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0" sqref="A40:H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3" sqref="D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3</xdr:col>
                <xdr:colOff>0</xdr:colOff>
                <xdr:row>4</xdr:row>
                <xdr:rowOff>0</xdr:rowOff>
              </from>
              <to>
                <xdr:col>4</xdr:col>
                <xdr:colOff>304800</xdr:colOff>
                <xdr:row>8</xdr:row>
                <xdr:rowOff>38100</xdr:rowOff>
              </to>
            </anchor>
          </objectPr>
        </oleObject>
      </mc:Choice>
      <mc:Fallback>
        <oleObject progId="Acrobat Document" dvAspect="DVASPECT_ICON"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0" sqref="A40:H4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14706339</v>
      </c>
      <c r="C8" s="1813">
        <f>'Acct Summary 7-8'!D8</f>
        <v>0</v>
      </c>
      <c r="D8" s="1813">
        <f>'Acct Summary 7-8'!F8</f>
        <v>0</v>
      </c>
      <c r="E8" s="1813">
        <f>'Acct Summary 7-8'!I8</f>
        <v>0</v>
      </c>
      <c r="F8" s="1813">
        <f>SUM(B8:E8)</f>
        <v>14706339</v>
      </c>
    </row>
    <row r="9" spans="1:8" s="858" customFormat="1" ht="14.25" customHeight="1" thickBot="1" x14ac:dyDescent="0.25">
      <c r="A9" s="857" t="s">
        <v>1353</v>
      </c>
      <c r="B9" s="1814">
        <f>'Acct Summary 7-8'!C17</f>
        <v>14746462</v>
      </c>
      <c r="C9" s="1814">
        <f>'Acct Summary 7-8'!D17</f>
        <v>0</v>
      </c>
      <c r="D9" s="1814">
        <f>'Acct Summary 7-8'!F17</f>
        <v>0</v>
      </c>
      <c r="E9" s="1813"/>
      <c r="F9" s="1813">
        <f>SUM(B9:E9)</f>
        <v>14746462</v>
      </c>
    </row>
    <row r="10" spans="1:8" s="858" customFormat="1" ht="14.25" thickTop="1" thickBot="1" x14ac:dyDescent="0.25">
      <c r="A10" s="859" t="s">
        <v>1354</v>
      </c>
      <c r="B10" s="1815">
        <f>(B8-B9)</f>
        <v>-40123</v>
      </c>
      <c r="C10" s="1815">
        <f>(C8-C9)</f>
        <v>0</v>
      </c>
      <c r="D10" s="1815">
        <f>(D8-D9)</f>
        <v>0</v>
      </c>
      <c r="E10" s="1814">
        <f>(E8-E9)</f>
        <v>0</v>
      </c>
      <c r="F10" s="1816">
        <f>SUM(F8-F9)</f>
        <v>-40123</v>
      </c>
    </row>
    <row r="11" spans="1:8" s="858" customFormat="1" ht="14.25" thickTop="1" thickBot="1" x14ac:dyDescent="0.25">
      <c r="A11" s="860" t="s">
        <v>1903</v>
      </c>
      <c r="B11" s="1817">
        <f>'Acct Summary 7-8'!C81</f>
        <v>4929507</v>
      </c>
      <c r="C11" s="1817">
        <f>'Acct Summary 7-8'!D81</f>
        <v>0</v>
      </c>
      <c r="D11" s="1817">
        <f>'Acct Summary 7-8'!F81</f>
        <v>0</v>
      </c>
      <c r="E11" s="1817">
        <f>'Acct Summary 7-8'!I81</f>
        <v>0</v>
      </c>
      <c r="F11" s="1818">
        <f>SUM(B11:E11)</f>
        <v>4929507</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1" colorId="8" zoomScale="110" zoomScaleNormal="110" workbookViewId="0">
      <selection activeCell="C9" sqref="C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50-082-8010-60</v>
      </c>
      <c r="E2" s="1542">
        <v>2020</v>
      </c>
      <c r="F2" s="1542">
        <v>1</v>
      </c>
      <c r="G2" s="1899">
        <v>101000300</v>
      </c>
    </row>
    <row r="3" spans="1:7" ht="15" x14ac:dyDescent="0.25">
      <c r="A3" t="s">
        <v>950</v>
      </c>
      <c r="B3" s="135" t="str">
        <f>COVER!A15</f>
        <v>St. Clair</v>
      </c>
      <c r="E3" s="1830" t="s">
        <v>1971</v>
      </c>
      <c r="F3" s="1830" t="s">
        <v>1970</v>
      </c>
      <c r="G3" s="1899">
        <v>101000400</v>
      </c>
    </row>
    <row r="4" spans="1:7" ht="15" x14ac:dyDescent="0.25">
      <c r="A4" t="s">
        <v>1000</v>
      </c>
      <c r="B4" s="135" t="str">
        <f>COVER!A17</f>
        <v>Belleville Area Special Services Cooperative</v>
      </c>
      <c r="E4" s="1828">
        <v>44119</v>
      </c>
      <c r="F4" s="1829">
        <v>44151</v>
      </c>
      <c r="G4" s="1899">
        <v>101000600</v>
      </c>
    </row>
    <row r="5" spans="1:7" ht="15" x14ac:dyDescent="0.25">
      <c r="A5" t="s">
        <v>699</v>
      </c>
      <c r="B5" s="135" t="str">
        <f>COVER!A38</f>
        <v>Stephen Kozuszek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065-026956</v>
      </c>
      <c r="G15" s="1899">
        <v>402100400</v>
      </c>
    </row>
    <row r="16" spans="1:7" ht="15" x14ac:dyDescent="0.25">
      <c r="A16" t="s">
        <v>419</v>
      </c>
      <c r="B16" s="135" t="str">
        <f>COVER!T13</f>
        <v>Scheffel Boyle</v>
      </c>
      <c r="G16" s="1899">
        <v>402100600</v>
      </c>
    </row>
    <row r="17" spans="1:7" ht="15" x14ac:dyDescent="0.25">
      <c r="A17" t="s">
        <v>878</v>
      </c>
      <c r="B17" s="135" t="str">
        <f>COVER!T15</f>
        <v>Dale Holtmann</v>
      </c>
      <c r="G17" s="1899">
        <v>402100800</v>
      </c>
    </row>
    <row r="18" spans="1:7" ht="15" x14ac:dyDescent="0.25">
      <c r="A18" t="s">
        <v>1140</v>
      </c>
      <c r="B18" s="135" t="str">
        <f>COVER!T17</f>
        <v>222 East Main Street</v>
      </c>
      <c r="G18" s="1899">
        <v>102200300</v>
      </c>
    </row>
    <row r="19" spans="1:7" ht="15" x14ac:dyDescent="0.25">
      <c r="A19" t="s">
        <v>880</v>
      </c>
      <c r="B19" s="135" t="str">
        <f>COVER!T25</f>
        <v>dale.holtmann@scheffelboyle.com</v>
      </c>
      <c r="G19" s="1899">
        <v>102200400</v>
      </c>
    </row>
    <row r="20" spans="1:7" ht="15" x14ac:dyDescent="0.25">
      <c r="A20" t="s">
        <v>881</v>
      </c>
      <c r="B20" s="135" t="str">
        <f>COVER!T19</f>
        <v>Belleville</v>
      </c>
      <c r="G20" s="1899">
        <v>102200600</v>
      </c>
    </row>
    <row r="21" spans="1:7" ht="15" x14ac:dyDescent="0.25">
      <c r="A21" t="s">
        <v>476</v>
      </c>
      <c r="B21" s="135" t="str">
        <f>COVER!X19</f>
        <v>IL</v>
      </c>
      <c r="G21" s="1899">
        <v>102200800</v>
      </c>
    </row>
    <row r="22" spans="1:7" ht="15" x14ac:dyDescent="0.25">
      <c r="A22" t="s">
        <v>882</v>
      </c>
      <c r="B22" s="135">
        <f>COVER!Z19</f>
        <v>62220</v>
      </c>
      <c r="G22" s="1899">
        <v>102300300</v>
      </c>
    </row>
    <row r="23" spans="1:7" ht="15" x14ac:dyDescent="0.25">
      <c r="A23" t="s">
        <v>1142</v>
      </c>
      <c r="B23" s="135" t="str">
        <f>COVER!T21</f>
        <v>618-277-8100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8710059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660526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3780552</v>
      </c>
      <c r="C91" s="2" t="s">
        <v>569</v>
      </c>
      <c r="D91" s="2" t="str">
        <f t="shared" si="0"/>
        <v>Error?</v>
      </c>
      <c r="G91" s="1899">
        <v>102640400</v>
      </c>
    </row>
    <row r="92" spans="1:7" ht="15" x14ac:dyDescent="0.25">
      <c r="A92" s="5">
        <v>31</v>
      </c>
      <c r="B92" s="1832">
        <f>'Assets-Liab 5-6'!C39</f>
        <v>972462</v>
      </c>
      <c r="D92" s="2" t="str">
        <f t="shared" si="0"/>
        <v>Error?</v>
      </c>
      <c r="G92" s="1899">
        <v>102640600</v>
      </c>
    </row>
    <row r="93" spans="1:7" ht="15" x14ac:dyDescent="0.25">
      <c r="A93" s="5">
        <v>32</v>
      </c>
      <c r="B93" s="1832">
        <f>'Assets-Liab 5-6'!C41</f>
        <v>8710059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53493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53493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806287</v>
      </c>
      <c r="D273" s="2" t="str">
        <f t="shared" si="3"/>
        <v>Error?</v>
      </c>
    </row>
    <row r="274" spans="1:4" x14ac:dyDescent="0.2">
      <c r="A274" s="5">
        <v>213</v>
      </c>
      <c r="B274" s="1832">
        <f>'Assets-Liab 5-6'!M17</f>
        <v>5195416</v>
      </c>
      <c r="D274" s="2" t="str">
        <f t="shared" si="3"/>
        <v>Error?</v>
      </c>
    </row>
    <row r="275" spans="1:4" x14ac:dyDescent="0.2">
      <c r="A275" s="5">
        <v>214</v>
      </c>
      <c r="B275" s="1832">
        <f>'Assets-Liab 5-6'!M18</f>
        <v>0</v>
      </c>
      <c r="D275" s="2" t="str">
        <f t="shared" si="3"/>
        <v>Error?</v>
      </c>
    </row>
    <row r="276" spans="1:4" x14ac:dyDescent="0.2">
      <c r="A276" s="5">
        <v>215</v>
      </c>
      <c r="B276" s="1832">
        <f>'Assets-Liab 5-6'!M19</f>
        <v>17052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6018755</v>
      </c>
      <c r="C279" s="2" t="s">
        <v>569</v>
      </c>
      <c r="D279" s="2" t="str">
        <f t="shared" si="3"/>
        <v>Error?</v>
      </c>
    </row>
    <row r="280" spans="1:4" x14ac:dyDescent="0.2">
      <c r="A280" s="5">
        <v>219</v>
      </c>
      <c r="B280" s="1832">
        <f>'Assets-Liab 5-6'!M40</f>
        <v>6018755</v>
      </c>
      <c r="D280" s="2" t="str">
        <f t="shared" si="3"/>
        <v>Error?</v>
      </c>
    </row>
    <row r="281" spans="1:4" x14ac:dyDescent="0.2">
      <c r="A281" s="5">
        <v>220</v>
      </c>
      <c r="B281" s="1832">
        <f>'Assets-Liab 5-6'!M41</f>
        <v>6018755</v>
      </c>
      <c r="C281" s="2" t="s">
        <v>569</v>
      </c>
      <c r="D281" s="2" t="str">
        <f t="shared" si="3"/>
        <v>Error?</v>
      </c>
    </row>
    <row r="282" spans="1:4" x14ac:dyDescent="0.2">
      <c r="A282" s="5">
        <v>221</v>
      </c>
      <c r="B282" s="1832">
        <f>'Assets-Liab 5-6'!N21</f>
        <v>53493</v>
      </c>
      <c r="D282" s="2" t="str">
        <f t="shared" si="3"/>
        <v>Error?</v>
      </c>
    </row>
    <row r="283" spans="1:4" x14ac:dyDescent="0.2">
      <c r="A283" s="5">
        <v>222</v>
      </c>
      <c r="B283" s="1832">
        <f>'Assets-Liab 5-6'!N22</f>
        <v>606507</v>
      </c>
      <c r="D283" s="2" t="str">
        <f t="shared" si="3"/>
        <v>Error?</v>
      </c>
    </row>
    <row r="284" spans="1:4" x14ac:dyDescent="0.2">
      <c r="A284" s="5">
        <v>223</v>
      </c>
      <c r="B284" s="1832">
        <f>'Assets-Liab 5-6'!N23</f>
        <v>660000</v>
      </c>
      <c r="C284" s="2" t="s">
        <v>569</v>
      </c>
      <c r="D284" s="2" t="str">
        <f t="shared" si="3"/>
        <v>Error?</v>
      </c>
    </row>
    <row r="285" spans="1:4" x14ac:dyDescent="0.2">
      <c r="A285" s="5">
        <v>224</v>
      </c>
      <c r="B285" s="1832">
        <f>'Assets-Liab 5-6'!N36</f>
        <v>660000</v>
      </c>
      <c r="D285" s="2" t="str">
        <f t="shared" si="3"/>
        <v>Error?</v>
      </c>
    </row>
    <row r="286" spans="1:4" x14ac:dyDescent="0.2">
      <c r="A286" s="10">
        <v>225</v>
      </c>
      <c r="B286" s="1832"/>
      <c r="D286" s="2" t="str">
        <f t="shared" si="3"/>
        <v>OK</v>
      </c>
    </row>
    <row r="287" spans="1:4" x14ac:dyDescent="0.2">
      <c r="A287" s="5">
        <v>226</v>
      </c>
      <c r="B287" s="1832">
        <f>'Assets-Liab 5-6'!N37</f>
        <v>660000</v>
      </c>
      <c r="C287" s="2" t="s">
        <v>569</v>
      </c>
      <c r="D287" s="2" t="str">
        <f t="shared" si="3"/>
        <v>Error?</v>
      </c>
    </row>
    <row r="288" spans="1:4" x14ac:dyDescent="0.2">
      <c r="A288" s="5">
        <v>227</v>
      </c>
      <c r="B288" s="1832">
        <f>'Assets-Liab 5-6'!N41</f>
        <v>660000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857</v>
      </c>
      <c r="D719" s="2" t="str">
        <f t="shared" si="10"/>
        <v>Error?</v>
      </c>
    </row>
    <row r="720" spans="1:4" x14ac:dyDescent="0.2">
      <c r="A720" s="5">
        <v>659</v>
      </c>
      <c r="B720" s="1832">
        <f>'Expenditures 15-22'!C33</f>
        <v>4710957</v>
      </c>
      <c r="C720" s="2" t="s">
        <v>569</v>
      </c>
      <c r="D720" s="2" t="str">
        <f t="shared" si="10"/>
        <v>Error?</v>
      </c>
    </row>
    <row r="721" spans="1:4" x14ac:dyDescent="0.2">
      <c r="A721" s="5">
        <v>660</v>
      </c>
      <c r="B721" s="1832">
        <f>'Expenditures 15-22'!C36</f>
        <v>257078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460659</v>
      </c>
      <c r="D723" s="2" t="str">
        <f t="shared" si="10"/>
        <v>Error?</v>
      </c>
    </row>
    <row r="724" spans="1:4" x14ac:dyDescent="0.2">
      <c r="A724" s="5">
        <v>663</v>
      </c>
      <c r="B724" s="1832">
        <f>'Expenditures 15-22'!C39</f>
        <v>918401</v>
      </c>
      <c r="D724" s="2" t="str">
        <f t="shared" si="10"/>
        <v>Error?</v>
      </c>
    </row>
    <row r="725" spans="1:4" x14ac:dyDescent="0.2">
      <c r="A725" s="5">
        <v>664</v>
      </c>
      <c r="B725" s="1832">
        <f>'Expenditures 15-22'!C40</f>
        <v>428824</v>
      </c>
      <c r="D725" s="2" t="str">
        <f t="shared" si="10"/>
        <v>Error?</v>
      </c>
    </row>
    <row r="726" spans="1:4" x14ac:dyDescent="0.2">
      <c r="A726" s="5">
        <v>665</v>
      </c>
      <c r="B726" s="1832">
        <f>'Expenditures 15-22'!C41</f>
        <v>116672</v>
      </c>
      <c r="D726" s="2" t="str">
        <f t="shared" si="10"/>
        <v>Error?</v>
      </c>
    </row>
    <row r="727" spans="1:4" x14ac:dyDescent="0.2">
      <c r="A727" s="5">
        <v>666</v>
      </c>
      <c r="B727" s="1832">
        <f>'Expenditures 15-22'!C42</f>
        <v>2181634</v>
      </c>
      <c r="C727" s="2" t="s">
        <v>569</v>
      </c>
      <c r="D727" s="2" t="str">
        <f t="shared" si="10"/>
        <v>Error?</v>
      </c>
    </row>
    <row r="728" spans="1:4" x14ac:dyDescent="0.2">
      <c r="A728" s="5">
        <v>667</v>
      </c>
      <c r="B728" s="1832">
        <f>'Expenditures 15-22'!C44</f>
        <v>385213</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385213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187788</v>
      </c>
      <c r="C734" s="2" t="s">
        <v>569</v>
      </c>
      <c r="D734" s="2" t="str">
        <f t="shared" si="10"/>
        <v>Error?</v>
      </c>
    </row>
    <row r="735" spans="1:4" x14ac:dyDescent="0.2">
      <c r="A735" s="5">
        <v>674</v>
      </c>
      <c r="B735" s="1832">
        <f>'Expenditures 15-22'!C55</f>
        <v>179221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179221</v>
      </c>
      <c r="C737" s="2" t="s">
        <v>569</v>
      </c>
      <c r="D737" s="2" t="str">
        <f t="shared" si="10"/>
        <v>Error?</v>
      </c>
    </row>
    <row r="738" spans="1:4" x14ac:dyDescent="0.2">
      <c r="A738" s="5">
        <v>677</v>
      </c>
      <c r="B738" s="1832">
        <f>'Expenditures 15-22'!C59</f>
        <v>91004</v>
      </c>
      <c r="D738" s="2" t="str">
        <f t="shared" si="10"/>
        <v>Error?</v>
      </c>
    </row>
    <row r="739" spans="1:4" x14ac:dyDescent="0.2">
      <c r="A739" s="5">
        <v>678</v>
      </c>
      <c r="B739" s="1832">
        <f>'Expenditures 15-22'!C60</f>
        <v>121206</v>
      </c>
      <c r="D739" s="2" t="str">
        <f t="shared" si="10"/>
        <v>Error?</v>
      </c>
    </row>
    <row r="740" spans="1:4" x14ac:dyDescent="0.2">
      <c r="A740" s="5">
        <v>679</v>
      </c>
      <c r="B740" s="1832">
        <f>'Expenditures 15-22'!C61</f>
        <v>179086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23392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414688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3348544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8059501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111</v>
      </c>
      <c r="D777" s="2" t="str">
        <f t="shared" si="11"/>
        <v>Error?</v>
      </c>
    </row>
    <row r="778" spans="1:4" x14ac:dyDescent="0.2">
      <c r="A778" s="5">
        <v>717</v>
      </c>
      <c r="B778" s="1832">
        <f>'Expenditures 15-22'!D33</f>
        <v>2356598</v>
      </c>
      <c r="C778" s="2" t="s">
        <v>569</v>
      </c>
      <c r="D778" s="2" t="str">
        <f t="shared" si="11"/>
        <v>Error?</v>
      </c>
    </row>
    <row r="779" spans="1:4" x14ac:dyDescent="0.2">
      <c r="A779" s="5">
        <v>718</v>
      </c>
      <c r="B779" s="1832">
        <f>'Expenditures 15-22'!D36</f>
        <v>77367</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194401</v>
      </c>
      <c r="D781" s="2" t="str">
        <f t="shared" si="11"/>
        <v>Error?</v>
      </c>
    </row>
    <row r="782" spans="1:4" x14ac:dyDescent="0.2">
      <c r="A782" s="5">
        <v>721</v>
      </c>
      <c r="B782" s="1832">
        <f>'Expenditures 15-22'!D39</f>
        <v>274396</v>
      </c>
      <c r="D782" s="2" t="str">
        <f t="shared" si="11"/>
        <v>Error?</v>
      </c>
    </row>
    <row r="783" spans="1:4" x14ac:dyDescent="0.2">
      <c r="A783" s="5">
        <v>722</v>
      </c>
      <c r="B783" s="1832">
        <f>'Expenditures 15-22'!D40</f>
        <v>144824</v>
      </c>
      <c r="D783" s="2" t="str">
        <f t="shared" si="11"/>
        <v>Error?</v>
      </c>
    </row>
    <row r="784" spans="1:4" x14ac:dyDescent="0.2">
      <c r="A784" s="5">
        <v>723</v>
      </c>
      <c r="B784" s="1832">
        <f>'Expenditures 15-22'!D41</f>
        <v>43991</v>
      </c>
      <c r="D784" s="2" t="str">
        <f t="shared" si="11"/>
        <v>Error?</v>
      </c>
    </row>
    <row r="785" spans="1:4" x14ac:dyDescent="0.2">
      <c r="A785" s="5">
        <v>724</v>
      </c>
      <c r="B785" s="1832">
        <f>'Expenditures 15-22'!D42</f>
        <v>734979</v>
      </c>
      <c r="C785" s="2" t="s">
        <v>569</v>
      </c>
      <c r="D785" s="2" t="str">
        <f t="shared" si="11"/>
        <v>Error?</v>
      </c>
    </row>
    <row r="786" spans="1:4" x14ac:dyDescent="0.2">
      <c r="A786" s="5">
        <v>725</v>
      </c>
      <c r="B786" s="1832">
        <f>'Expenditures 15-22'!D44</f>
        <v>136120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136120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58124</v>
      </c>
      <c r="C792" s="2" t="s">
        <v>569</v>
      </c>
      <c r="D792" s="2" t="str">
        <f t="shared" si="11"/>
        <v>Error?</v>
      </c>
    </row>
    <row r="793" spans="1:4" x14ac:dyDescent="0.2">
      <c r="A793" s="5">
        <v>732</v>
      </c>
      <c r="B793" s="1832">
        <f>'Expenditures 15-22'!D55</f>
        <v>72381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72381</v>
      </c>
      <c r="C795" s="2" t="s">
        <v>569</v>
      </c>
      <c r="D795" s="2" t="str">
        <f t="shared" si="11"/>
        <v>Error?</v>
      </c>
    </row>
    <row r="796" spans="1:4" x14ac:dyDescent="0.2">
      <c r="A796" s="5">
        <v>735</v>
      </c>
      <c r="B796" s="1832">
        <f>'Expenditures 15-22'!D59</f>
        <v>27856</v>
      </c>
      <c r="D796" s="2" t="str">
        <f t="shared" si="11"/>
        <v>Error?</v>
      </c>
    </row>
    <row r="797" spans="1:4" x14ac:dyDescent="0.2">
      <c r="A797" s="5">
        <v>736</v>
      </c>
      <c r="B797" s="1832">
        <f>'Expenditures 15-22'!D60</f>
        <v>53597</v>
      </c>
      <c r="D797" s="2" t="str">
        <f t="shared" si="11"/>
        <v>Error?</v>
      </c>
    </row>
    <row r="798" spans="1:4" x14ac:dyDescent="0.2">
      <c r="A798" s="5">
        <v>737</v>
      </c>
      <c r="B798" s="1832">
        <f>'Expenditures 15-22'!D61</f>
        <v>83089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11081</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175623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1177227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3533825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129627</v>
      </c>
      <c r="C836" s="2" t="s">
        <v>569</v>
      </c>
      <c r="D836" s="2" t="str">
        <f t="shared" si="12"/>
        <v>Error?</v>
      </c>
    </row>
    <row r="837" spans="1:4" x14ac:dyDescent="0.2">
      <c r="A837" s="5">
        <v>776</v>
      </c>
      <c r="B837" s="1832">
        <f>'Expenditures 15-22'!E36</f>
        <v>2034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33978</v>
      </c>
      <c r="D839" s="2" t="str">
        <f t="shared" si="12"/>
        <v>Error?</v>
      </c>
    </row>
    <row r="840" spans="1:4" x14ac:dyDescent="0.2">
      <c r="A840" s="5">
        <v>779</v>
      </c>
      <c r="B840" s="1832">
        <f>'Expenditures 15-22'!E39</f>
        <v>8399</v>
      </c>
      <c r="D840" s="2" t="str">
        <f t="shared" si="12"/>
        <v>Error?</v>
      </c>
    </row>
    <row r="841" spans="1:4" x14ac:dyDescent="0.2">
      <c r="A841" s="5">
        <v>780</v>
      </c>
      <c r="B841" s="1832">
        <f>'Expenditures 15-22'!E40</f>
        <v>7012</v>
      </c>
      <c r="D841" s="2" t="str">
        <f t="shared" si="12"/>
        <v>Error?</v>
      </c>
    </row>
    <row r="842" spans="1:4" x14ac:dyDescent="0.2">
      <c r="A842" s="5">
        <v>781</v>
      </c>
      <c r="B842" s="1832">
        <f>'Expenditures 15-22'!E41</f>
        <v>1652</v>
      </c>
      <c r="D842" s="2" t="str">
        <f t="shared" si="12"/>
        <v>Error?</v>
      </c>
    </row>
    <row r="843" spans="1:4" x14ac:dyDescent="0.2">
      <c r="A843" s="5">
        <v>782</v>
      </c>
      <c r="B843" s="1832">
        <f>'Expenditures 15-22'!E42</f>
        <v>53075</v>
      </c>
      <c r="C843" s="2" t="s">
        <v>569</v>
      </c>
      <c r="D843" s="2" t="str">
        <f t="shared" si="12"/>
        <v>Error?</v>
      </c>
    </row>
    <row r="844" spans="1:4" x14ac:dyDescent="0.2">
      <c r="A844" s="5">
        <v>783</v>
      </c>
      <c r="B844" s="1832">
        <f>'Expenditures 15-22'!E44</f>
        <v>47540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47540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302195</v>
      </c>
      <c r="C850" s="2" t="s">
        <v>569</v>
      </c>
      <c r="D850" s="2" t="str">
        <f t="shared" si="12"/>
        <v>Error?</v>
      </c>
    </row>
    <row r="851" spans="1:4" x14ac:dyDescent="0.2">
      <c r="A851" s="5">
        <v>790</v>
      </c>
      <c r="B851" s="1832">
        <f>'Expenditures 15-22'!E55</f>
        <v>1017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1017</v>
      </c>
      <c r="C853" s="2" t="s">
        <v>569</v>
      </c>
      <c r="D853" s="2" t="str">
        <f t="shared" si="12"/>
        <v>Error?</v>
      </c>
    </row>
    <row r="854" spans="1:4" x14ac:dyDescent="0.2">
      <c r="A854" s="5">
        <v>793</v>
      </c>
      <c r="B854" s="1832">
        <f>'Expenditures 15-22'!E59</f>
        <v>78118</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1209587</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1287705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1921</v>
      </c>
      <c r="D864" s="2" t="str">
        <f t="shared" si="12"/>
        <v>Error?</v>
      </c>
    </row>
    <row r="865" spans="1:4" x14ac:dyDescent="0.2">
      <c r="A865" s="5">
        <v>804</v>
      </c>
      <c r="B865" s="1832">
        <f>'Expenditures 15-22'!E70</f>
        <v>4000</v>
      </c>
      <c r="D865" s="2" t="str">
        <f t="shared" si="12"/>
        <v>Error?</v>
      </c>
    </row>
    <row r="866" spans="1:4" x14ac:dyDescent="0.2">
      <c r="A866" s="10">
        <v>805</v>
      </c>
      <c r="B866" s="1832"/>
      <c r="D866" s="2" t="str">
        <f t="shared" si="12"/>
        <v>OK</v>
      </c>
    </row>
    <row r="867" spans="1:4" x14ac:dyDescent="0.2">
      <c r="A867" s="5">
        <v>806</v>
      </c>
      <c r="B867" s="1832">
        <f>'Expenditures 15-22'!E71</f>
        <v>101551</v>
      </c>
      <c r="D867" s="2" t="str">
        <f t="shared" si="12"/>
        <v>Error?</v>
      </c>
    </row>
    <row r="868" spans="1:4" x14ac:dyDescent="0.2">
      <c r="A868" s="10">
        <v>807</v>
      </c>
      <c r="B868" s="1832"/>
      <c r="D868" s="2" t="str">
        <f t="shared" si="12"/>
        <v>OK</v>
      </c>
    </row>
    <row r="869" spans="1:4" x14ac:dyDescent="0.2">
      <c r="A869" s="5">
        <v>808</v>
      </c>
      <c r="B869" s="1832">
        <f>'Expenditures 15-22'!E72</f>
        <v>107472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1799004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1990103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84724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7226</v>
      </c>
      <c r="D897" s="2" t="str">
        <f t="shared" si="13"/>
        <v>Error?</v>
      </c>
    </row>
    <row r="898" spans="1:4" x14ac:dyDescent="0.2">
      <c r="A898" s="5">
        <v>837</v>
      </c>
      <c r="B898" s="1832">
        <f>'Expenditures 15-22'!F39</f>
        <v>22915</v>
      </c>
      <c r="D898" s="2" t="str">
        <f t="shared" si="13"/>
        <v>Error?</v>
      </c>
    </row>
    <row r="899" spans="1:4" x14ac:dyDescent="0.2">
      <c r="A899" s="5">
        <v>838</v>
      </c>
      <c r="B899" s="1832">
        <f>'Expenditures 15-22'!F40</f>
        <v>7398</v>
      </c>
      <c r="D899" s="2" t="str">
        <f t="shared" si="13"/>
        <v>Error?</v>
      </c>
    </row>
    <row r="900" spans="1:4" x14ac:dyDescent="0.2">
      <c r="A900" s="5">
        <v>839</v>
      </c>
      <c r="B900" s="1832">
        <f>'Expenditures 15-22'!F41</f>
        <v>267</v>
      </c>
      <c r="D900" s="2" t="str">
        <f t="shared" si="13"/>
        <v>Error?</v>
      </c>
    </row>
    <row r="901" spans="1:4" x14ac:dyDescent="0.2">
      <c r="A901" s="5">
        <v>840</v>
      </c>
      <c r="B901" s="1832">
        <f>'Expenditures 15-22'!F42</f>
        <v>37806</v>
      </c>
      <c r="C901" s="2" t="s">
        <v>569</v>
      </c>
      <c r="D901" s="2" t="str">
        <f t="shared" si="13"/>
        <v>Error?</v>
      </c>
    </row>
    <row r="902" spans="1:4" x14ac:dyDescent="0.2">
      <c r="A902" s="5">
        <v>841</v>
      </c>
      <c r="B902" s="1832">
        <f>'Expenditures 15-22'!F44</f>
        <v>17959</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17959</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19940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2113</v>
      </c>
      <c r="D912" s="2" t="str">
        <f t="shared" si="13"/>
        <v>Error?</v>
      </c>
    </row>
    <row r="913" spans="1:4" x14ac:dyDescent="0.2">
      <c r="A913" s="5">
        <v>852</v>
      </c>
      <c r="B913" s="1832">
        <f>'Expenditures 15-22'!F60</f>
        <v>432</v>
      </c>
      <c r="D913" s="2" t="str">
        <f t="shared" si="13"/>
        <v>Error?</v>
      </c>
    </row>
    <row r="914" spans="1:4" x14ac:dyDescent="0.2">
      <c r="A914" s="5">
        <v>853</v>
      </c>
      <c r="B914" s="1832">
        <f>'Expenditures 15-22'!F61</f>
        <v>92652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2784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97981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966</v>
      </c>
      <c r="D925" s="2" t="str">
        <f t="shared" si="13"/>
        <v>Error?</v>
      </c>
    </row>
    <row r="926" spans="1:4" x14ac:dyDescent="0.2">
      <c r="A926" s="10">
        <v>865</v>
      </c>
      <c r="B926" s="1832"/>
      <c r="D926" s="2" t="str">
        <f t="shared" si="13"/>
        <v>OK</v>
      </c>
    </row>
    <row r="927" spans="1:4" x14ac:dyDescent="0.2">
      <c r="A927" s="5">
        <v>866</v>
      </c>
      <c r="B927" s="1832">
        <f>'Expenditures 15-22'!F72</f>
        <v>966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174652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259376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17809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17809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17809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17809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6220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6220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745818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752038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968</v>
      </c>
      <c r="C1107" s="2" t="s">
        <v>569</v>
      </c>
      <c r="D1107" s="2" t="str">
        <f t="shared" si="16"/>
        <v>Error?</v>
      </c>
    </row>
    <row r="1108" spans="1:4" x14ac:dyDescent="0.2">
      <c r="A1108" s="5">
        <v>1047</v>
      </c>
      <c r="B1108" s="1832">
        <f>'Expenditures 15-22'!K33</f>
        <v>7293334</v>
      </c>
      <c r="C1108" s="2" t="s">
        <v>569</v>
      </c>
      <c r="D1108" s="2" t="str">
        <f t="shared" si="16"/>
        <v>Error?</v>
      </c>
    </row>
    <row r="1109" spans="1:4" x14ac:dyDescent="0.2">
      <c r="A1109" s="5">
        <v>1048</v>
      </c>
      <c r="B1109" s="1832">
        <f>'Expenditures 15-22'!K36</f>
        <v>336479</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707303</v>
      </c>
      <c r="C1111" s="2" t="s">
        <v>569</v>
      </c>
      <c r="D1111" s="2" t="str">
        <f t="shared" si="16"/>
        <v>Error?</v>
      </c>
    </row>
    <row r="1112" spans="1:4" x14ac:dyDescent="0.2">
      <c r="A1112" s="5">
        <v>1051</v>
      </c>
      <c r="B1112" s="1832">
        <f>'Expenditures 15-22'!K39</f>
        <v>1224111</v>
      </c>
      <c r="C1112" s="2" t="s">
        <v>569</v>
      </c>
      <c r="D1112" s="2" t="str">
        <f t="shared" si="16"/>
        <v>Error?</v>
      </c>
    </row>
    <row r="1113" spans="1:4" x14ac:dyDescent="0.2">
      <c r="A1113" s="5">
        <v>1052</v>
      </c>
      <c r="B1113" s="1832">
        <f>'Expenditures 15-22'!K40</f>
        <v>618515</v>
      </c>
      <c r="C1113" s="2" t="s">
        <v>569</v>
      </c>
      <c r="D1113" s="2" t="str">
        <f t="shared" si="16"/>
        <v>Error?</v>
      </c>
    </row>
    <row r="1114" spans="1:4" x14ac:dyDescent="0.2">
      <c r="A1114" s="5">
        <v>1053</v>
      </c>
      <c r="B1114" s="1832">
        <f>'Expenditures 15-22'!K41</f>
        <v>162582</v>
      </c>
      <c r="C1114" s="2" t="s">
        <v>569</v>
      </c>
      <c r="D1114" s="2" t="str">
        <f t="shared" si="16"/>
        <v>Error?</v>
      </c>
    </row>
    <row r="1115" spans="1:4" x14ac:dyDescent="0.2">
      <c r="A1115" s="5">
        <v>1054</v>
      </c>
      <c r="B1115" s="1832">
        <f>'Expenditures 15-22'!K42</f>
        <v>3048990</v>
      </c>
      <c r="C1115" s="2" t="s">
        <v>569</v>
      </c>
      <c r="D1115" s="2" t="str">
        <f t="shared" si="16"/>
        <v>Error?</v>
      </c>
    </row>
    <row r="1116" spans="1:4" x14ac:dyDescent="0.2">
      <c r="A1116" s="5">
        <v>1055</v>
      </c>
      <c r="B1116" s="1832">
        <f>'Expenditures 15-22'!K44</f>
        <v>590288</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590288</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574267</v>
      </c>
      <c r="C1122" s="2" t="s">
        <v>569</v>
      </c>
      <c r="D1122" s="2" t="str">
        <f t="shared" si="16"/>
        <v>Error?</v>
      </c>
    </row>
    <row r="1123" spans="1:4" x14ac:dyDescent="0.2">
      <c r="A1123" s="5">
        <v>1062</v>
      </c>
      <c r="B1123" s="1832">
        <f>'Expenditures 15-22'!K55</f>
        <v>252619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252619</v>
      </c>
      <c r="C1125" s="2" t="s">
        <v>569</v>
      </c>
      <c r="D1125" s="2" t="str">
        <f t="shared" si="16"/>
        <v>Error?</v>
      </c>
    </row>
    <row r="1126" spans="1:4" x14ac:dyDescent="0.2">
      <c r="A1126" s="5">
        <v>1065</v>
      </c>
      <c r="B1126" s="1832">
        <f>'Expenditures 15-22'!K59</f>
        <v>199091</v>
      </c>
      <c r="C1126" s="2" t="s">
        <v>569</v>
      </c>
      <c r="D1126" s="2" t="str">
        <f t="shared" si="16"/>
        <v>Error?</v>
      </c>
    </row>
    <row r="1127" spans="1:4" x14ac:dyDescent="0.2">
      <c r="A1127" s="5">
        <v>1066</v>
      </c>
      <c r="B1127" s="1832">
        <f>'Expenditures 15-22'!K60</f>
        <v>175235</v>
      </c>
      <c r="C1127" s="2" t="s">
        <v>569</v>
      </c>
      <c r="D1127" s="2" t="str">
        <f t="shared" si="16"/>
        <v>Error?</v>
      </c>
    </row>
    <row r="1128" spans="1:4" x14ac:dyDescent="0.2">
      <c r="A1128" s="5">
        <v>1067</v>
      </c>
      <c r="B1128" s="1832">
        <f>'Expenditures 15-22'!K61</f>
        <v>1597625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37257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2009208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1921</v>
      </c>
      <c r="C1136" s="2" t="s">
        <v>569</v>
      </c>
      <c r="D1136" s="2" t="str">
        <f t="shared" si="16"/>
        <v>Error?</v>
      </c>
    </row>
    <row r="1137" spans="1:4" x14ac:dyDescent="0.2">
      <c r="A1137" s="5">
        <v>1076</v>
      </c>
      <c r="B1137" s="1832">
        <f>'Expenditures 15-22'!K70</f>
        <v>4000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164545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170466</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6645838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807290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14746462</v>
      </c>
      <c r="C1152" s="2" t="s">
        <v>569</v>
      </c>
      <c r="D1152" s="2" t="str">
        <f t="shared" si="17"/>
        <v>Error?</v>
      </c>
    </row>
    <row r="1153" spans="1:4" x14ac:dyDescent="0.2">
      <c r="A1153" s="5">
        <v>1092</v>
      </c>
      <c r="B1153" s="1832">
        <f>'Expenditures 15-22'!K115</f>
        <v>-40123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27690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315000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342690</v>
      </c>
      <c r="C1317" s="2" t="s">
        <v>569</v>
      </c>
      <c r="D1317" s="2" t="str">
        <f t="shared" si="19"/>
        <v>Error?</v>
      </c>
    </row>
    <row r="1318" spans="1:4" x14ac:dyDescent="0.2">
      <c r="A1318" s="5">
        <v>1257</v>
      </c>
      <c r="B1318" s="1832">
        <f>'Expenditures 15-22'!H174</f>
        <v>342690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27690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315000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342690</v>
      </c>
      <c r="C1331" s="2" t="s">
        <v>569</v>
      </c>
      <c r="D1331" s="2" t="str">
        <f t="shared" si="19"/>
        <v>Error?</v>
      </c>
    </row>
    <row r="1332" spans="1:4" x14ac:dyDescent="0.2">
      <c r="A1332" s="5">
        <v>1271</v>
      </c>
      <c r="B1332" s="1832">
        <f>'Expenditures 15-22'!K174</f>
        <v>342690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4969630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4929507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53493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53493</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806287</v>
      </c>
      <c r="D2008" s="2" t="str">
        <f t="shared" si="30"/>
        <v>Error?</v>
      </c>
    </row>
    <row r="2009" spans="1:4" x14ac:dyDescent="0.2">
      <c r="A2009" s="5">
        <v>1948</v>
      </c>
      <c r="B2009" s="1832">
        <f>'Cap Outlay Deprec 26'!C8</f>
        <v>7866681</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1573808</v>
      </c>
      <c r="D2012" s="2" t="str">
        <f t="shared" si="30"/>
        <v>Error?</v>
      </c>
    </row>
    <row r="2013" spans="1:4" x14ac:dyDescent="0.2">
      <c r="A2013" s="5">
        <v>1952</v>
      </c>
      <c r="B2013" s="1832">
        <f>'Cap Outlay Deprec 26'!C16</f>
        <v>10246776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17809</v>
      </c>
      <c r="D2018" s="2" t="str">
        <f t="shared" si="30"/>
        <v>Error?</v>
      </c>
    </row>
    <row r="2019" spans="1:4" x14ac:dyDescent="0.2">
      <c r="A2019" s="5">
        <v>1958</v>
      </c>
      <c r="B2019" s="1832">
        <f>'Cap Outlay Deprec 26'!D16</f>
        <v>17809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806287</v>
      </c>
      <c r="C2026" s="2" t="s">
        <v>569</v>
      </c>
      <c r="D2026" s="2" t="str">
        <f t="shared" si="30"/>
        <v>Error?</v>
      </c>
    </row>
    <row r="2027" spans="1:4" x14ac:dyDescent="0.2">
      <c r="A2027" s="5">
        <v>1966</v>
      </c>
      <c r="B2027" s="1832">
        <f>'Cap Outlay Deprec 26'!F8</f>
        <v>7866681</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1591617</v>
      </c>
      <c r="C2030" s="2" t="s">
        <v>569</v>
      </c>
      <c r="D2030" s="2" t="str">
        <f t="shared" si="30"/>
        <v>Error?</v>
      </c>
    </row>
    <row r="2031" spans="1:4" x14ac:dyDescent="0.2">
      <c r="A2031" s="5">
        <v>1970</v>
      </c>
      <c r="B2031" s="1832">
        <f>'Cap Outlay Deprec 26'!F16</f>
        <v>10264585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2512109</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1567702</v>
      </c>
      <c r="D2036" s="2" t="str">
        <f t="shared" si="30"/>
        <v>Error?</v>
      </c>
    </row>
    <row r="2037" spans="1:4" x14ac:dyDescent="0.2">
      <c r="A2037" s="5">
        <v>1976</v>
      </c>
      <c r="B2037" s="1832">
        <f>'Cap Outlay Deprec 26'!H16</f>
        <v>4079811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159156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6863</v>
      </c>
      <c r="D2042" s="2" t="str">
        <f t="shared" si="30"/>
        <v>Error?</v>
      </c>
    </row>
    <row r="2043" spans="1:4" x14ac:dyDescent="0.2">
      <c r="A2043" s="5">
        <v>1982</v>
      </c>
      <c r="B2043" s="1832">
        <f>'Cap Outlay Deprec 26'!I16</f>
        <v>166019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2671265</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1574565</v>
      </c>
      <c r="C2054" s="2" t="s">
        <v>569</v>
      </c>
      <c r="D2054" s="2" t="str">
        <f t="shared" si="31"/>
        <v>Error?</v>
      </c>
    </row>
    <row r="2055" spans="1:4" x14ac:dyDescent="0.2">
      <c r="A2055" s="5">
        <v>1994</v>
      </c>
      <c r="B2055" s="1832">
        <f>'Cap Outlay Deprec 26'!K16</f>
        <v>4245830</v>
      </c>
      <c r="C2055" s="2" t="s">
        <v>569</v>
      </c>
      <c r="D2055" s="2" t="str">
        <f t="shared" si="31"/>
        <v>Error?</v>
      </c>
    </row>
    <row r="2056" spans="1:4" x14ac:dyDescent="0.2">
      <c r="A2056" s="5">
        <v>1995</v>
      </c>
      <c r="B2056" s="1832">
        <f>'Cap Outlay Deprec 26'!L5</f>
        <v>806287</v>
      </c>
      <c r="C2056" s="2" t="s">
        <v>569</v>
      </c>
      <c r="D2056" s="2" t="str">
        <f t="shared" si="31"/>
        <v>Error?</v>
      </c>
    </row>
    <row r="2057" spans="1:4" x14ac:dyDescent="0.2">
      <c r="A2057" s="5">
        <v>1996</v>
      </c>
      <c r="B2057" s="1832">
        <f>'Cap Outlay Deprec 26'!L8</f>
        <v>5195416</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17052</v>
      </c>
      <c r="C2060" s="2" t="s">
        <v>569</v>
      </c>
      <c r="D2060" s="2" t="str">
        <f t="shared" si="31"/>
        <v>Error?</v>
      </c>
    </row>
    <row r="2061" spans="1:4" x14ac:dyDescent="0.2">
      <c r="A2061" s="5">
        <v>2000</v>
      </c>
      <c r="B2061" s="1832">
        <f>'Cap Outlay Deprec 26'!L16</f>
        <v>6018755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414844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476316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3957045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53493</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12749167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1237019</v>
      </c>
      <c r="C2553" s="2" t="s">
        <v>569</v>
      </c>
      <c r="D2553" s="2" t="str">
        <f t="shared" si="38"/>
        <v>Error?</v>
      </c>
    </row>
    <row r="2554" spans="1:4" x14ac:dyDescent="0.2">
      <c r="A2554" s="5">
        <v>2493</v>
      </c>
      <c r="B2554" s="1832">
        <f>'Acct Summary 7-8'!C7</f>
        <v>305309</v>
      </c>
      <c r="C2554" s="2" t="s">
        <v>569</v>
      </c>
      <c r="D2554" s="2" t="str">
        <f t="shared" si="38"/>
        <v>Error?</v>
      </c>
    </row>
    <row r="2555" spans="1:4" x14ac:dyDescent="0.2">
      <c r="A2555" s="5">
        <v>2494</v>
      </c>
      <c r="B2555" s="1832">
        <f>'Acct Summary 7-8'!C8</f>
        <v>14706339</v>
      </c>
      <c r="C2555" s="2" t="s">
        <v>569</v>
      </c>
      <c r="D2555" s="2" t="str">
        <f t="shared" si="38"/>
        <v>Error?</v>
      </c>
    </row>
    <row r="2556" spans="1:4" x14ac:dyDescent="0.2">
      <c r="A2556" s="5">
        <v>2495</v>
      </c>
      <c r="B2556" s="1832">
        <f>'Acct Summary 7-8'!C12</f>
        <v>7293334</v>
      </c>
      <c r="C2556" s="2" t="s">
        <v>569</v>
      </c>
      <c r="D2556" s="2" t="str">
        <f t="shared" si="38"/>
        <v>Error?</v>
      </c>
    </row>
    <row r="2557" spans="1:4" x14ac:dyDescent="0.2">
      <c r="A2557" s="5">
        <v>2496</v>
      </c>
      <c r="B2557" s="1832">
        <f>'Acct Summary 7-8'!C13</f>
        <v>6645838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807290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14746462</v>
      </c>
      <c r="C2561" s="2" t="s">
        <v>569</v>
      </c>
      <c r="D2561" s="2" t="str">
        <f t="shared" si="39"/>
        <v>Error?</v>
      </c>
    </row>
    <row r="2562" spans="1:4" x14ac:dyDescent="0.2">
      <c r="A2562" s="5">
        <v>2501</v>
      </c>
      <c r="B2562" s="1832">
        <f>'Acct Summary 7-8'!C20</f>
        <v>-40123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342690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342690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342690</v>
      </c>
      <c r="C2634" s="2" t="s">
        <v>569</v>
      </c>
      <c r="D2634" s="2" t="str">
        <f t="shared" si="40"/>
        <v>Error?</v>
      </c>
    </row>
    <row r="2635" spans="1:4" x14ac:dyDescent="0.2">
      <c r="A2635" s="5">
        <v>2574</v>
      </c>
      <c r="B2635" s="1832">
        <f>'Acct Summary 7-8'!E17</f>
        <v>342690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187788</v>
      </c>
      <c r="D2718" s="2" t="str">
        <f t="shared" si="41"/>
        <v>Error?</v>
      </c>
    </row>
    <row r="2719" spans="1:4" x14ac:dyDescent="0.2">
      <c r="A2719" s="5">
        <v>2658</v>
      </c>
      <c r="B2719" s="1832">
        <f>'Expenditures 15-22'!D51</f>
        <v>58124</v>
      </c>
      <c r="D2719" s="2" t="str">
        <f t="shared" si="41"/>
        <v>Error?</v>
      </c>
    </row>
    <row r="2720" spans="1:4" x14ac:dyDescent="0.2">
      <c r="A2720" s="5">
        <v>2659</v>
      </c>
      <c r="B2720" s="1832">
        <f>'Expenditures 15-22'!E51</f>
        <v>104511</v>
      </c>
      <c r="D2720" s="2" t="str">
        <f t="shared" si="41"/>
        <v>Error?</v>
      </c>
    </row>
    <row r="2721" spans="1:4" x14ac:dyDescent="0.2">
      <c r="A2721" s="5">
        <v>2660</v>
      </c>
      <c r="B2721" s="1832">
        <f>'Expenditures 15-22'!F51</f>
        <v>19940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6220</v>
      </c>
      <c r="D2723" s="2" t="str">
        <f t="shared" si="41"/>
        <v>Error?</v>
      </c>
    </row>
    <row r="2724" spans="1:4" x14ac:dyDescent="0.2">
      <c r="A2724" s="5">
        <v>2663</v>
      </c>
      <c r="B2724" s="1832">
        <f>'Expenditures 15-22'!K51</f>
        <v>376583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61472</v>
      </c>
      <c r="C2789" s="2" t="s">
        <v>569</v>
      </c>
      <c r="D2789" s="2" t="str">
        <f t="shared" si="42"/>
        <v>Error?</v>
      </c>
    </row>
    <row r="2790" spans="1:4" x14ac:dyDescent="0.2">
      <c r="A2790" s="5">
        <v>2729</v>
      </c>
      <c r="B2790" s="1832">
        <f>'Expenditures 15-22'!E102</f>
        <v>61472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15466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15466</v>
      </c>
      <c r="D2914" s="2" t="str">
        <f t="shared" si="44"/>
        <v>Error?</v>
      </c>
    </row>
    <row r="2915" spans="1:4" x14ac:dyDescent="0.2">
      <c r="A2915" s="10">
        <v>2854</v>
      </c>
      <c r="B2915" s="1832"/>
      <c r="D2915" s="2" t="str">
        <f t="shared" si="44"/>
        <v>OK</v>
      </c>
    </row>
    <row r="2916" spans="1:4" x14ac:dyDescent="0.2">
      <c r="A2916" s="5">
        <v>2855</v>
      </c>
      <c r="B2916" s="1832">
        <f>'Assets-Liab 5-6'!L34</f>
        <v>15466</v>
      </c>
      <c r="C2916" s="2" t="s">
        <v>569</v>
      </c>
      <c r="D2916" s="2" t="str">
        <f t="shared" si="44"/>
        <v>Error?</v>
      </c>
    </row>
    <row r="2917" spans="1:4" x14ac:dyDescent="0.2">
      <c r="A2917" s="5">
        <v>2856</v>
      </c>
      <c r="B2917" s="1832">
        <f>'Assets-Liab 5-6'!L41</f>
        <v>15466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53107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8365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414844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467951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8365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-40123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4710100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2356487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129627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84724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7292366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414844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6230140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53493</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15466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2784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4076998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18783337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342690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4076998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18823460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342690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660000</v>
      </c>
      <c r="C4171" s="2" t="s">
        <v>569</v>
      </c>
      <c r="D4171" s="2" t="str">
        <f t="shared" si="64"/>
        <v>Error?</v>
      </c>
    </row>
    <row r="4172" spans="1:4" x14ac:dyDescent="0.2">
      <c r="A4172" s="5">
        <v>4111</v>
      </c>
      <c r="B4172" s="1832">
        <f>'Short-Term Long-Term Debt 24'!J49</f>
        <v>606507</v>
      </c>
      <c r="C4172" s="2" t="s">
        <v>569</v>
      </c>
      <c r="D4172" s="2" t="str">
        <f t="shared" si="64"/>
        <v>Error?</v>
      </c>
    </row>
    <row r="4173" spans="1:4" x14ac:dyDescent="0.2">
      <c r="A4173" s="5">
        <v>4112</v>
      </c>
      <c r="B4173" s="1832">
        <f>'Short-Term Long-Term Debt 24'!H49</f>
        <v>315000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4929507</v>
      </c>
      <c r="C4269" s="2" t="s">
        <v>569</v>
      </c>
      <c r="D4269" s="2" t="str">
        <f t="shared" si="65"/>
        <v>Error?</v>
      </c>
    </row>
    <row r="4270" spans="1:5" x14ac:dyDescent="0.2">
      <c r="A4270" s="12">
        <v>4209</v>
      </c>
      <c r="B4270" s="1832">
        <f>'FP Info 3'!D24</f>
        <v>22178</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69562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136476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6207</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660000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9340035</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9340035</v>
      </c>
      <c r="C5087" s="2" t="s">
        <v>569</v>
      </c>
      <c r="D5087" s="2" t="str">
        <f t="shared" si="78"/>
        <v>Error?</v>
      </c>
    </row>
    <row r="5088" spans="1:4" x14ac:dyDescent="0.2">
      <c r="A5088" s="5">
        <v>5027</v>
      </c>
      <c r="B5088" s="1832">
        <f>'Revenues 9-14'!C65</f>
        <v>13481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13481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809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3421</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148461</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3220573</v>
      </c>
      <c r="D5115" s="2" t="str">
        <f t="shared" si="78"/>
        <v>Error?</v>
      </c>
    </row>
    <row r="5116" spans="1:4" x14ac:dyDescent="0.2">
      <c r="A5116" s="5">
        <v>5055</v>
      </c>
      <c r="B5116" s="1832">
        <f>'Revenues 9-14'!C99</f>
        <v>23196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3392230</v>
      </c>
      <c r="C5120" s="2" t="s">
        <v>569</v>
      </c>
      <c r="D5120" s="2" t="str">
        <f t="shared" si="79"/>
        <v>Error?</v>
      </c>
    </row>
    <row r="5121" spans="1:4" x14ac:dyDescent="0.2">
      <c r="A5121" s="5">
        <v>5060</v>
      </c>
      <c r="B5121" s="1832">
        <f>'Revenues 9-14'!C109</f>
        <v>12749167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414844</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414844</v>
      </c>
      <c r="C5125" s="2" t="s">
        <v>569</v>
      </c>
      <c r="D5125" s="2" t="str">
        <f t="shared" si="79"/>
        <v>Error?</v>
      </c>
    </row>
    <row r="5126" spans="1:4" x14ac:dyDescent="0.2">
      <c r="A5126" s="5">
        <v>5065</v>
      </c>
      <c r="B5126" s="1832">
        <f>'Revenues 9-14'!C117</f>
        <v>1235729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1235729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1290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1237019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43587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27883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71470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2389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19205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21594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305309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305309</v>
      </c>
      <c r="C5326" s="2" t="s">
        <v>569</v>
      </c>
      <c r="D5326" s="2" t="str">
        <f t="shared" si="82"/>
        <v>Error?</v>
      </c>
    </row>
    <row r="5327" spans="1:5" x14ac:dyDescent="0.2">
      <c r="A5327" s="5">
        <v>5266</v>
      </c>
      <c r="B5327" s="1832">
        <f>'Revenues 9-14'!C268</f>
        <v>14706339</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342690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342690</v>
      </c>
      <c r="C5526" s="2" t="s">
        <v>569</v>
      </c>
      <c r="D5526" s="2" t="str">
        <f t="shared" si="85"/>
        <v>Error?</v>
      </c>
    </row>
    <row r="5527" spans="1:4" x14ac:dyDescent="0.2">
      <c r="A5527" s="5">
        <v>5466</v>
      </c>
      <c r="B5527" s="1832">
        <f>'Revenues 9-14'!E109</f>
        <v>342690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342690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2612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6959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22276</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98</v>
      </c>
      <c r="D6078" s="2" t="str">
        <f t="shared" si="93"/>
        <v>Error?</v>
      </c>
      <c r="E6078" s="2" t="s">
        <v>924</v>
      </c>
    </row>
    <row r="6079" spans="1:5" x14ac:dyDescent="0.2">
      <c r="A6079">
        <v>6018</v>
      </c>
      <c r="B6079" s="1832">
        <f>'Short-Term Long-Term Debt 24'!F27</f>
        <v>22178</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6207</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2473712</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2298410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821616</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-40123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-8.1393534891014453E-3</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f>'Acct Summary 7-8'!E83</f>
        <v>0</v>
      </c>
      <c r="D6278" s="2" t="str">
        <f t="shared" si="97"/>
        <v>Error?</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11428</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11428</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11039</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30457</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41496</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3456</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3456</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197684</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197684</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15402</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15402</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62028</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62028</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122382</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330974</v>
      </c>
      <c r="D7006" s="2" t="str">
        <f t="shared" si="108"/>
        <v>Error?</v>
      </c>
    </row>
    <row r="7007" spans="1:4" x14ac:dyDescent="0.2">
      <c r="A7007">
        <v>6946</v>
      </c>
      <c r="B7007" s="1832">
        <f>'Expenditures 15-22'!K98</f>
        <v>330974</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330974</v>
      </c>
      <c r="D7012" s="2" t="str">
        <f t="shared" si="108"/>
        <v>Error?</v>
      </c>
    </row>
    <row r="7013" spans="1:4" x14ac:dyDescent="0.2">
      <c r="A7013">
        <v>6952</v>
      </c>
      <c r="B7013" s="1832">
        <f>'Expenditures 15-22'!K100</f>
        <v>330974</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133810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133810</v>
      </c>
      <c r="D7624" s="2" t="str">
        <f t="shared" si="124"/>
        <v>Error?</v>
      </c>
      <c r="E7624" s="2" t="s">
        <v>19</v>
      </c>
    </row>
    <row r="7625" spans="1:5" x14ac:dyDescent="0.2">
      <c r="A7625">
        <f t="shared" si="123"/>
        <v>7564</v>
      </c>
      <c r="B7625" s="1832">
        <f>'Cap Outlay Deprec 26'!I17</f>
        <v>13381</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179400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2155000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-33748</v>
      </c>
      <c r="D7820" s="2" t="str">
        <f t="shared" si="128"/>
        <v>Error?</v>
      </c>
    </row>
    <row r="7821" spans="1:5" x14ac:dyDescent="0.2">
      <c r="A7821">
        <v>7760</v>
      </c>
      <c r="B7821" s="1832">
        <f>'ICR Computation 30'!G40</f>
        <v>-33748</v>
      </c>
      <c r="D7821" s="2" t="str">
        <f t="shared" si="128"/>
        <v>Error?</v>
      </c>
    </row>
    <row r="7822" spans="1:5" x14ac:dyDescent="0.2">
      <c r="A7822" s="1">
        <v>7761</v>
      </c>
      <c r="B7822" s="1832">
        <f>'PCTC-OEPP 27-28'!F14</f>
        <v>15089152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968</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1274877</v>
      </c>
      <c r="D7834" s="2" t="str">
        <f t="shared" si="129"/>
        <v>Error?</v>
      </c>
      <c r="E7834" s="4" t="s">
        <v>1998</v>
      </c>
    </row>
    <row r="7835" spans="1:5" x14ac:dyDescent="0.2">
      <c r="A7835">
        <v>7774</v>
      </c>
      <c r="B7835" s="1832">
        <f>'PCTC-OEPP 27-28'!F78</f>
        <v>13814275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148461</v>
      </c>
      <c r="D7839" s="2" t="str">
        <f t="shared" si="129"/>
        <v>Error?</v>
      </c>
      <c r="E7839" s="4" t="s">
        <v>1998</v>
      </c>
    </row>
    <row r="7840" spans="1:5" x14ac:dyDescent="0.2">
      <c r="A7840">
        <v>7779</v>
      </c>
      <c r="B7840" s="1832">
        <f>'PCTC-OEPP 27-28'!F103</f>
        <v>3220573</v>
      </c>
      <c r="D7840" s="2" t="str">
        <f t="shared" si="129"/>
        <v>Error?</v>
      </c>
      <c r="E7840" s="4" t="s">
        <v>1998</v>
      </c>
    </row>
    <row r="7841" spans="1:5" x14ac:dyDescent="0.2">
      <c r="A7841">
        <v>7780</v>
      </c>
      <c r="B7841" s="1832">
        <f>'PCTC-OEPP 27-28'!F104</f>
        <v>342690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71470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19205</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69562</v>
      </c>
      <c r="D7874" s="2" t="str">
        <f t="shared" si="129"/>
        <v>Error?</v>
      </c>
      <c r="E7874" s="4" t="s">
        <v>1998</v>
      </c>
    </row>
    <row r="7875" spans="1:5" x14ac:dyDescent="0.2">
      <c r="A7875">
        <v>7814</v>
      </c>
      <c r="B7875" s="1832">
        <f>'PCTC-OEPP 27-28'!F170</f>
        <v>136476</v>
      </c>
      <c r="D7875" s="2" t="str">
        <f t="shared" si="129"/>
        <v>Error?</v>
      </c>
      <c r="E7875" s="4" t="s">
        <v>1998</v>
      </c>
    </row>
    <row r="7876" spans="1:5" x14ac:dyDescent="0.2">
      <c r="A7876">
        <v>7815</v>
      </c>
      <c r="B7876" s="1832">
        <f>'PCTC-OEPP 27-28'!F171</f>
        <v>6207</v>
      </c>
      <c r="D7876" s="2" t="str">
        <f t="shared" si="129"/>
        <v>Error?</v>
      </c>
      <c r="E7876" s="4" t="s">
        <v>1998</v>
      </c>
    </row>
    <row r="7877" spans="1:5" x14ac:dyDescent="0.2">
      <c r="A7877">
        <v>7816</v>
      </c>
      <c r="B7877" s="1832">
        <f>'PCTC-OEPP 27-28'!F175</f>
        <v>4019355</v>
      </c>
      <c r="D7877" s="2" t="str">
        <f t="shared" si="129"/>
        <v>Error?</v>
      </c>
      <c r="E7877" s="4" t="s">
        <v>1998</v>
      </c>
    </row>
    <row r="7878" spans="1:5" x14ac:dyDescent="0.2">
      <c r="A7878">
        <v>7817</v>
      </c>
      <c r="B7878" s="1832">
        <f>'PCTC-OEPP 27-28'!F176</f>
        <v>9794920</v>
      </c>
      <c r="D7878" s="2" t="str">
        <f t="shared" si="129"/>
        <v>Error?</v>
      </c>
      <c r="E7878" s="4" t="s">
        <v>1998</v>
      </c>
    </row>
    <row r="7879" spans="1:5" x14ac:dyDescent="0.2">
      <c r="A7879">
        <v>7818</v>
      </c>
      <c r="B7879" s="1832">
        <f>'PCTC-OEPP 27-28'!F178</f>
        <v>9974320</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0" sqref="A40:H4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Belleville Area Special Services Cooperative</v>
      </c>
      <c r="B7" s="2517"/>
      <c r="C7" s="2517"/>
      <c r="D7" s="2555"/>
      <c r="E7" s="2556" t="str">
        <f>COVER!A13</f>
        <v>50-082-8010-60</v>
      </c>
      <c r="F7" s="2557"/>
      <c r="G7" s="2523" t="str">
        <f>COVER!T23</f>
        <v>065-026956</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Scheffel Boyle</v>
      </c>
      <c r="H9" s="2530"/>
      <c r="I9" s="2530"/>
      <c r="J9" s="2530"/>
      <c r="K9" s="2530"/>
      <c r="L9" s="2531"/>
    </row>
    <row r="10" spans="1:29" ht="13.5" customHeight="1" x14ac:dyDescent="0.2">
      <c r="A10" s="2513" t="str">
        <f>COVER!A38</f>
        <v>Stephen Kozuszek</v>
      </c>
      <c r="B10" s="2514"/>
      <c r="C10" s="2514"/>
      <c r="D10" s="2514"/>
      <c r="E10" s="2514"/>
      <c r="F10" s="2515"/>
      <c r="G10" s="2529" t="str">
        <f>COVER!T17</f>
        <v>222 East Main Street</v>
      </c>
      <c r="H10" s="2542"/>
      <c r="I10" s="2542"/>
      <c r="J10" s="2542"/>
      <c r="K10" s="2542"/>
      <c r="L10" s="2543"/>
    </row>
    <row r="11" spans="1:29" ht="13.5" customHeight="1" x14ac:dyDescent="0.2">
      <c r="A11" s="963" t="s">
        <v>1502</v>
      </c>
      <c r="B11" s="964"/>
      <c r="C11" s="965"/>
      <c r="D11" s="970"/>
      <c r="E11" s="965"/>
      <c r="F11" s="969"/>
      <c r="G11" s="2529" t="str">
        <f>COVER!T19</f>
        <v>Belleville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dale.holtmann@scheffelboyle.com</v>
      </c>
      <c r="J13" s="2551"/>
      <c r="K13" s="2551"/>
      <c r="L13" s="2552"/>
    </row>
    <row r="14" spans="1:29" ht="13.5" customHeight="1" x14ac:dyDescent="0.2">
      <c r="A14" s="2529" t="str">
        <f>COVER!A19</f>
        <v>2411 Pathways Crossing</v>
      </c>
      <c r="B14" s="2542"/>
      <c r="C14" s="2542"/>
      <c r="D14" s="2542"/>
      <c r="E14" s="2542"/>
      <c r="F14" s="2543"/>
      <c r="G14" s="974" t="s">
        <v>1175</v>
      </c>
      <c r="H14" s="972"/>
      <c r="I14" s="972"/>
      <c r="J14" s="972"/>
      <c r="K14" s="972"/>
      <c r="L14" s="973"/>
    </row>
    <row r="15" spans="1:29" ht="13.5" customHeight="1" x14ac:dyDescent="0.2">
      <c r="A15" s="2529" t="str">
        <f>COVER!A21</f>
        <v>Belleville Area Special Services Cooperative</v>
      </c>
      <c r="B15" s="2542"/>
      <c r="C15" s="2542"/>
      <c r="D15" s="2542"/>
      <c r="E15" s="2542"/>
      <c r="F15" s="2543"/>
      <c r="G15" s="2539" t="str">
        <f>COVER!T15</f>
        <v>Dale Holtmann</v>
      </c>
      <c r="H15" s="2540"/>
      <c r="I15" s="2540"/>
      <c r="J15" s="2540"/>
      <c r="K15" s="2540"/>
      <c r="L15" s="2541"/>
    </row>
    <row r="16" spans="1:29" ht="12.2" customHeight="1" x14ac:dyDescent="0.2">
      <c r="A16" s="2519">
        <f>COVER!A25</f>
        <v>62221</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618-277-8100</v>
      </c>
      <c r="H18" s="2517"/>
      <c r="I18" s="2517"/>
      <c r="J18" s="2517"/>
      <c r="K18" s="2516" t="str">
        <f>COVER!X21</f>
        <v>618-233-6334</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0" sqref="A40:H40"/>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Belleville Area Special Services Cooperative</v>
      </c>
      <c r="B1" s="2559"/>
      <c r="C1" s="2559"/>
      <c r="D1" s="2559"/>
    </row>
    <row r="2" spans="1:11" s="991" customFormat="1" ht="12.75" x14ac:dyDescent="0.2">
      <c r="A2" s="2560" t="str">
        <f>'Single Audit Cover'!E7</f>
        <v>50-082-8010-60</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0" sqref="A40:H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Belleville Area Special Services Cooperative</v>
      </c>
      <c r="B1" s="2563"/>
      <c r="C1" s="2563"/>
      <c r="D1" s="2563"/>
      <c r="E1" s="2563"/>
    </row>
    <row r="2" spans="1:5" x14ac:dyDescent="0.2">
      <c r="A2" s="2564" t="str">
        <f>'Single Audit Cover'!E7</f>
        <v>50-082-8010-60</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305309</v>
      </c>
    </row>
    <row r="11" spans="1:5" ht="18" customHeight="1" x14ac:dyDescent="0.2">
      <c r="A11" s="1037" t="s">
        <v>1229</v>
      </c>
      <c r="B11" s="1038"/>
      <c r="C11" s="1038"/>
    </row>
    <row r="12" spans="1:5" x14ac:dyDescent="0.2">
      <c r="A12" s="1037" t="s">
        <v>1228</v>
      </c>
      <c r="B12" s="1038" t="s">
        <v>1227</v>
      </c>
      <c r="C12" s="1038"/>
      <c r="D12" s="1040">
        <f>SUM('Revenues 9-14'!C112:D112,'Revenues 9-14'!F112:G112)</f>
        <v>414844</v>
      </c>
    </row>
    <row r="13" spans="1:5" x14ac:dyDescent="0.2">
      <c r="A13" s="1037" t="s">
        <v>1226</v>
      </c>
      <c r="B13" s="1038"/>
      <c r="C13" s="1038"/>
    </row>
    <row r="14" spans="1:5" x14ac:dyDescent="0.2">
      <c r="A14" s="1037" t="s">
        <v>2004</v>
      </c>
      <c r="B14" s="1038"/>
      <c r="C14" s="1038"/>
      <c r="D14" s="1040">
        <f>'ICR Computation 30'!E11</f>
        <v>6959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-136476</v>
      </c>
    </row>
    <row r="19" spans="1:4" ht="13.5" thickBot="1" x14ac:dyDescent="0.25">
      <c r="A19" s="1041" t="s">
        <v>1224</v>
      </c>
      <c r="D19" s="1042">
        <f>SUM(D10:D17)</f>
        <v>590636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590636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590636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40" sqref="A40:H4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Belleville Area Special Services Cooperative</v>
      </c>
      <c r="C1" s="2567"/>
      <c r="D1" s="2567"/>
      <c r="E1" s="2567"/>
      <c r="F1" s="2567"/>
      <c r="G1" s="2567"/>
      <c r="H1" s="2567"/>
      <c r="I1" s="2567"/>
      <c r="J1" s="2567"/>
      <c r="K1" s="2567"/>
      <c r="L1" s="2567"/>
      <c r="M1" s="2567"/>
    </row>
    <row r="2" spans="2:14" ht="15" x14ac:dyDescent="0.2">
      <c r="B2" s="2568" t="str">
        <f>'Single Audit Cover'!E7</f>
        <v>50-082-8010-60</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40" sqref="A40:H4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Belleville Area Special Services Cooperative</v>
      </c>
      <c r="B1" s="2572"/>
      <c r="C1" s="2572"/>
      <c r="D1" s="2572"/>
      <c r="E1" s="2572"/>
      <c r="F1" s="2572"/>
    </row>
    <row r="2" spans="1:7" ht="13.5" customHeight="1" x14ac:dyDescent="0.2">
      <c r="A2" s="2568" t="str">
        <f>'Single Audit Cover'!E7</f>
        <v>50-082-8010-60</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40" sqref="A40:H4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v>1</v>
      </c>
      <c r="F85" s="1544"/>
      <c r="G85" s="1544"/>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v>0</v>
      </c>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40" sqref="A40:H40"/>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Belleville Area Special Services Cooperative</v>
      </c>
      <c r="C1" s="2588"/>
      <c r="D1" s="2588"/>
      <c r="E1" s="2588"/>
      <c r="F1" s="2588"/>
      <c r="G1" s="2588"/>
      <c r="H1" s="2588"/>
      <c r="I1" s="2588"/>
      <c r="J1" s="1178"/>
    </row>
    <row r="2" spans="2:10" s="295" customFormat="1" ht="12.75" customHeight="1" x14ac:dyDescent="0.2">
      <c r="B2" s="2589" t="str">
        <f>'Single Audit Cover'!E7</f>
        <v>50-082-8010-60</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2071</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2051</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2051</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69B88-6EB5-485F-B907-801356CACB5A}">
  <dimension ref="A1:M41"/>
  <sheetViews>
    <sheetView showGridLines="0" zoomScale="110" zoomScaleNormal="110" workbookViewId="0">
      <selection activeCell="A40" sqref="A40:H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Belleville Area Special Services Cooperative</v>
      </c>
      <c r="C1" s="2587"/>
      <c r="D1" s="2587"/>
      <c r="E1" s="2587"/>
      <c r="F1" s="2587"/>
      <c r="G1" s="2587"/>
      <c r="H1" s="2587"/>
      <c r="I1" s="2587"/>
      <c r="J1" s="2587"/>
      <c r="K1" s="2587"/>
      <c r="L1" s="1144"/>
      <c r="M1" s="1144"/>
    </row>
    <row r="2" spans="1:13" ht="12" customHeight="1" x14ac:dyDescent="0.2">
      <c r="B2" s="2589" t="str">
        <f>'Single Audit Cover'!E7</f>
        <v>50-082-8010-60</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2035"/>
      <c r="M3" s="2035"/>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2056</v>
      </c>
      <c r="J10" s="1159" t="s">
        <v>1282</v>
      </c>
      <c r="K10" s="300"/>
      <c r="L10" s="1151"/>
    </row>
    <row r="11" spans="1:13" ht="13.5" customHeight="1" x14ac:dyDescent="0.2">
      <c r="B11" s="300"/>
      <c r="C11" s="300"/>
      <c r="D11" s="300"/>
      <c r="E11" s="300"/>
      <c r="F11" s="300"/>
      <c r="G11" s="1153"/>
      <c r="H11" s="300"/>
      <c r="I11" s="1160" t="s">
        <v>1281</v>
      </c>
      <c r="J11" s="300"/>
      <c r="K11" s="1161">
        <v>2008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2098</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2072</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2099</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58.9" customHeight="1" x14ac:dyDescent="0.2">
      <c r="B23" s="2609" t="s">
        <v>2100</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2073</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2074</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2103</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40" sqref="A40:H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Belleville Area Special Services Cooperative</v>
      </c>
      <c r="C1" s="2587"/>
      <c r="D1" s="2587"/>
      <c r="E1" s="2587"/>
      <c r="F1" s="2587"/>
      <c r="G1" s="2587"/>
      <c r="H1" s="2587"/>
      <c r="I1" s="2587"/>
      <c r="J1" s="2587"/>
      <c r="K1" s="2587"/>
      <c r="L1" s="1144"/>
      <c r="M1" s="1144"/>
    </row>
    <row r="2" spans="1:13" ht="12" customHeight="1" x14ac:dyDescent="0.2">
      <c r="B2" s="2589" t="str">
        <f>'Single Audit Cover'!E7</f>
        <v>50-082-8010-60</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c r="H10" s="1158" t="s">
        <v>1283</v>
      </c>
      <c r="I10" s="1157" t="s">
        <v>2056</v>
      </c>
      <c r="J10" s="1159" t="s">
        <v>1282</v>
      </c>
      <c r="K10" s="300"/>
      <c r="L10" s="1151"/>
    </row>
    <row r="11" spans="1:13" ht="13.5" customHeight="1" x14ac:dyDescent="0.2">
      <c r="B11" s="300"/>
      <c r="C11" s="300"/>
      <c r="D11" s="300"/>
      <c r="E11" s="300"/>
      <c r="F11" s="300"/>
      <c r="G11" s="1153"/>
      <c r="H11" s="300"/>
      <c r="I11" s="1160" t="s">
        <v>1281</v>
      </c>
      <c r="J11" s="300"/>
      <c r="K11" s="1161">
        <v>2008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2101</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2097</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2076</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2077</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2078</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2079</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2102</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14" sqref="D14:F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Belleville Area Special Services Cooperative</v>
      </c>
      <c r="C1" s="2614"/>
      <c r="D1" s="2614"/>
      <c r="E1" s="2614"/>
      <c r="F1" s="2614"/>
      <c r="G1" s="2614"/>
      <c r="H1" s="2614"/>
      <c r="I1" s="2614"/>
      <c r="J1" s="2614"/>
      <c r="K1" s="2614"/>
      <c r="L1" s="1221"/>
    </row>
    <row r="2" spans="1:12" ht="12.75" customHeight="1" x14ac:dyDescent="0.2">
      <c r="B2" s="2615" t="str">
        <f>'Single Audit Cover'!E7</f>
        <v>50-082-8010-60</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t="s">
        <v>2075</v>
      </c>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0" sqref="A40:H4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Belleville Area Special Services Cooperative</v>
      </c>
      <c r="C1" s="2587"/>
      <c r="D1" s="2587"/>
      <c r="E1" s="1240"/>
    </row>
    <row r="2" spans="2:5" s="1058" customFormat="1" ht="12.75" customHeight="1" x14ac:dyDescent="0.2">
      <c r="B2" s="2589" t="str">
        <f>'Single Audit Cover'!E7</f>
        <v>50-082-8010-60</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2080</v>
      </c>
      <c r="C8" s="302" t="s">
        <v>2081</v>
      </c>
      <c r="D8" s="302" t="s">
        <v>2082</v>
      </c>
      <c r="E8" s="302"/>
    </row>
    <row r="9" spans="2:5" ht="13.5" customHeight="1" x14ac:dyDescent="0.2">
      <c r="B9" s="1246"/>
      <c r="C9" s="301"/>
      <c r="D9" s="301" t="s">
        <v>2083</v>
      </c>
      <c r="E9" s="301"/>
    </row>
    <row r="10" spans="2:5" ht="13.5" customHeight="1" x14ac:dyDescent="0.2">
      <c r="B10" s="1245"/>
      <c r="C10" s="301"/>
      <c r="D10" s="301" t="s">
        <v>2084</v>
      </c>
      <c r="E10" s="301"/>
    </row>
    <row r="11" spans="2:5" ht="13.5" customHeight="1" x14ac:dyDescent="0.2">
      <c r="B11" s="1245"/>
      <c r="C11" s="301"/>
      <c r="D11" s="301" t="s">
        <v>2085</v>
      </c>
      <c r="E11" s="301"/>
    </row>
    <row r="12" spans="2:5" ht="13.5" customHeight="1" x14ac:dyDescent="0.2">
      <c r="B12" s="1245"/>
      <c r="C12" s="301"/>
      <c r="D12" s="301" t="s">
        <v>2086</v>
      </c>
      <c r="E12" s="301"/>
    </row>
    <row r="13" spans="2:5" ht="13.5" customHeight="1" x14ac:dyDescent="0.2">
      <c r="B13" s="1245"/>
      <c r="C13" s="301"/>
      <c r="D13" s="301"/>
      <c r="E13" s="301"/>
    </row>
    <row r="14" spans="2:5" ht="13.5" customHeight="1" x14ac:dyDescent="0.2">
      <c r="B14" s="1245" t="s">
        <v>2087</v>
      </c>
      <c r="C14" s="301" t="s">
        <v>2088</v>
      </c>
      <c r="D14" s="301" t="s">
        <v>2089</v>
      </c>
      <c r="E14" s="301"/>
    </row>
    <row r="15" spans="2:5" ht="13.5" customHeight="1" x14ac:dyDescent="0.2">
      <c r="B15" s="1245"/>
      <c r="C15" s="301"/>
      <c r="D15" s="301" t="s">
        <v>2090</v>
      </c>
      <c r="E15" s="301"/>
    </row>
    <row r="16" spans="2:5" ht="13.5" customHeight="1" x14ac:dyDescent="0.2">
      <c r="B16" s="1245"/>
      <c r="C16" s="301"/>
      <c r="D16" s="301" t="s">
        <v>2091</v>
      </c>
      <c r="E16" s="301"/>
    </row>
    <row r="17" spans="2:5" ht="13.5" customHeight="1" x14ac:dyDescent="0.2">
      <c r="B17" s="1245"/>
      <c r="C17" s="301"/>
      <c r="D17" s="301"/>
      <c r="E17" s="301"/>
    </row>
    <row r="18" spans="2:5" ht="13.5" customHeight="1" x14ac:dyDescent="0.2">
      <c r="B18" s="1245" t="s">
        <v>2092</v>
      </c>
      <c r="C18" s="301" t="s">
        <v>2093</v>
      </c>
      <c r="D18" s="301" t="s">
        <v>2096</v>
      </c>
      <c r="E18" s="301"/>
    </row>
    <row r="19" spans="2:5" ht="13.5" customHeight="1" x14ac:dyDescent="0.2">
      <c r="B19" s="1245"/>
      <c r="C19" s="301"/>
      <c r="D19" s="301"/>
      <c r="E19" s="301"/>
    </row>
    <row r="20" spans="2:5" ht="13.5" customHeight="1" x14ac:dyDescent="0.2">
      <c r="B20" s="1245" t="s">
        <v>2094</v>
      </c>
      <c r="C20" s="301" t="s">
        <v>2095</v>
      </c>
      <c r="D20" s="301" t="s">
        <v>2096</v>
      </c>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0" sqref="A40:H4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14706339</v>
      </c>
      <c r="E16" s="1547"/>
      <c r="F16" s="1546">
        <f>SUM('Acct Summary 7-8'!C17,'Acct Summary 7-8'!D17,'Acct Summary 7-8'!F17)</f>
        <v>14746462</v>
      </c>
      <c r="G16" s="1547"/>
      <c r="H16" s="1546">
        <f>SUM(D16-F16)</f>
        <v>-40123</v>
      </c>
      <c r="I16" s="1548"/>
      <c r="J16" s="1546">
        <f>SUM('Acct Summary 7-8'!C81,'Acct Summary 7-8'!D81,'Acct Summary 7-8'!F81,'Acct Summary 7-8'!I81)</f>
        <v>4929507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22178</v>
      </c>
      <c r="E24" s="1547" t="s">
        <v>999</v>
      </c>
      <c r="F24" s="1549">
        <f>SUM(D22,F22,H22,J22,L22, D24)</f>
        <v>22178</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0" sqref="A40:H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Belleville Area Special Services Cooperative</v>
      </c>
      <c r="E7" s="368"/>
      <c r="G7" s="247"/>
      <c r="H7" s="364"/>
      <c r="I7" s="364"/>
      <c r="J7" s="364"/>
      <c r="K7" s="364"/>
      <c r="L7" s="307"/>
      <c r="M7" s="307"/>
      <c r="N7" s="307"/>
      <c r="O7" s="307"/>
      <c r="P7" s="307"/>
    </row>
    <row r="8" spans="1:18" ht="12.75" x14ac:dyDescent="0.2">
      <c r="A8" s="307"/>
      <c r="B8" s="307"/>
      <c r="C8" s="366" t="s">
        <v>1115</v>
      </c>
      <c r="D8" s="369" t="str">
        <f>COVER!A13</f>
        <v>50-082-8010-60</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4929507</v>
      </c>
      <c r="I12" s="380"/>
      <c r="J12" s="380"/>
      <c r="K12" s="1559">
        <f>TRUNC((H12/H13*100000),5)/100000</f>
        <v>0.33519606740000002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14706339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14746462</v>
      </c>
      <c r="I17" s="380"/>
      <c r="J17" s="389"/>
      <c r="K17" s="1559">
        <f>TRUNC((H17/H18*100000),5)/100000</f>
        <v>1.0027282791999999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14706339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86.206744299999997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6230140</v>
      </c>
      <c r="I24" s="394"/>
      <c r="J24" s="394"/>
      <c r="K24" s="1555">
        <f>TRUNC(((H24/H25*100000)/100000),2)</f>
        <v>152.09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40962.394439999996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660000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8" activePane="bottomLeft" state="frozen"/>
      <selection activeCell="A40" sqref="A40:H40"/>
      <selection pane="bottomLeft" activeCell="A40" sqref="A40:H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f>4925746+1279113+25281</f>
        <v>6230140</v>
      </c>
      <c r="D4" s="1573"/>
      <c r="E4" s="1573">
        <v>53493</v>
      </c>
      <c r="F4" s="1573"/>
      <c r="G4" s="1573"/>
      <c r="H4" s="1573"/>
      <c r="I4" s="1573"/>
      <c r="J4" s="1574"/>
      <c r="K4" s="1573"/>
      <c r="L4" s="1573">
        <v>15466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6207</v>
      </c>
      <c r="D8" s="1574"/>
      <c r="E8" s="1574"/>
      <c r="F8" s="1574"/>
      <c r="G8" s="1583"/>
      <c r="H8" s="1574"/>
      <c r="I8" s="1579"/>
      <c r="J8" s="1579"/>
      <c r="K8" s="1584"/>
      <c r="L8" s="1585"/>
      <c r="M8" s="1575"/>
      <c r="N8" s="1576"/>
    </row>
    <row r="9" spans="1:14" ht="13.5" customHeight="1" x14ac:dyDescent="0.2">
      <c r="A9" s="430" t="s">
        <v>268</v>
      </c>
      <c r="B9" s="429">
        <v>160</v>
      </c>
      <c r="C9" s="1581">
        <v>2473712</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8710059</v>
      </c>
      <c r="D13" s="1587">
        <f t="shared" ref="D13:L13" si="0">SUM(D4:D12)</f>
        <v>0</v>
      </c>
      <c r="E13" s="1587">
        <f t="shared" si="0"/>
        <v>53493</v>
      </c>
      <c r="F13" s="1587">
        <f t="shared" si="0"/>
        <v>0</v>
      </c>
      <c r="G13" s="1587">
        <f t="shared" si="0"/>
        <v>0</v>
      </c>
      <c r="H13" s="1587">
        <f t="shared" si="0"/>
        <v>0</v>
      </c>
      <c r="I13" s="1587">
        <f t="shared" si="0"/>
        <v>0</v>
      </c>
      <c r="J13" s="1587">
        <f t="shared" si="0"/>
        <v>0</v>
      </c>
      <c r="K13" s="1587">
        <f t="shared" si="0"/>
        <v>0</v>
      </c>
      <c r="L13" s="1587">
        <f t="shared" si="0"/>
        <v>15466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806287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5195416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17052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53493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606507</v>
      </c>
    </row>
    <row r="23" spans="1:14" ht="13.5" customHeight="1" thickBot="1" x14ac:dyDescent="0.25">
      <c r="A23" s="1426" t="s">
        <v>638</v>
      </c>
      <c r="B23" s="1429"/>
      <c r="C23" s="1575"/>
      <c r="D23" s="1575"/>
      <c r="E23" s="1575"/>
      <c r="F23" s="1575"/>
      <c r="G23" s="1575"/>
      <c r="H23" s="1575"/>
      <c r="I23" s="1575"/>
      <c r="J23" s="1575"/>
      <c r="K23" s="1575"/>
      <c r="L23" s="1575"/>
      <c r="M23" s="1594">
        <f>SUM(M15:M22)</f>
        <v>6018755</v>
      </c>
      <c r="N23" s="1594">
        <f>SUM(N21:N22)</f>
        <v>660000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110400+952281+1235729</f>
        <v>2298410</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821616</v>
      </c>
      <c r="D30" s="1579"/>
      <c r="E30" s="1574"/>
      <c r="F30" s="1574"/>
      <c r="G30" s="1574"/>
      <c r="H30" s="1574"/>
      <c r="I30" s="1574"/>
      <c r="J30" s="1574"/>
      <c r="K30" s="1583"/>
      <c r="L30" s="1575"/>
      <c r="M30" s="1575"/>
      <c r="N30" s="1575"/>
    </row>
    <row r="31" spans="1:14" ht="13.5" customHeight="1" x14ac:dyDescent="0.2">
      <c r="A31" s="430" t="s">
        <v>646</v>
      </c>
      <c r="B31" s="429">
        <v>480</v>
      </c>
      <c r="C31" s="1573">
        <f>99586+49294+52837+20578+52525+5048+1537+342963+26662+8669+811+16</f>
        <v>660526</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15466</v>
      </c>
      <c r="M33" s="1575"/>
      <c r="N33" s="1576"/>
    </row>
    <row r="34" spans="1:14" ht="13.5" customHeight="1" thickBot="1" x14ac:dyDescent="0.25">
      <c r="A34" s="1427" t="s">
        <v>649</v>
      </c>
      <c r="B34" s="1428"/>
      <c r="C34" s="1600">
        <f>SUM(C25:C33)</f>
        <v>3780552</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15466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660000</v>
      </c>
    </row>
    <row r="37" spans="1:14" ht="13.5" thickBot="1" x14ac:dyDescent="0.25">
      <c r="A37" s="1426" t="s">
        <v>648</v>
      </c>
      <c r="B37" s="1429"/>
      <c r="C37" s="1582"/>
      <c r="D37" s="1582"/>
      <c r="E37" s="1582"/>
      <c r="F37" s="1582"/>
      <c r="G37" s="1582"/>
      <c r="H37" s="1582"/>
      <c r="I37" s="1582"/>
      <c r="J37" s="1582"/>
      <c r="K37" s="1582"/>
      <c r="L37" s="1585"/>
      <c r="M37" s="1575"/>
      <c r="N37" s="1594">
        <f>SUM(N36:N36)</f>
        <v>660000</v>
      </c>
    </row>
    <row r="38" spans="1:14" s="307" customFormat="1" ht="13.5" customHeight="1" thickTop="1" x14ac:dyDescent="0.2">
      <c r="A38" s="438" t="s">
        <v>417</v>
      </c>
      <c r="B38" s="432">
        <v>714</v>
      </c>
      <c r="C38" s="1573">
        <f>37469+2640463+1279113</f>
        <v>3957045</v>
      </c>
      <c r="D38" s="1573"/>
      <c r="E38" s="1573">
        <v>53493</v>
      </c>
      <c r="F38" s="1573"/>
      <c r="G38" s="1573"/>
      <c r="H38" s="1573"/>
      <c r="I38" s="1573"/>
      <c r="J38" s="1574"/>
      <c r="K38" s="1573"/>
      <c r="L38" s="1586"/>
      <c r="M38" s="1604"/>
      <c r="N38" s="1604"/>
    </row>
    <row r="39" spans="1:14" s="307" customFormat="1" ht="13.5" customHeight="1" x14ac:dyDescent="0.2">
      <c r="A39" s="438" t="s">
        <v>339</v>
      </c>
      <c r="B39" s="432">
        <v>730</v>
      </c>
      <c r="C39" s="1573">
        <f>4929507-C38</f>
        <v>972462</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6018755</v>
      </c>
      <c r="N40" s="1604"/>
    </row>
    <row r="41" spans="1:14" ht="13.5" customHeight="1" thickBot="1" x14ac:dyDescent="0.25">
      <c r="A41" s="1426" t="s">
        <v>650</v>
      </c>
      <c r="B41" s="1405"/>
      <c r="C41" s="1594">
        <f>(SUM(C34,C37,C38,C39))</f>
        <v>8710059</v>
      </c>
      <c r="D41" s="1594">
        <f t="shared" ref="D41:L41" si="2">SUM(D34,D37,D38:D39)</f>
        <v>0</v>
      </c>
      <c r="E41" s="1594">
        <f t="shared" si="2"/>
        <v>53493</v>
      </c>
      <c r="F41" s="1594">
        <f t="shared" si="2"/>
        <v>0</v>
      </c>
      <c r="G41" s="1594">
        <f t="shared" si="2"/>
        <v>0</v>
      </c>
      <c r="H41" s="1594">
        <f t="shared" si="2"/>
        <v>0</v>
      </c>
      <c r="I41" s="1594">
        <f t="shared" si="2"/>
        <v>0</v>
      </c>
      <c r="J41" s="1594">
        <f t="shared" si="2"/>
        <v>0</v>
      </c>
      <c r="K41" s="1594">
        <f t="shared" si="2"/>
        <v>0</v>
      </c>
      <c r="L41" s="1594">
        <f t="shared" si="2"/>
        <v>15466</v>
      </c>
      <c r="M41" s="1594">
        <f>SUM(M40)</f>
        <v>6018755</v>
      </c>
      <c r="N41" s="1594">
        <f>SUM(N37)</f>
        <v>660000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0" sqref="A40:H40"/>
      <selection pane="bottomLeft" activeCell="A40" sqref="A40:H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12749167</v>
      </c>
      <c r="D4" s="1606">
        <f>'Revenues 9-14'!D109</f>
        <v>0</v>
      </c>
      <c r="E4" s="1606">
        <f>'Revenues 9-14'!E109</f>
        <v>342690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414844</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1237019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305309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14706339</v>
      </c>
      <c r="D8" s="1594">
        <f t="shared" ref="D8:K8" si="0">SUM(D4:D7)</f>
        <v>0</v>
      </c>
      <c r="E8" s="1594">
        <f t="shared" si="0"/>
        <v>342690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4076998</v>
      </c>
      <c r="D9" s="1613"/>
      <c r="E9" s="1586"/>
      <c r="F9" s="1586"/>
      <c r="G9" s="1614"/>
      <c r="H9" s="1586"/>
      <c r="I9" s="1609" t="s">
        <v>1159</v>
      </c>
      <c r="J9" s="1583"/>
      <c r="K9" s="1586"/>
      <c r="L9" s="325"/>
    </row>
    <row r="10" spans="1:13" s="452" customFormat="1" ht="13.5" thickBot="1" x14ac:dyDescent="0.25">
      <c r="A10" s="1426" t="s">
        <v>1163</v>
      </c>
      <c r="B10" s="1407"/>
      <c r="C10" s="1594">
        <f>SUM(C8:C9)</f>
        <v>18783337</v>
      </c>
      <c r="D10" s="1594">
        <f t="shared" ref="D10:K10" si="1">SUM(D8:D9)</f>
        <v>0</v>
      </c>
      <c r="E10" s="1594">
        <f t="shared" si="1"/>
        <v>342690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7293334</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6645838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807290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342690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14746462</v>
      </c>
      <c r="D17" s="1594">
        <f t="shared" si="2"/>
        <v>0</v>
      </c>
      <c r="E17" s="1594">
        <f t="shared" si="2"/>
        <v>342690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4076998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18823460</v>
      </c>
      <c r="D19" s="1594">
        <f t="shared" si="4"/>
        <v>0</v>
      </c>
      <c r="E19" s="1594">
        <f t="shared" si="4"/>
        <v>342690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-40123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-40123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4969630</v>
      </c>
      <c r="D79" s="1630"/>
      <c r="E79" s="1630">
        <v>53493</v>
      </c>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4929507</v>
      </c>
      <c r="D81" s="1594">
        <f>SUM(D78:D80)</f>
        <v>0</v>
      </c>
      <c r="E81" s="1594">
        <f t="shared" ref="E81:K81" si="10">SUM(E78:E80)</f>
        <v>53493</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-40123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-8.1393534891014453E-3</v>
      </c>
      <c r="D83" s="463" t="e">
        <f t="shared" ref="D83:K83" si="12">D82/D81</f>
        <v>#DIV/0!</v>
      </c>
      <c r="E83" s="463">
        <f t="shared" si="12"/>
        <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8" activePane="bottomLeft" state="frozen"/>
      <selection activeCell="A40" sqref="A40:H40"/>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9340035</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9340035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13481</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13481</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2612</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809</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3421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148461</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3220573</v>
      </c>
      <c r="D98" s="1573"/>
      <c r="E98" s="1612"/>
      <c r="F98" s="1573"/>
      <c r="G98" s="1612"/>
      <c r="H98" s="1612"/>
      <c r="I98" s="1610"/>
      <c r="J98" s="1612"/>
      <c r="K98" s="1612"/>
    </row>
    <row r="99" spans="1:12" ht="12.75" customHeight="1" x14ac:dyDescent="0.2">
      <c r="A99" s="427" t="s">
        <v>816</v>
      </c>
      <c r="B99" s="429">
        <v>1950</v>
      </c>
      <c r="C99" s="1598">
        <v>23196</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v>342690</v>
      </c>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3392230</v>
      </c>
      <c r="D108" s="1633">
        <f t="shared" ref="D108:K108" si="3">SUM(D95:D107)</f>
        <v>0</v>
      </c>
      <c r="E108" s="1633">
        <f t="shared" si="3"/>
        <v>342690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12749167</v>
      </c>
      <c r="D109" s="1641">
        <f t="shared" si="4"/>
        <v>0</v>
      </c>
      <c r="E109" s="1641">
        <f t="shared" si="4"/>
        <v>342690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414844</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414844</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1235729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1235729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1290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1290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1237019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43587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27883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71470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2389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19205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21594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69562</v>
      </c>
      <c r="D263" s="1651"/>
      <c r="E263" s="1575"/>
      <c r="F263" s="1651"/>
      <c r="G263" s="1651"/>
      <c r="H263" s="1575"/>
      <c r="I263" s="1575"/>
      <c r="J263" s="1575"/>
      <c r="K263" s="1575"/>
    </row>
    <row r="264" spans="1:11" ht="12.75" customHeight="1" thickTop="1" thickBot="1" x14ac:dyDescent="0.25">
      <c r="A264" s="427" t="s">
        <v>374</v>
      </c>
      <c r="B264" s="429">
        <v>4992</v>
      </c>
      <c r="C264" s="1650">
        <v>136476</v>
      </c>
      <c r="D264" s="1651"/>
      <c r="E264" s="1575"/>
      <c r="F264" s="1651"/>
      <c r="G264" s="1651"/>
      <c r="H264" s="1575"/>
      <c r="I264" s="1575"/>
      <c r="J264" s="1575"/>
      <c r="K264" s="1575"/>
    </row>
    <row r="265" spans="1:11" s="489" customFormat="1" ht="12.75" customHeight="1" thickTop="1" thickBot="1" x14ac:dyDescent="0.25">
      <c r="A265" s="479" t="s">
        <v>75</v>
      </c>
      <c r="B265" s="475">
        <v>4998</v>
      </c>
      <c r="C265" s="1650">
        <v>6207</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305309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305309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14706339</v>
      </c>
      <c r="D268" s="1641">
        <f t="shared" si="12"/>
        <v>0</v>
      </c>
      <c r="E268" s="1641">
        <f t="shared" si="12"/>
        <v>342690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8" activePane="bottomLeft" state="frozen"/>
      <selection activeCell="A40" sqref="A40:H40"/>
      <selection pane="bottomLeft" activeCell="A40" sqref="A40:H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4710100</v>
      </c>
      <c r="D8" s="1573">
        <v>2356487</v>
      </c>
      <c r="E8" s="1573">
        <v>129627</v>
      </c>
      <c r="F8" s="1573">
        <v>84724</v>
      </c>
      <c r="G8" s="1573"/>
      <c r="H8" s="1573"/>
      <c r="I8" s="1574">
        <v>11428</v>
      </c>
      <c r="J8" s="1574"/>
      <c r="K8" s="1672">
        <f t="shared" si="0"/>
        <v>7292366</v>
      </c>
      <c r="L8" s="1573">
        <v>7732475</v>
      </c>
    </row>
    <row r="9" spans="1:14" x14ac:dyDescent="0.2">
      <c r="A9" s="1274" t="s">
        <v>716</v>
      </c>
      <c r="B9" s="503" t="s">
        <v>962</v>
      </c>
      <c r="C9" s="1574"/>
      <c r="D9" s="1574"/>
      <c r="E9" s="1574"/>
      <c r="F9" s="1574"/>
      <c r="G9" s="1574"/>
      <c r="H9" s="1574"/>
      <c r="I9" s="1574"/>
      <c r="J9" s="1574"/>
      <c r="K9" s="1672">
        <f t="shared" si="0"/>
        <v>0</v>
      </c>
      <c r="L9" s="1573">
        <v>267480</v>
      </c>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857</v>
      </c>
      <c r="D15" s="1573">
        <v>111</v>
      </c>
      <c r="E15" s="1573"/>
      <c r="F15" s="1573"/>
      <c r="G15" s="1573"/>
      <c r="H15" s="1573"/>
      <c r="I15" s="1574"/>
      <c r="J15" s="1574"/>
      <c r="K15" s="1672">
        <f t="shared" si="0"/>
        <v>968</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4710957</v>
      </c>
      <c r="D33" s="1674">
        <f t="shared" ref="D33:L33" si="1">SUM(D5:D32)</f>
        <v>2356598</v>
      </c>
      <c r="E33" s="1674">
        <f t="shared" si="1"/>
        <v>129627</v>
      </c>
      <c r="F33" s="1674">
        <f t="shared" si="1"/>
        <v>84724</v>
      </c>
      <c r="G33" s="1674">
        <f t="shared" si="1"/>
        <v>0</v>
      </c>
      <c r="H33" s="1674">
        <f t="shared" si="1"/>
        <v>0</v>
      </c>
      <c r="I33" s="1674">
        <f t="shared" si="1"/>
        <v>11428</v>
      </c>
      <c r="J33" s="1674">
        <f t="shared" si="1"/>
        <v>0</v>
      </c>
      <c r="K33" s="1674">
        <f t="shared" si="1"/>
        <v>7293334</v>
      </c>
      <c r="L33" s="1674">
        <f t="shared" si="1"/>
        <v>7999955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257078</v>
      </c>
      <c r="D36" s="1586">
        <v>77367</v>
      </c>
      <c r="E36" s="1586">
        <v>2034</v>
      </c>
      <c r="F36" s="1586"/>
      <c r="G36" s="1586"/>
      <c r="H36" s="1586"/>
      <c r="I36" s="1574"/>
      <c r="J36" s="1574"/>
      <c r="K36" s="1672">
        <f t="shared" ref="K36:K41" si="2">SUM(C36:J36)</f>
        <v>336479</v>
      </c>
      <c r="L36" s="1573">
        <v>355827</v>
      </c>
    </row>
    <row r="37" spans="1:14" x14ac:dyDescent="0.2">
      <c r="A37" s="1274" t="s">
        <v>1081</v>
      </c>
      <c r="B37" s="503">
        <v>2120</v>
      </c>
      <c r="C37" s="1573"/>
      <c r="D37" s="1573"/>
      <c r="E37" s="1573"/>
      <c r="F37" s="1573"/>
      <c r="G37" s="1573"/>
      <c r="H37" s="1573"/>
      <c r="I37" s="1574"/>
      <c r="J37" s="1574"/>
      <c r="K37" s="1672">
        <f t="shared" si="2"/>
        <v>0</v>
      </c>
      <c r="L37" s="1573">
        <v>71969</v>
      </c>
    </row>
    <row r="38" spans="1:14" x14ac:dyDescent="0.2">
      <c r="A38" s="1274" t="s">
        <v>196</v>
      </c>
      <c r="B38" s="503">
        <v>2130</v>
      </c>
      <c r="C38" s="1573">
        <v>460659</v>
      </c>
      <c r="D38" s="1573">
        <v>194401</v>
      </c>
      <c r="E38" s="1573">
        <v>33978</v>
      </c>
      <c r="F38" s="1573">
        <v>7226</v>
      </c>
      <c r="G38" s="1573"/>
      <c r="H38" s="1573"/>
      <c r="I38" s="1574">
        <v>11039</v>
      </c>
      <c r="J38" s="1574"/>
      <c r="K38" s="1672">
        <f t="shared" si="2"/>
        <v>707303</v>
      </c>
      <c r="L38" s="1573">
        <v>729918</v>
      </c>
    </row>
    <row r="39" spans="1:14" x14ac:dyDescent="0.2">
      <c r="A39" s="1274" t="s">
        <v>197</v>
      </c>
      <c r="B39" s="503">
        <v>2140</v>
      </c>
      <c r="C39" s="1573">
        <v>918401</v>
      </c>
      <c r="D39" s="1573">
        <v>274396</v>
      </c>
      <c r="E39" s="1573">
        <v>8399</v>
      </c>
      <c r="F39" s="1573">
        <v>22915</v>
      </c>
      <c r="G39" s="1573"/>
      <c r="H39" s="1573"/>
      <c r="I39" s="1574"/>
      <c r="J39" s="1574"/>
      <c r="K39" s="1672">
        <f t="shared" si="2"/>
        <v>1224111</v>
      </c>
      <c r="L39" s="1573">
        <v>1265513</v>
      </c>
    </row>
    <row r="40" spans="1:14" x14ac:dyDescent="0.2">
      <c r="A40" s="1274" t="s">
        <v>198</v>
      </c>
      <c r="B40" s="503">
        <v>2150</v>
      </c>
      <c r="C40" s="1573">
        <v>428824</v>
      </c>
      <c r="D40" s="1573">
        <v>144824</v>
      </c>
      <c r="E40" s="1573">
        <v>7012</v>
      </c>
      <c r="F40" s="1573">
        <v>7398</v>
      </c>
      <c r="G40" s="1573"/>
      <c r="H40" s="1573"/>
      <c r="I40" s="1574">
        <v>30457</v>
      </c>
      <c r="J40" s="1574"/>
      <c r="K40" s="1672">
        <f t="shared" si="2"/>
        <v>618515</v>
      </c>
      <c r="L40" s="1573">
        <v>701942</v>
      </c>
    </row>
    <row r="41" spans="1:14" x14ac:dyDescent="0.2">
      <c r="A41" s="1274" t="s">
        <v>1650</v>
      </c>
      <c r="B41" s="503">
        <v>2190</v>
      </c>
      <c r="C41" s="1573">
        <v>116672</v>
      </c>
      <c r="D41" s="1573">
        <v>43991</v>
      </c>
      <c r="E41" s="1573">
        <v>1652</v>
      </c>
      <c r="F41" s="1573">
        <v>267</v>
      </c>
      <c r="G41" s="1573"/>
      <c r="H41" s="1573"/>
      <c r="I41" s="1574"/>
      <c r="J41" s="1574"/>
      <c r="K41" s="1672">
        <f t="shared" si="2"/>
        <v>162582</v>
      </c>
      <c r="L41" s="1573">
        <v>170515</v>
      </c>
    </row>
    <row r="42" spans="1:14" ht="12.75" customHeight="1" thickBot="1" x14ac:dyDescent="0.25">
      <c r="A42" s="1380" t="s">
        <v>556</v>
      </c>
      <c r="B42" s="1381" t="s">
        <v>711</v>
      </c>
      <c r="C42" s="1674">
        <f>SUM(C36:C41)</f>
        <v>2181634</v>
      </c>
      <c r="D42" s="1674">
        <f t="shared" ref="D42:L42" si="3">SUM(D36:D41)</f>
        <v>734979</v>
      </c>
      <c r="E42" s="1674">
        <f t="shared" si="3"/>
        <v>53075</v>
      </c>
      <c r="F42" s="1674">
        <f t="shared" si="3"/>
        <v>37806</v>
      </c>
      <c r="G42" s="1674">
        <f t="shared" si="3"/>
        <v>0</v>
      </c>
      <c r="H42" s="1674">
        <f t="shared" si="3"/>
        <v>0</v>
      </c>
      <c r="I42" s="1674">
        <f t="shared" si="3"/>
        <v>41496</v>
      </c>
      <c r="J42" s="1674">
        <f t="shared" si="3"/>
        <v>0</v>
      </c>
      <c r="K42" s="1674">
        <f t="shared" si="3"/>
        <v>3048990</v>
      </c>
      <c r="L42" s="1674">
        <f t="shared" si="3"/>
        <v>3295684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385213</v>
      </c>
      <c r="D44" s="1586">
        <v>136120</v>
      </c>
      <c r="E44" s="1586">
        <v>47540</v>
      </c>
      <c r="F44" s="1586">
        <v>17959</v>
      </c>
      <c r="G44" s="1586"/>
      <c r="H44" s="1586"/>
      <c r="I44" s="1574">
        <v>3456</v>
      </c>
      <c r="J44" s="1574"/>
      <c r="K44" s="1678">
        <f>SUM(C44:J44)</f>
        <v>590288</v>
      </c>
      <c r="L44" s="1586">
        <v>645018</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385213</v>
      </c>
      <c r="D47" s="1674">
        <f t="shared" ref="D47:K47" si="4">SUM(D44:D46)</f>
        <v>136120</v>
      </c>
      <c r="E47" s="1674">
        <f t="shared" si="4"/>
        <v>47540</v>
      </c>
      <c r="F47" s="1674">
        <f t="shared" si="4"/>
        <v>17959</v>
      </c>
      <c r="G47" s="1674">
        <f t="shared" si="4"/>
        <v>0</v>
      </c>
      <c r="H47" s="1674">
        <f t="shared" si="4"/>
        <v>0</v>
      </c>
      <c r="I47" s="1674">
        <f t="shared" si="4"/>
        <v>3456</v>
      </c>
      <c r="J47" s="1674">
        <f t="shared" si="4"/>
        <v>0</v>
      </c>
      <c r="K47" s="1674">
        <f t="shared" si="4"/>
        <v>590288</v>
      </c>
      <c r="L47" s="1674">
        <f>SUM(L44:L46)</f>
        <v>645018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187788</v>
      </c>
      <c r="D51" s="1573">
        <v>58124</v>
      </c>
      <c r="E51" s="1573">
        <v>104511</v>
      </c>
      <c r="F51" s="1573">
        <v>19940</v>
      </c>
      <c r="G51" s="1573"/>
      <c r="H51" s="1573">
        <v>6220</v>
      </c>
      <c r="I51" s="1574"/>
      <c r="J51" s="1574"/>
      <c r="K51" s="1678">
        <f>SUM(C51:J51)</f>
        <v>376583</v>
      </c>
      <c r="L51" s="1573">
        <v>386928</v>
      </c>
    </row>
    <row r="52" spans="1:14" ht="22.5" x14ac:dyDescent="0.2">
      <c r="A52" s="1275" t="s">
        <v>295</v>
      </c>
      <c r="B52" s="511" t="s">
        <v>363</v>
      </c>
      <c r="C52" s="1579"/>
      <c r="D52" s="1579"/>
      <c r="E52" s="1579">
        <v>197684</v>
      </c>
      <c r="F52" s="1579"/>
      <c r="G52" s="1579"/>
      <c r="H52" s="1579"/>
      <c r="I52" s="1579"/>
      <c r="J52" s="1579"/>
      <c r="K52" s="1678">
        <f>SUM(C52:J52)</f>
        <v>197684</v>
      </c>
      <c r="L52" s="1579">
        <v>220048</v>
      </c>
    </row>
    <row r="53" spans="1:14" ht="12.75" customHeight="1" thickBot="1" x14ac:dyDescent="0.25">
      <c r="A53" s="1380" t="s">
        <v>712</v>
      </c>
      <c r="B53" s="1381" t="s">
        <v>33</v>
      </c>
      <c r="C53" s="1674">
        <f>SUM(C49:C52)</f>
        <v>187788</v>
      </c>
      <c r="D53" s="1674">
        <f t="shared" ref="D53:L53" si="5">SUM(D49:D52)</f>
        <v>58124</v>
      </c>
      <c r="E53" s="1674">
        <f t="shared" si="5"/>
        <v>302195</v>
      </c>
      <c r="F53" s="1674">
        <f t="shared" si="5"/>
        <v>19940</v>
      </c>
      <c r="G53" s="1674">
        <f t="shared" si="5"/>
        <v>0</v>
      </c>
      <c r="H53" s="1674">
        <f t="shared" si="5"/>
        <v>6220</v>
      </c>
      <c r="I53" s="1674">
        <f t="shared" si="5"/>
        <v>0</v>
      </c>
      <c r="J53" s="1674">
        <f t="shared" si="5"/>
        <v>0</v>
      </c>
      <c r="K53" s="1674">
        <f t="shared" si="5"/>
        <v>574267</v>
      </c>
      <c r="L53" s="1674">
        <f t="shared" si="5"/>
        <v>606976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179221</v>
      </c>
      <c r="D55" s="1586">
        <v>72381</v>
      </c>
      <c r="E55" s="1586">
        <v>1017</v>
      </c>
      <c r="F55" s="1586"/>
      <c r="G55" s="1586"/>
      <c r="H55" s="1586"/>
      <c r="I55" s="1574"/>
      <c r="J55" s="1574"/>
      <c r="K55" s="1678">
        <f>SUM(C55:J55)</f>
        <v>252619</v>
      </c>
      <c r="L55" s="1586">
        <v>267226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179221</v>
      </c>
      <c r="D57" s="1679">
        <f t="shared" ref="D57:K57" si="6">SUM(D55:D56)</f>
        <v>72381</v>
      </c>
      <c r="E57" s="1679">
        <f t="shared" si="6"/>
        <v>1017</v>
      </c>
      <c r="F57" s="1679">
        <f t="shared" si="6"/>
        <v>0</v>
      </c>
      <c r="G57" s="1679">
        <f t="shared" si="6"/>
        <v>0</v>
      </c>
      <c r="H57" s="1679">
        <f t="shared" si="6"/>
        <v>0</v>
      </c>
      <c r="I57" s="1679">
        <f t="shared" si="6"/>
        <v>0</v>
      </c>
      <c r="J57" s="1679">
        <f t="shared" si="6"/>
        <v>0</v>
      </c>
      <c r="K57" s="1679">
        <f t="shared" si="6"/>
        <v>252619</v>
      </c>
      <c r="L57" s="1674">
        <f>SUM(L55:L56)</f>
        <v>267226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91004</v>
      </c>
      <c r="D59" s="1586">
        <v>27856</v>
      </c>
      <c r="E59" s="1586">
        <v>78118</v>
      </c>
      <c r="F59" s="1586">
        <v>2113</v>
      </c>
      <c r="G59" s="1586"/>
      <c r="H59" s="1586"/>
      <c r="I59" s="1574"/>
      <c r="J59" s="1574"/>
      <c r="K59" s="1678">
        <f t="shared" ref="K59:K64" si="7">SUM(C59:J59)</f>
        <v>199091</v>
      </c>
      <c r="L59" s="1586">
        <v>122114</v>
      </c>
      <c r="M59" s="501"/>
      <c r="N59" s="501"/>
    </row>
    <row r="60" spans="1:14" s="321" customFormat="1" x14ac:dyDescent="0.2">
      <c r="A60" s="1274" t="s">
        <v>460</v>
      </c>
      <c r="B60" s="503">
        <v>2520</v>
      </c>
      <c r="C60" s="1573">
        <v>121206</v>
      </c>
      <c r="D60" s="1573">
        <v>53597</v>
      </c>
      <c r="E60" s="1573"/>
      <c r="F60" s="1573">
        <v>432</v>
      </c>
      <c r="G60" s="1573"/>
      <c r="H60" s="1573"/>
      <c r="I60" s="1574"/>
      <c r="J60" s="1574"/>
      <c r="K60" s="1678">
        <f t="shared" si="7"/>
        <v>175235</v>
      </c>
      <c r="L60" s="1573">
        <v>175591</v>
      </c>
      <c r="M60" s="501"/>
      <c r="N60" s="501"/>
    </row>
    <row r="61" spans="1:14" s="321" customFormat="1" x14ac:dyDescent="0.2">
      <c r="A61" s="1274" t="s">
        <v>195</v>
      </c>
      <c r="B61" s="503">
        <v>2540</v>
      </c>
      <c r="C61" s="1573">
        <v>179086</v>
      </c>
      <c r="D61" s="1573">
        <v>83089</v>
      </c>
      <c r="E61" s="1573">
        <v>1209587</v>
      </c>
      <c r="F61" s="1573">
        <v>92652</v>
      </c>
      <c r="G61" s="1573">
        <v>17809</v>
      </c>
      <c r="H61" s="1573"/>
      <c r="I61" s="1574">
        <v>15402</v>
      </c>
      <c r="J61" s="1574"/>
      <c r="K61" s="1678">
        <f t="shared" si="7"/>
        <v>1597625</v>
      </c>
      <c r="L61" s="1573">
        <v>966220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23392</v>
      </c>
      <c r="D63" s="1573">
        <v>11081</v>
      </c>
      <c r="E63" s="1573"/>
      <c r="F63" s="1573">
        <v>2784</v>
      </c>
      <c r="G63" s="1573"/>
      <c r="H63" s="1573"/>
      <c r="I63" s="1574"/>
      <c r="J63" s="1574"/>
      <c r="K63" s="1678">
        <f t="shared" si="7"/>
        <v>37257</v>
      </c>
      <c r="L63" s="1573">
        <v>40249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414688</v>
      </c>
      <c r="D65" s="1674">
        <f t="shared" ref="D65:L65" si="8">SUM(D59:D64)</f>
        <v>175623</v>
      </c>
      <c r="E65" s="1674">
        <f t="shared" si="8"/>
        <v>1287705</v>
      </c>
      <c r="F65" s="1674">
        <f t="shared" si="8"/>
        <v>97981</v>
      </c>
      <c r="G65" s="1674">
        <f t="shared" si="8"/>
        <v>17809</v>
      </c>
      <c r="H65" s="1674">
        <f t="shared" si="8"/>
        <v>0</v>
      </c>
      <c r="I65" s="1674">
        <f t="shared" si="8"/>
        <v>15402</v>
      </c>
      <c r="J65" s="1674">
        <f t="shared" si="8"/>
        <v>0</v>
      </c>
      <c r="K65" s="1674">
        <f t="shared" si="8"/>
        <v>2009208</v>
      </c>
      <c r="L65" s="1674">
        <f t="shared" si="8"/>
        <v>1304174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1921</v>
      </c>
      <c r="F69" s="1573"/>
      <c r="G69" s="1573"/>
      <c r="H69" s="1573"/>
      <c r="I69" s="1574"/>
      <c r="J69" s="1574"/>
      <c r="K69" s="1678">
        <f>SUM(C69:J69)</f>
        <v>1921</v>
      </c>
      <c r="L69" s="1573">
        <v>3000</v>
      </c>
      <c r="M69" s="501"/>
      <c r="N69" s="501"/>
    </row>
    <row r="70" spans="1:14" s="321" customFormat="1" x14ac:dyDescent="0.2">
      <c r="A70" s="1274" t="s">
        <v>400</v>
      </c>
      <c r="B70" s="503">
        <v>2640</v>
      </c>
      <c r="C70" s="1573"/>
      <c r="D70" s="1573"/>
      <c r="E70" s="1573">
        <v>4000</v>
      </c>
      <c r="F70" s="1573"/>
      <c r="G70" s="1573"/>
      <c r="H70" s="1573"/>
      <c r="I70" s="1574"/>
      <c r="J70" s="1574"/>
      <c r="K70" s="1678">
        <f>SUM(C70:J70)</f>
        <v>4000</v>
      </c>
      <c r="L70" s="1573">
        <v>6000</v>
      </c>
      <c r="M70" s="501"/>
      <c r="N70" s="501"/>
    </row>
    <row r="71" spans="1:14" s="321" customFormat="1" x14ac:dyDescent="0.2">
      <c r="A71" s="1274" t="s">
        <v>401</v>
      </c>
      <c r="B71" s="503">
        <v>2660</v>
      </c>
      <c r="C71" s="1573"/>
      <c r="D71" s="1573"/>
      <c r="E71" s="1573">
        <v>101551</v>
      </c>
      <c r="F71" s="1573">
        <v>966</v>
      </c>
      <c r="G71" s="1573"/>
      <c r="H71" s="1573"/>
      <c r="I71" s="1574">
        <v>62028</v>
      </c>
      <c r="J71" s="1574"/>
      <c r="K71" s="1678">
        <f>SUM(C71:J71)</f>
        <v>164545</v>
      </c>
      <c r="L71" s="1573">
        <v>105470</v>
      </c>
      <c r="M71" s="501"/>
      <c r="N71" s="501"/>
    </row>
    <row r="72" spans="1:14" s="321" customFormat="1" ht="12.75" customHeight="1" thickBot="1" x14ac:dyDescent="0.25">
      <c r="A72" s="1380" t="s">
        <v>37</v>
      </c>
      <c r="B72" s="1383" t="s">
        <v>36</v>
      </c>
      <c r="C72" s="1674">
        <f>SUM(C67:C71)</f>
        <v>0</v>
      </c>
      <c r="D72" s="1674">
        <f t="shared" ref="D72:K72" si="9">SUM(D67:D71)</f>
        <v>0</v>
      </c>
      <c r="E72" s="1674">
        <f t="shared" si="9"/>
        <v>107472</v>
      </c>
      <c r="F72" s="1674">
        <f t="shared" si="9"/>
        <v>966</v>
      </c>
      <c r="G72" s="1674">
        <f t="shared" si="9"/>
        <v>0</v>
      </c>
      <c r="H72" s="1674">
        <f t="shared" si="9"/>
        <v>0</v>
      </c>
      <c r="I72" s="1674">
        <f t="shared" si="9"/>
        <v>62028</v>
      </c>
      <c r="J72" s="1674">
        <f t="shared" si="9"/>
        <v>0</v>
      </c>
      <c r="K72" s="1674">
        <f t="shared" si="9"/>
        <v>170466</v>
      </c>
      <c r="L72" s="1674">
        <f>SUM(L67:L71)</f>
        <v>114470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3348544</v>
      </c>
      <c r="D74" s="1681">
        <f t="shared" ref="D74:K74" si="10">SUM(D42,D47,D53,D57,D65,D72,D73)</f>
        <v>1177227</v>
      </c>
      <c r="E74" s="1681">
        <f t="shared" si="10"/>
        <v>1799004</v>
      </c>
      <c r="F74" s="1681">
        <f t="shared" si="10"/>
        <v>174652</v>
      </c>
      <c r="G74" s="1681">
        <f t="shared" si="10"/>
        <v>17809</v>
      </c>
      <c r="H74" s="1681">
        <f t="shared" si="10"/>
        <v>6220</v>
      </c>
      <c r="I74" s="1681">
        <f t="shared" si="10"/>
        <v>122382</v>
      </c>
      <c r="J74" s="1681">
        <f t="shared" si="10"/>
        <v>0</v>
      </c>
      <c r="K74" s="1681">
        <f t="shared" si="10"/>
        <v>6645838</v>
      </c>
      <c r="L74" s="1681">
        <f>SUM(L42,L47,L53,L57,L65,L72,L73)</f>
        <v>6233548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53107</v>
      </c>
      <c r="F79" s="1673"/>
      <c r="G79" s="1673"/>
      <c r="H79" s="1573">
        <v>414844</v>
      </c>
      <c r="I79" s="1582"/>
      <c r="J79" s="1582"/>
      <c r="K79" s="1672">
        <f t="shared" si="11"/>
        <v>467951</v>
      </c>
      <c r="L79" s="1573">
        <v>63115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8365</v>
      </c>
      <c r="F83" s="1673"/>
      <c r="G83" s="1673"/>
      <c r="H83" s="1573"/>
      <c r="I83" s="1582"/>
      <c r="J83" s="1582"/>
      <c r="K83" s="1672">
        <f t="shared" si="11"/>
        <v>8365</v>
      </c>
      <c r="L83" s="1573"/>
    </row>
    <row r="84" spans="1:12" ht="13.5" thickBot="1" x14ac:dyDescent="0.25">
      <c r="A84" s="1380" t="s">
        <v>1468</v>
      </c>
      <c r="B84" s="1385">
        <v>4100</v>
      </c>
      <c r="C84" s="1673"/>
      <c r="D84" s="1673"/>
      <c r="E84" s="1674">
        <f>SUM(E78:E83)</f>
        <v>61472</v>
      </c>
      <c r="F84" s="1673"/>
      <c r="G84" s="1673"/>
      <c r="H84" s="1674">
        <f>SUM(H78:H83)</f>
        <v>414844</v>
      </c>
      <c r="I84" s="1582"/>
      <c r="J84" s="1582"/>
      <c r="K84" s="1674">
        <f>SUM(K78:K83)</f>
        <v>476316</v>
      </c>
      <c r="L84" s="1674">
        <f>SUM(L78:L83)</f>
        <v>63115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f>129559+201415</f>
        <v>330974</v>
      </c>
      <c r="I98" s="1582"/>
      <c r="J98" s="1582"/>
      <c r="K98" s="1681">
        <f t="shared" si="12"/>
        <v>330974</v>
      </c>
      <c r="L98" s="1626">
        <v>400000</v>
      </c>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330974</v>
      </c>
      <c r="I100" s="1582"/>
      <c r="J100" s="1582"/>
      <c r="K100" s="1681">
        <f>SUM(K93:K99)</f>
        <v>330974</v>
      </c>
      <c r="L100" s="1681">
        <f>SUM(L93:L99)</f>
        <v>400000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61472</v>
      </c>
      <c r="F102" s="1673"/>
      <c r="G102" s="1673"/>
      <c r="H102" s="1681">
        <f>SUM(H84,H92,H100,H101)</f>
        <v>745818</v>
      </c>
      <c r="I102" s="1582"/>
      <c r="J102" s="1582"/>
      <c r="K102" s="1681">
        <f>SUM(K84,K92,K100,K101)</f>
        <v>807290</v>
      </c>
      <c r="L102" s="1681">
        <f>SUM(L84,L92,L100,L101)</f>
        <v>463115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46000</v>
      </c>
      <c r="M113" s="502"/>
      <c r="N113" s="502"/>
    </row>
    <row r="114" spans="1:14" ht="12.75" customHeight="1" thickTop="1" thickBot="1" x14ac:dyDescent="0.25">
      <c r="A114" s="1380" t="s">
        <v>48</v>
      </c>
      <c r="B114" s="1388"/>
      <c r="C114" s="1674">
        <f>SUM(C33,C74,C75,C102,C112,C113)</f>
        <v>8059501</v>
      </c>
      <c r="D114" s="1674">
        <f t="shared" ref="D114:K114" si="13">SUM(D33,D74,D75,D102,D112,D113)</f>
        <v>3533825</v>
      </c>
      <c r="E114" s="1674">
        <f t="shared" si="13"/>
        <v>1990103</v>
      </c>
      <c r="F114" s="1674">
        <f t="shared" si="13"/>
        <v>259376</v>
      </c>
      <c r="G114" s="1674">
        <f t="shared" si="13"/>
        <v>17809</v>
      </c>
      <c r="H114" s="1674">
        <f>SUM(H33,H74,H75,H102,H112,H113)</f>
        <v>752038</v>
      </c>
      <c r="I114" s="1674">
        <f t="shared" si="13"/>
        <v>133810</v>
      </c>
      <c r="J114" s="1674">
        <f t="shared" si="13"/>
        <v>0</v>
      </c>
      <c r="K114" s="1674">
        <f t="shared" si="13"/>
        <v>14746462</v>
      </c>
      <c r="L114" s="1674">
        <f>SUM(L33,L74,L75,L102,L112,L113)</f>
        <v>14742618</v>
      </c>
    </row>
    <row r="115" spans="1:14" ht="13.5" thickTop="1" x14ac:dyDescent="0.2">
      <c r="A115" s="2262" t="s">
        <v>989</v>
      </c>
      <c r="B115" s="2263"/>
      <c r="C115" s="1675"/>
      <c r="D115" s="1675"/>
      <c r="E115" s="1675"/>
      <c r="F115" s="1675"/>
      <c r="G115" s="1675"/>
      <c r="H115" s="1675"/>
      <c r="I115" s="1675"/>
      <c r="J115" s="1675"/>
      <c r="K115" s="1689">
        <f>'Revenues 9-14'!C268-'Expenditures 15-22'!K114</f>
        <v>-40123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27690</v>
      </c>
      <c r="I169" s="1673"/>
      <c r="J169" s="1673"/>
      <c r="K169" s="1672">
        <f>SUM(C169:H169)</f>
        <v>27690</v>
      </c>
      <c r="L169" s="1695">
        <v>27690</v>
      </c>
    </row>
    <row r="170" spans="1:14" ht="33.75" customHeight="1" x14ac:dyDescent="0.2">
      <c r="A170" s="543" t="s">
        <v>1651</v>
      </c>
      <c r="B170" s="545" t="s">
        <v>31</v>
      </c>
      <c r="C170" s="1673"/>
      <c r="D170" s="1673"/>
      <c r="E170" s="1673"/>
      <c r="F170" s="1673"/>
      <c r="G170" s="1673"/>
      <c r="H170" s="1646">
        <v>315000</v>
      </c>
      <c r="I170" s="1673"/>
      <c r="J170" s="1673"/>
      <c r="K170" s="1672">
        <f>SUM(C170:J170)</f>
        <v>315000</v>
      </c>
      <c r="L170" s="1646">
        <v>315000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342690</v>
      </c>
      <c r="I172" s="1684"/>
      <c r="J172" s="1673"/>
      <c r="K172" s="1681">
        <f>SUM(K168,K169,K170,K171)</f>
        <v>342690</v>
      </c>
      <c r="L172" s="1681">
        <f>SUM(L168,L169,L170,L171)</f>
        <v>342690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342690</v>
      </c>
      <c r="I174" s="1684"/>
      <c r="J174" s="1673"/>
      <c r="K174" s="1681">
        <f>SUM(K160,K172,K173)</f>
        <v>342690</v>
      </c>
      <c r="L174" s="1681">
        <f>SUM(L160,L172,L173)</f>
        <v>342690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purl.org/dc/elements/1.1/"/>
    <ds:schemaRef ds:uri="http://purl.org/dc/terms/"/>
    <ds:schemaRef ds:uri="http://schemas.microsoft.com/office/2006/documentManagement/types"/>
    <ds:schemaRef ds:uri="http://www.w3.org/XML/1998/namespace"/>
    <ds:schemaRef ds:uri="d21dc803-237d-4c68-8692-8d731fd29118"/>
    <ds:schemaRef ds:uri="http://purl.org/dc/dcmitype/"/>
    <ds:schemaRef ds:uri="http://schemas.microsoft.com/office/infopath/2007/PartnerControl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 (2)</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2020-11-19T14:54:02Z</cp:lastPrinted>
  <dcterms:created xsi:type="dcterms:W3CDTF">2003-10-29T19:06:34Z</dcterms:created>
  <dcterms:modified xsi:type="dcterms:W3CDTF">2020-11-22T17:41:09Z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