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43F747A-BA99-4ECC-811B-BD9DBD5191BD}"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2" i="183" l="1"/>
  <c r="M17" i="3" l="1"/>
  <c r="M19" i="3"/>
  <c r="I13" i="11" l="1"/>
  <c r="C29" i="5" l="1"/>
  <c r="C39" i="3" l="1"/>
  <c r="C27" i="3"/>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6" i="183"/>
  <c r="F35"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F37" i="183" s="1"/>
  <c r="E36" i="183"/>
  <c r="E35" i="183"/>
  <c r="E34" i="183"/>
  <c r="F34" i="183" s="1"/>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2" i="106" s="1"/>
  <c r="D7884" i="106"/>
  <c r="D7883" i="106"/>
  <c r="B11" i="7" l="1"/>
  <c r="D7836" i="106" l="1"/>
  <c r="J88" i="28" l="1"/>
  <c r="J85" i="28"/>
  <c r="J90" i="28" l="1"/>
  <c r="B7819" i="106"/>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2" i="127"/>
  <c r="B63"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35" i="106" l="1"/>
  <c r="D7135" i="106" s="1"/>
  <c r="E58" i="184"/>
  <c r="N58" i="184" s="1"/>
  <c r="F37" i="34"/>
  <c r="B7829" i="106" s="1"/>
  <c r="D7829" i="106" s="1"/>
  <c r="F34" i="34"/>
  <c r="B7826" i="106" s="1"/>
  <c r="D7826" i="106" s="1"/>
  <c r="D68" i="36"/>
  <c r="B7189" i="106"/>
  <c r="D7189" i="106" s="1"/>
  <c r="E64" i="184"/>
  <c r="N64" i="184" s="1"/>
  <c r="H76" i="4"/>
  <c r="B3298" i="106" s="1"/>
  <c r="D3298" i="106" s="1"/>
  <c r="D31" i="108"/>
  <c r="E16" i="184"/>
  <c r="H16" i="184" s="1"/>
  <c r="B7126" i="106"/>
  <c r="D7126" i="106" s="1"/>
  <c r="E57" i="184"/>
  <c r="H12" i="184"/>
  <c r="H19" i="184" s="1"/>
  <c r="L20" i="184" s="1"/>
  <c r="E19" i="184"/>
  <c r="B7180" i="106"/>
  <c r="D7180" i="106" s="1"/>
  <c r="E63" i="184"/>
  <c r="N63" i="184" s="1"/>
  <c r="G33" i="108"/>
  <c r="E17" i="184"/>
  <c r="H17" i="184" s="1"/>
  <c r="B7171" i="106"/>
  <c r="D7171" i="106" s="1"/>
  <c r="E62" i="184"/>
  <c r="N62" i="184" s="1"/>
  <c r="F72" i="34"/>
  <c r="B7162" i="106"/>
  <c r="D7162" i="106" s="1"/>
  <c r="E61" i="184"/>
  <c r="N61" i="184" s="1"/>
  <c r="H365" i="29"/>
  <c r="B7242" i="106" s="1"/>
  <c r="D7242" i="106" s="1"/>
  <c r="B7696" i="106"/>
  <c r="D7696" i="106" s="1"/>
  <c r="E66" i="184"/>
  <c r="N66" i="184" s="1"/>
  <c r="G30" i="108"/>
  <c r="B7153" i="106"/>
  <c r="D7153" i="106" s="1"/>
  <c r="E60" i="184"/>
  <c r="N60" i="184" s="1"/>
  <c r="B7198" i="106"/>
  <c r="D7198" i="106" s="1"/>
  <c r="E65" i="184"/>
  <c r="N65" i="184" s="1"/>
  <c r="F71" i="34"/>
  <c r="C342" i="29"/>
  <c r="B7216" i="106" s="1"/>
  <c r="D7216" i="106" s="1"/>
  <c r="B7705" i="106"/>
  <c r="D7705" i="106" s="1"/>
  <c r="E67" i="184"/>
  <c r="N67" i="184" s="1"/>
  <c r="J210" i="29"/>
  <c r="B7072" i="106" s="1"/>
  <c r="D707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F41" i="108"/>
  <c r="G43" i="108" s="1"/>
  <c r="D44" i="36"/>
  <c r="L114" i="29"/>
  <c r="B7222" i="106"/>
  <c r="D7222" i="106" s="1"/>
  <c r="F76" i="34"/>
  <c r="B7887" i="106" s="1"/>
  <c r="D7887" i="106" s="1"/>
  <c r="K342" i="29"/>
  <c r="F13" i="34" s="1"/>
  <c r="B1328" i="106"/>
  <c r="D1328" i="106" s="1"/>
  <c r="B7215" i="106"/>
  <c r="D7215" i="106" s="1"/>
  <c r="B6216" i="106"/>
  <c r="D6216" i="106" s="1"/>
  <c r="B7220" i="106"/>
  <c r="D7220" i="106" s="1"/>
  <c r="F75" i="34"/>
  <c r="B7886" i="106" s="1"/>
  <c r="D7886" i="106" s="1"/>
  <c r="H151" i="29"/>
  <c r="B1273" i="106" s="1"/>
  <c r="D1273" i="106" s="1"/>
  <c r="N57" i="184"/>
  <c r="N68" i="184" s="1"/>
  <c r="E68" i="184"/>
  <c r="K365" i="29"/>
  <c r="E367" i="29"/>
  <c r="B3636" i="106" s="1"/>
  <c r="D3636" i="106" s="1"/>
  <c r="B3635" i="106"/>
  <c r="D3635"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F8" i="4"/>
  <c r="F10" i="4" s="1"/>
  <c r="B4125" i="106" s="1"/>
  <c r="D41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<sst xmlns="http://schemas.openxmlformats.org/spreadsheetml/2006/main" count="5239" uniqueCount="2102">
  <si>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</si>
  <si>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</si>
  <si>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</si>
  <si>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</si>
  <si>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</si>
  <si>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</si>
  <si>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</si>
  <si>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</si>
  <si>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</si>
  <si>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</si>
  <si>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</si>
  <si>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</si>
  <si>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</si>
  <si>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</si>
  <si>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</si>
  <si>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</si>
  <si>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</si>
  <si>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</si>
  <si>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</si>
  <si>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</si>
  <si>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</si>
  <si>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</si>
  <si>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</si>
  <si>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</si>
  <si>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</si>
  <si>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</si>
  <si>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</si>
  <si>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</si>
  <si>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</si>
  <si>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</si>
  <si>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</si>
  <si>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</si>
  <si>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</si>
  <si>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</si>
  <si>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</si>
  <si>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</si>
  <si>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</si>
  <si>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</si>
  <si>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</si>
  <si>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</si>
  <si>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</si>
  <si>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</si>
  <si>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</si>
  <si>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</si>
  <si>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</si>
  <si>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</si>
  <si>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</si>
  <si>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</si>
  <si>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</si>
  <si>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</si>
  <si>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</si>
  <si>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</si>
  <si>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</si>
  <si>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</si>
  <si>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</si>
  <si>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</si>
  <si>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</si>
  <si>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</si>
  <si>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</si>
  <si>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</si>
  <si>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</si>
  <si>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</si>
  <si>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</si>
  <si>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</si>
  <si>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</si>
  <si>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</si>
  <si>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</si>
  <si>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</si>
  <si>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</si>
  <si>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</si>
  <si>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</si>
  <si>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</si>
  <si>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</si>
  <si>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</si>
  <si>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</si>
  <si>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</si>
  <si>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</si>
  <si>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</si>
  <si>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</si>
  <si>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</si>
  <si>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</si>
  <si>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</si>
  <si>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</si>
  <si>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</si>
  <si>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</si>
  <si>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</si>
  <si>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</si>
  <si>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</si>
  <si>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</si>
  <si>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</si>
  <si>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</si>
  <si>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</si>
  <si>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</si>
  <si>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</si>
  <si>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</si>
  <si>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</si>
  <si>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</si>
  <si>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</si>
  <si>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</si>
  <si>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</si>
  <si>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</si>
  <si>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</si>
  <si>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</si>
  <si>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</si>
  <si>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</si>
  <si>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</si>
  <si>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</si>
  <si>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</si>
  <si>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</si>
  <si>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</si>
  <si>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</si>
  <si>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</si>
  <si>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</si>
  <si>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</si>
  <si>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</si>
  <si>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</si>
  <si>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</si>
  <si>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</si>
  <si>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</si>
  <si>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</si>
  <si>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</si>
  <si>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</si>
  <si>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</si>
  <si>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</si>
  <si>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</si>
  <si>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</si>
  <si>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</si>
  <si>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</si>
  <si>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</si>
  <si>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</si>
  <si>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</si>
  <si>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</si>
  <si>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</si>
  <si>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</si>
  <si>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</si>
  <si>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</si>
  <si>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</si>
  <si>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</si>
  <si>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</si>
  <si>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</si>
  <si>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</si>
  <si>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</si>
  <si>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</si>
  <si>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</si>
  <si>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</si>
  <si>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</si>
  <si>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</si>
  <si>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</si>
  <si>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</si>
  <si>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</si>
  <si>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</si>
  <si>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</si>
  <si>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</si>
  <si>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</si>
  <si>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</si>
  <si>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</si>
  <si>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</si>
  <si>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</si>
  <si>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</si>
  <si>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</si>
  <si>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</si>
  <si>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</si>
  <si>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</si>
  <si>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</si>
  <si>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</si>
  <si>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</si>
  <si>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</si>
  <si>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</si>
  <si>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</si>
  <si>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</si>
  <si>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</si>
  <si>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</si>
  <si>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</si>
  <si>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</si>
  <si>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</si>
  <si>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</si>
  <si>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</si>
  <si>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</si>
  <si>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</si>
  <si>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</si>
  <si>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</si>
  <si>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</si>
  <si>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</si>
  <si>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</si>
  <si>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</si>
  <si>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</si>
  <si>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</si>
  <si>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</si>
  <si>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</si>
  <si>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</si>
  <si>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</si>
  <si>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</si>
  <si>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</si>
  <si>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</si>
  <si>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</si>
  <si>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</si>
  <si>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</si>
  <si>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</si>
  <si>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</si>
  <si>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</si>
  <si>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</si>
  <si>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</si>
  <si>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</si>
  <si>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</si>
  <si>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</si>
  <si>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</si>
  <si>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</si>
  <si>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</si>
  <si>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</si>
  <si>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</si>
  <si>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</si>
  <si>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</si>
  <si>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</si>
  <si>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</si>
  <si>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</si>
  <si>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</si>
  <si>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</si>
  <si>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</si>
  <si>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</si>
  <si>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</si>
  <si>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</si>
  <si>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</si>
  <si>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</si>
  <si>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</si>
  <si>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</si>
  <si>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</si>
  <si>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</si>
  <si>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</si>
  <si>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</si>
  <si>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</si>
  <si>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</si>
  <si>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</si>
  <si>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</si>
  <si>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</si>
  <si>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</si>
  <si>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</si>
  <si>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</si>
  <si>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</si>
  <si>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</si>
  <si>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</si>
  <si>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</si>
  <si>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</si>
  <si>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</si>
  <si>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</si>
  <si>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</si>
  <si>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</si>
  <si>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</si>
  <si>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</si>
  <si>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</si>
  <si>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</si>
  <si>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</si>
  <si>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</si>
  <si>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</si>
  <si>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</si>
  <si>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</si>
  <si>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</si>
  <si>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</si>
  <si>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</si>
  <si>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</si>
  <si>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</si>
  <si>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</si>
  <si>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</si>
  <si>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</si>
  <si>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</si>
  <si>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</si>
  <si>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</si>
  <si>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</si>
  <si>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</si>
  <si>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</si>
  <si>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</si>
  <si>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</si>
  <si>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</si>
  <si>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</si>
  <si>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</si>
  <si>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</si>
  <si>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</si>
  <si>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</si>
  <si>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</si>
  <si>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</si>
  <si>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</si>
  <si>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</si>
  <si>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</si>
  <si>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</si>
  <si>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</si>
  <si>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</si>
  <si>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</si>
  <si>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</si>
  <si>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</si>
  <si>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</si>
  <si>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</si>
  <si>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</si>
  <si>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</si>
  <si>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</si>
  <si>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</si>
  <si>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</si>
  <si>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</si>
  <si>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</si>
  <si>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</si>
  <si>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</si>
  <si>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</si>
  <si>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</si>
  <si>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</si>
  <si>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</si>
  <si>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</si>
  <si>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</si>
  <si>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</si>
  <si>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</si>
  <si>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</si>
  <si>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</si>
  <si>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</si>
  <si>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</si>
  <si>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</si>
  <si>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</si>
  <si>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</si>
  <si>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</si>
  <si>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</si>
  <si>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</si>
  <si>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</si>
  <si>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</si>
  <si>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</si>
  <si>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</si>
  <si>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</si>
  <si>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</si>
  <si>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</si>
  <si>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</si>
  <si>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</si>
  <si>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</si>
  <si>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</si>
  <si>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</si>
  <si>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</si>
  <si>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</si>
  <si>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</si>
  <si>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</si>
  <si>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</si>
  <si>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</si>
  <si>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</si>
  <si>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</si>
  <si>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</si>
  <si>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</si>
  <si>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</si>
  <si>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</si>
  <si>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</si>
  <si>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</si>
  <si>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</si>
  <si>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</si>
  <si>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</si>
  <si>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</si>
  <si>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</si>
  <si>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</si>
  <si>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</si>
  <si>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</si>
  <si>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</si>
  <si>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</si>
  <si>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</si>
  <si>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</si>
  <si>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</si>
  <si>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</si>
  <si>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</si>
  <si>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</si>
  <si>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</si>
  <si>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</si>
  <si>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</si>
  <si>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</si>
  <si>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</si>
  <si>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</si>
  <si>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</si>
  <si>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</si>
  <si>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</si>
  <si>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</si>
  <si>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</si>
  <si>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</si>
  <si>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</si>
  <si>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</si>
  <si>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</si>
  <si>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</si>
  <si>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</si>
  <si>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</si>
  <si>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</si>
  <si>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</si>
  <si>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</si>
  <si>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</si>
  <si>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</si>
  <si>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</si>
  <si>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</si>
  <si>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</si>
  <si>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</si>
  <si>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</si>
  <si>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</si>
  <si>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</si>
  <si>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</si>
  <si>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</si>
  <si>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</si>
  <si>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</si>
  <si>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</si>
  <si>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</si>
  <si>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</si>
  <si>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</si>
  <si>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</si>
  <si>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</si>
  <si>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</si>
  <si>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</si>
  <si>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</si>
  <si>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</si>
  <si>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</si>
  <si>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</si>
  <si>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</si>
  <si>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</si>
  <si>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</si>
  <si>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</si>
  <si>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</si>
  <si>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</si>
  <si>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</si>
  <si>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</si>
  <si>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</si>
  <si>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</si>
  <si>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</si>
  <si>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</si>
  <si>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</si>
  <si>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</si>
  <si>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</si>
  <si>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</si>
  <si>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</si>
  <si>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</si>
  <si>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</si>
  <si>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</si>
  <si>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</si>
  <si>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</si>
  <si>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</si>
  <si>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</si>
  <si>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</si>
  <si>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</si>
  <si>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</si>
  <si>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</si>
  <si>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</si>
  <si>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</si>
  <si>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</si>
  <si>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</si>
  <si>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</si>
  <si>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</si>
  <si>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</si>
  <si>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</si>
  <si>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</si>
  <si>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</si>
  <si>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</si>
  <si>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</si>
  <si>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</si>
  <si>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</si>
  <si>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</si>
  <si>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</si>
  <si>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</si>
  <si>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</si>
  <si>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</si>
  <si>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</si>
  <si>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</si>
  <si>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</si>
  <si>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</si>
  <si>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</si>
  <si>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</si>
  <si>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</si>
  <si>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</si>
  <si>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</si>
  <si>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</si>
  <si>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</si>
  <si>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</si>
  <si>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</si>
  <si>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</si>
  <si>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</si>
  <si>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</si>
  <si>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</si>
  <si>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</si>
  <si>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</si>
  <si>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</si>
  <si>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</si>
  <si>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</si>
  <si>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</si>
  <si>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</si>
  <si>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</si>
  <si>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</si>
  <si>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</si>
  <si>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</si>
  <si>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</si>
  <si>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</si>
  <si>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</si>
  <si>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</si>
  <si>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</si>
  <si>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</si>
  <si>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</si>
  <si>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</si>
  <si>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</si>
  <si>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</si>
  <si>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</si>
  <si>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</si>
  <si>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</si>
  <si>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</si>
  <si>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</si>
  <si>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</si>
  <si>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</si>
  <si>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</si>
  <si>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</si>
  <si>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</si>
  <si>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</si>
  <si>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</si>
  <si>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</si>
  <si>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</si>
  <si>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</si>
  <si>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</si>
  <si>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</si>
  <si>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</si>
  <si>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</si>
  <si>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</si>
  <si>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</si>
  <si>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</si>
  <si>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</si>
  <si>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</si>
  <si>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</si>
  <si>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</si>
  <si>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</si>
  <si>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</si>
  <si>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</si>
  <si>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</si>
  <si>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</si>
  <si>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</si>
  <si>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</si>
  <si>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</si>
  <si>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</si>
  <si>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</si>
  <si>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</si>
  <si>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</si>
  <si>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</si>
  <si>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</si>
  <si>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</si>
  <si>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</si>
  <si>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</si>
  <si>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</si>
  <si>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</si>
  <si>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</si>
  <si>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</si>
  <si>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</si>
  <si>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</si>
  <si>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</si>
  <si>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</si>
  <si>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</si>
  <si>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</si>
  <si>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</si>
  <si>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</si>
  <si>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</si>
  <si>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</si>
  <si>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</si>
  <si>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</si>
  <si>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</si>
  <si>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</si>
  <si>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</si>
  <si>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</si>
  <si>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</si>
  <si>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</si>
  <si>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</si>
  <si>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</si>
  <si>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</si>
  <si>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</si>
  <si>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</si>
  <si>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</si>
  <si>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</si>
  <si>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</si>
  <si>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</si>
  <si>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</si>
  <si>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</si>
  <si>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</si>
  <si>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</si>
  <si>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</si>
  <si>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</si>
  <si>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</si>
  <si>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</si>
  <si>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</si>
  <si>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</si>
  <si>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</si>
  <si>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</si>
  <si>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</si>
  <si>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</si>
  <si>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</si>
  <si>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</si>
  <si>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</si>
  <si>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</si>
  <si>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</si>
  <si>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</si>
  <si>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</si>
  <si>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</si>
  <si>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</si>
  <si>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</si>
  <si>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</si>
  <si>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</si>
  <si>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</si>
  <si>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</si>
  <si>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</si>
  <si>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</si>
  <si>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</si>
  <si>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</si>
  <si>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</si>
  <si>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</si>
  <si>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</si>
  <si>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</si>
  <si>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</si>
  <si>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</si>
  <si>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</si>
  <si>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</si>
  <si>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</si>
  <si>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</si>
  <si>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</si>
  <si>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</si>
  <si>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</si>
  <si>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</si>
  <si>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</si>
  <si>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</si>
  <si>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</si>
  <si>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</si>
  <si>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</si>
  <si>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</si>
  <si>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</si>
  <si>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</si>
  <si>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</si>
  <si>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</si>
  <si>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</si>
  <si>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</si>
  <si>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</si>
  <si>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</si>
  <si>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</si>
  <si>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</si>
  <si>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</si>
  <si>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</si>
  <si>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</si>
  <si>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</si>
  <si>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</si>
  <si>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</si>
  <si>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</si>
  <si>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</si>
  <si>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</si>
  <si>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</si>
  <si>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</si>
  <si>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</si>
  <si>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</si>
  <si>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</si>
  <si>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</si>
  <si>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</si>
  <si>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</si>
  <si>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</si>
  <si>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</si>
  <si>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</si>
  <si>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</si>
  <si>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</si>
  <si>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</si>
  <si>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</si>
  <si>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</si>
  <si>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</si>
  <si>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</si>
  <si>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</si>
  <si>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</si>
  <si>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</si>
  <si>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</si>
  <si>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</si>
  <si>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</si>
  <si>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</si>
  <si>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</si>
  <si>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</si>
  <si>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</si>
  <si>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</si>
  <si>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</si>
  <si>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</si>
  <si>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</si>
  <si>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</si>
  <si>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</si>
  <si>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</si>
  <si>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</si>
  <si>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</si>
  <si>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</si>
  <si>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</si>
  <si>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</si>
  <si>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</si>
  <si>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</si>
  <si>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</si>
  <si>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</si>
  <si>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</si>
  <si>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</si>
  <si>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</si>
  <si>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</si>
  <si>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</si>
  <si>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</si>
  <si>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</si>
  <si>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</si>
  <si>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</si>
  <si>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</si>
  <si>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</si>
  <si>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</si>
  <si>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</si>
  <si>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</si>
  <si>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</si>
  <si>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</si>
  <si>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</si>
  <si>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</si>
  <si>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</si>
  <si>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</si>
  <si>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</si>
  <si>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</si>
  <si>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</si>
  <si>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</si>
  <si>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</si>
  <si>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</si>
  <si>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</si>
  <si>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</si>
  <si>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</si>
  <si>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</si>
  <si>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</si>
  <si>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</si>
  <si>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</si>
  <si>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</si>
  <si>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</si>
  <si>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</si>
  <si>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</si>
  <si>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</si>
  <si>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</si>
  <si>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</si>
  <si>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</si>
  <si>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</si>
  <si>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</si>
  <si>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</si>
  <si>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</si>
  <si>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</si>
  <si>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</si>
  <si>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</si>
  <si>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</si>
  <si>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</si>
  <si>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</si>
  <si>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</si>
  <si>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</si>
  <si>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</si>
  <si>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</si>
  <si>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</si>
  <si>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</si>
  <si>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</si>
  <si>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</si>
  <si>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</si>
  <si>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</si>
  <si>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</si>
  <si>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</si>
  <si>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</si>
  <si>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</si>
  <si>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</si>
  <si>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</si>
  <si>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</si>
  <si>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</si>
  <si>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</si>
  <si>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</si>
  <si>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</si>
  <si>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</si>
  <si>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</si>
  <si>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</si>
  <si>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</si>
  <si>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</si>
  <si>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</si>
  <si>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</si>
  <si>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</si>
  <si>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</si>
  <si>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</si>
  <si>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</si>
  <si>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</si>
  <si>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</si>
  <si>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</si>
  <si>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</si>
  <si>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</si>
  <si>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</si>
  <si>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</si>
  <si>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</si>
  <si>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</si>
  <si>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</si>
  <si>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</si>
  <si>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</si>
  <si>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</si>
  <si>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</si>
  <si>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</si>
  <si>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</si>
  <si>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</si>
  <si>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</si>
  <si>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</si>
  <si>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</si>
  <si>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</si>
  <si>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</si>
  <si>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</si>
  <si>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</si>
  <si>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</si>
  <si>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</si>
  <si>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</si>
  <si>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</si>
  <si>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</si>
  <si>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</si>
  <si>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</si>
  <si>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</si>
  <si>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</si>
  <si>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</si>
  <si>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</si>
  <si>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</si>
  <si>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</si>
  <si>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</si>
  <si>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</si>
  <si>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</si>
  <si>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</si>
  <si>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</si>
  <si>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</si>
  <si>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</si>
  <si>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</si>
  <si>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</si>
  <si>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</si>
  <si>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</si>
  <si>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</si>
  <si>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</si>
  <si>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</si>
  <si>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</si>
  <si>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</si>
  <si>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</si>
  <si>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</si>
  <si>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</si>
  <si>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</si>
  <si>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</si>
  <si>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</si>
  <si>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</si>
  <si>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</si>
  <si>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</si>
  <si>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</si>
  <si>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</si>
  <si>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</si>
  <si>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</si>
  <si>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</si>
  <si>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</si>
  <si>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</si>
  <si>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</si>
  <si>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</si>
  <si>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</si>
  <si>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</si>
  <si>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</si>
  <si>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</si>
  <si>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</si>
  <si>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</si>
  <si>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</si>
  <si>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</si>
  <si>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</si>
  <si>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</si>
  <si>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</si>
  <si>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</si>
  <si>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</si>
  <si>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</si>
  <si>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</si>
  <si>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</si>
  <si>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</si>
  <si>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</si>
  <si>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</si>
  <si>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</si>
  <si>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</si>
  <si>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</si>
  <si>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</si>
  <si>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</si>
  <si>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</si>
  <si>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</si>
  <si>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</si>
  <si>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</si>
  <si>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</si>
  <si>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</si>
  <si>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</si>
  <si>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</si>
  <si>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</si>
  <si>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</si>
  <si>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</si>
  <si>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</si>
  <si>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</si>
  <si>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</si>
  <si>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</si>
  <si>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</si>
  <si>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</si>
  <si>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</si>
  <si>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</si>
  <si>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</si>
  <si>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</si>
  <si>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</si>
  <si>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</si>
  <si>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</si>
  <si>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</si>
  <si>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</si>
  <si>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</si>
  <si>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</si>
  <si>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</si>
  <si>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</si>
  <si>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</si>
  <si>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</si>
  <si>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</si>
  <si>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</si>
  <si>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</si>
  <si>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</si>
  <si>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</si>
  <si>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</si>
  <si>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</si>
  <si>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</si>
  <si>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</si>
  <si>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</si>
  <si>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</si>
  <si>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</si>
  <si>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</si>
  <si>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</si>
  <si>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</si>
  <si>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</si>
  <si>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</si>
  <si>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</si>
  <si>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</si>
  <si>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</si>
  <si>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</si>
  <si>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</si>
  <si>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</si>
  <si>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</si>
  <si>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</si>
  <si>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</si>
  <si>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</si>
  <si>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</si>
  <si>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</si>
  <si>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</si>
  <si>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</si>
  <si>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</si>
  <si>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</si>
  <si>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</si>
  <si>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</si>
  <si>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</si>
  <si>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</si>
  <si>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</si>
  <si>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</si>
  <si>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</si>
  <si>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</si>
  <si>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</si>
  <si>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</si>
  <si>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</si>
  <si>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</si>
  <si>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</si>
  <si>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</si>
  <si>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</si>
  <si>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</si>
  <si>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</si>
  <si>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</si>
  <si>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</si>
  <si>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</si>
  <si>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</si>
  <si>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</si>
  <si>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</si>
  <si>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</si>
  <si>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</si>
  <si>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</si>
  <si>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</si>
  <si>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</si>
  <si>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</si>
  <si>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</si>
  <si>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</si>
  <si>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</si>
  <si>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</si>
  <si>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</si>
  <si>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</si>
  <si>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</si>
  <si>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</si>
  <si>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</si>
  <si>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</si>
  <si>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</si>
  <si>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</si>
  <si>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</si>
  <si>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</si>
  <si>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</si>
  <si>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</si>
  <si>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</si>
  <si>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</si>
  <si>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</si>
  <si>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</si>
  <si>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</si>
  <si>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</si>
  <si>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</si>
  <si>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</si>
  <si>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</si>
  <si>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</si>
  <si>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</si>
  <si>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</si>
  <si>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</si>
  <si>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</si>
  <si>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</si>
  <si>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</si>
  <si>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</si>
  <si>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</si>
  <si>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</si>
  <si>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</si>
  <si>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</si>
  <si>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</si>
  <si>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</si>
  <si>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</si>
  <si>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</si>
  <si>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</si>
  <si>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</si>
  <si>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</si>
  <si>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</si>
  <si>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</si>
  <si>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</si>
  <si>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</si>
  <si>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</si>
  <si>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</si>
  <si>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</si>
  <si>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</si>
  <si>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</si>
  <si>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</si>
  <si>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</si>
  <si>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</si>
  <si>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</si>
  <si>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</si>
  <si>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</si>
  <si>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</si>
  <si>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</si>
  <si>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</si>
  <si>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</si>
  <si>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</si>
  <si>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</si>
  <si>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</si>
  <si>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</si>
  <si>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</si>
  <si>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</si>
  <si>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</si>
  <si>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</si>
  <si>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</si>
  <si>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</si>
  <si>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</si>
  <si>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</si>
  <si>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</si>
  <si>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</si>
  <si>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</si>
  <si>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</si>
  <si>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</si>
  <si>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</si>
  <si>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</si>
  <si>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</si>
  <si>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</si>
  <si>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</si>
  <si>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</si>
  <si>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</si>
  <si>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</si>
  <si>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</si>
  <si>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</si>
  <si>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</si>
  <si>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</si>
  <si>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</si>
  <si>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</si>
  <si>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</si>
  <si>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</si>
  <si>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</si>
  <si>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</si>
  <si>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</si>
  <si>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</si>
  <si>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</si>
  <si>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</si>
  <si>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</si>
  <si>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</si>
  <si>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</si>
  <si>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</si>
  <si>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</si>
  <si>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</si>
  <si>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</si>
  <si>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</si>
  <si>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</si>
  <si>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</si>
  <si>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</si>
  <si>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</si>
  <si>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</si>
  <si>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</si>
  <si>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</si>
  <si>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</si>
  <si>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</si>
  <si>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</si>
  <si>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</si>
  <si>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</si>
  <si>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</si>
  <si>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</si>
  <si>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</si>
  <si>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</si>
  <si>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</si>
  <si>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</si>
  <si>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</si>
  <si>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</si>
  <si>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</si>
  <si>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</si>
  <si>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</si>
  <si>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</si>
  <si>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</si>
  <si>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</si>
  <si>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</si>
  <si>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</si>
  <si>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</si>
  <si>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</si>
  <si>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</si>
  <si>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</si>
  <si>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</si>
  <si>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</si>
  <si>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</si>
  <si>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</si>
  <si>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</si>
  <si>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</si>
  <si>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</si>
  <si>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</si>
  <si>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</si>
  <si>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</si>
  <si>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</si>
  <si>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</si>
  <si>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</si>
  <si>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</si>
  <si>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</si>
  <si>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</si>
  <si>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</si>
  <si>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</si>
  <si>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</si>
  <si>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</si>
  <si>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</si>
  <si>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</si>
  <si>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</si>
  <si>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</si>
  <si>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</si>
  <si>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</si>
  <si>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</si>
  <si>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</si>
  <si>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</si>
  <si>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</si>
  <si>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</si>
  <si>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</si>
  <si>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</si>
  <si>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</si>
  <si>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</si>
  <si>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</si>
  <si>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</si>
  <si>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</si>
  <si>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</si>
  <si>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</si>
  <si>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</si>
  <si>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</si>
  <si>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</si>
  <si>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</si>
  <si>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</si>
  <si>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</si>
  <si>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</si>
  <si>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</si>
  <si>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</si>
  <si>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</si>
  <si>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</si>
  <si>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</si>
  <si>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</si>
  <si>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</si>
  <si>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</si>
  <si>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</si>
  <si>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</si>
  <si>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</si>
  <si>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</si>
  <si>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</si>
  <si>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</si>
  <si>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</si>
  <si>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</si>
  <si>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</si>
  <si>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</si>
  <si>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</si>
  <si>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</si>
  <si>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</si>
  <si>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</si>
  <si>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</si>
  <si>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</si>
  <si>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</si>
  <si>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</si>
  <si>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</si>
  <si>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</si>
  <si>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</si>
  <si>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</si>
  <si>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</si>
  <si>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</si>
  <si>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</si>
  <si>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</si>
  <si>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</si>
  <si>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</si>
  <si>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</si>
  <si>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</si>
  <si>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</si>
  <si>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</si>
  <si>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</si>
  <si>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</si>
  <si>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</si>
  <si>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</si>
  <si>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</si>
  <si>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</si>
  <si>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</si>
  <si>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</si>
  <si>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</si>
  <si>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</si>
  <si>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</si>
  <si>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</si>
  <si>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</si>
  <si>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</si>
  <si>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</si>
  <si>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</si>
  <si>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</si>
  <si>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</si>
  <si>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</si>
  <si>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</si>
  <si>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</si>
  <si>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</si>
  <si>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</si>
  <si>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</si>
  <si>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</si>
  <si>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</si>
  <si>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</si>
  <si>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</si>
  <si>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</si>
  <si>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</si>
  <si>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</si>
  <si>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</si>
  <si>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</si>
  <si>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</si>
  <si>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</si>
  <si>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</si>
  <si>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</si>
  <si>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</si>
  <si>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</si>
  <si>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</si>
  <si>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</si>
  <si>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</si>
  <si>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</si>
  <si>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</si>
  <si>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</si>
  <si>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</si>
  <si>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</si>
  <si>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</si>
  <si>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</si>
  <si>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</si>
  <si>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</si>
  <si>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</si>
  <si>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</si>
  <si>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</si>
  <si>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</si>
  <si>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</si>
  <si>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</si>
  <si>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</si>
  <si>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</si>
  <si>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</si>
  <si>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</si>
  <si>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</si>
  <si>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</si>
  <si>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</si>
  <si>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</si>
  <si>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</si>
  <si>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</si>
  <si>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</si>
  <si>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</si>
  <si>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</si>
  <si>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</si>
  <si>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</si>
  <si>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</si>
  <si>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</si>
  <si>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</si>
  <si>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</si>
  <si>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</si>
  <si>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</si>
  <si>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</si>
  <si>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</si>
  <si>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</si>
  <si>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</si>
  <si>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</si>
  <si>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</si>
  <si>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</si>
  <si>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</si>
  <si>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</si>
  <si>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</si>
  <si>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</si>
  <si>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</si>
  <si>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</si>
  <si>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</si>
  <si>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</si>
  <si>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</si>
  <si>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</si>
  <si>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</si>
  <si>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</si>
  <si>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</si>
  <si>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</si>
  <si>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</si>
  <si>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</si>
  <si>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</si>
  <si>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</si>
  <si>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</si>
  <si>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</si>
  <si>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</si>
  <si>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</si>
  <si>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</si>
  <si>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</si>
  <si>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</si>
  <si>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</si>
  <si>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</si>
  <si>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</si>
  <si>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</si>
  <si>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</si>
  <si>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</si>
  <si>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</si>
  <si>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</si>
  <si>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</si>
  <si>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</si>
  <si>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</si>
  <si>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</si>
  <si>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</si>
  <si>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</si>
  <si>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</si>
  <si>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</si>
  <si>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</si>
  <si>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</si>
  <si>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</si>
  <si>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</si>
  <si>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</si>
  <si>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</si>
  <si>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</si>
  <si>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</si>
  <si>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</si>
  <si>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</si>
  <si>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</si>
  <si>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</si>
  <si>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</si>
  <si>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</si>
  <si>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</si>
  <si>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</si>
  <si>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</si>
  <si>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</si>
  <si>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</si>
  <si>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</si>
  <si>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</si>
  <si>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</si>
  <si>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</si>
  <si>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</si>
  <si>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</si>
  <si>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</si>
  <si>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</si>
  <si>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</si>
  <si>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</si>
  <si>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</si>
  <si>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</si>
  <si>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</si>
  <si>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</si>
  <si>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</si>
  <si>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</si>
  <si>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</si>
  <si>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</si>
  <si>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</si>
  <si>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</si>
  <si>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</si>
  <si>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</si>
  <si>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</si>
  <si>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</si>
  <si>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</si>
  <si>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</si>
  <si>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</si>
  <si>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</si>
  <si>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</si>
  <si>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</si>
  <si>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</si>
  <si>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</si>
  <si>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</si>
  <si>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</si>
  <si>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</si>
  <si>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</si>
  <si>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</si>
  <si>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</si>
  <si>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</si>
  <si>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</si>
  <si>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</si>
  <si>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</si>
  <si>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</si>
  <si>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</si>
  <si>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</si>
  <si>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</si>
  <si>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</si>
  <si>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</si>
  <si>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</si>
  <si>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</si>
  <si>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</si>
  <si>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</si>
  <si>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</si>
  <si>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</si>
  <si>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</si>
  <si>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</si>
  <si>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</si>
  <si>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</si>
  <si>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</si>
  <si>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</si>
  <si>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</si>
  <si>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</si>
  <si>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</si>
  <si>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</si>
  <si>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</si>
  <si>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</si>
  <si>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</si>
  <si>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</si>
  <si>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</si>
  <si>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</si>
  <si>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</si>
  <si>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</si>
  <si>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</si>
  <si>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</si>
  <si>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</si>
  <si>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</si>
  <si>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</si>
  <si>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</si>
  <si>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</si>
  <si>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</si>
  <si>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</si>
  <si>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</si>
  <si>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</si>
  <si>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</si>
  <si>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</si>
  <si>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</si>
  <si>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</si>
  <si>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</si>
  <si>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</si>
  <si>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</si>
  <si>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</si>
  <si>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</si>
  <si>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</si>
  <si>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</si>
  <si>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</si>
  <si>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</si>
  <si>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</si>
  <si>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</si>
  <si>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</si>
  <si>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</si>
  <si>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</si>
  <si>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</si>
  <si>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</si>
  <si>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</si>
  <si>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</si>
  <si>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</si>
  <si>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</si>
  <si>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</si>
  <si>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</si>
  <si>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</si>
  <si>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</si>
  <si>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</si>
  <si>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</si>
  <si>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</si>
  <si>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</si>
  <si>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</si>
  <si>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</si>
  <si>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</si>
  <si>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</si>
  <si>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</si>
  <si>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</si>
  <si>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</si>
  <si>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</si>
  <si>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</si>
  <si>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</si>
  <si>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</si>
  <si>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</si>
  <si>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</si>
  <si>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</si>
  <si>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</si>
  <si>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</si>
  <si>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</si>
  <si>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</si>
  <si>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</si>
  <si>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</si>
  <si>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</si>
  <si>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</si>
  <si>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</si>
  <si>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</si>
  <si>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</si>
  <si>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</si>
  <si>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</si>
  <si>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</si>
  <si>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</si>
  <si>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</si>
  <si>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</si>
  <si>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</si>
  <si>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</si>
  <si>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</si>
  <si>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</si>
  <si>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</si>
  <si>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</si>
  <si>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</si>
  <si>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</si>
  <si>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</si>
  <si>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</si>
  <si>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</si>
  <si>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</si>
  <si>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</si>
  <si>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</si>
  <si>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</si>
  <si>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</si>
  <si>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</si>
  <si>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</si>
  <si>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</si>
  <si>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</si>
  <si>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</si>
  <si>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</si>
  <si>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</si>
  <si>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</si>
  <si>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</si>
  <si>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</si>
  <si>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</si>
  <si>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</si>
  <si>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</si>
  <si>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</si>
  <si>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</si>
  <si>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</si>
  <si>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</si>
  <si>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</si>
  <si>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</si>
  <si>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</si>
  <si>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</si>
  <si>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</si>
  <si>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</si>
  <si>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</si>
  <si>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</si>
  <si>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</si>
  <si>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</si>
  <si>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</si>
  <si>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</si>
  <si>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</si>
  <si>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</si>
  <si>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</si>
  <si>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</si>
  <si>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</si>
  <si>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</si>
  <si>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</si>
  <si>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</si>
  <si>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</si>
  <si>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</si>
  <si>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</si>
  <si>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</si>
  <si>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</si>
  <si>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</si>
  <si>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</si>
  <si>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</si>
  <si>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</si>
  <si>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</si>
  <si>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</si>
  <si>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</si>
  <si>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</si>
  <si>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</si>
  <si>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</si>
  <si>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</si>
  <si>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</si>
  <si>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</si>
  <si>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</si>
  <si>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</si>
  <si>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</si>
  <si>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</si>
  <si>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</si>
  <si>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</si>
  <si>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</si>
  <si>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</si>
  <si>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</si>
  <si>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</si>
  <si>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</si>
  <si>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</si>
  <si>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</si>
  <si>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</si>
  <si>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</si>
  <si>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</si>
  <si>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</si>
  <si>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</si>
  <si>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</si>
  <si>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</si>
  <si>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</si>
  <si>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</si>
  <si>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</si>
  <si>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</si>
  <si>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</si>
  <si>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</si>
  <si>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</si>
  <si>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</si>
  <si>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</si>
  <si>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</si>
  <si>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</si>
  <si>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</si>
  <si>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</si>
  <si>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</si>
  <si>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</si>
  <si>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</si>
  <si>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</si>
  <si>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</si>
  <si>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</si>
  <si>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</si>
  <si>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</si>
  <si>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</si>
  <si>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</si>
  <si>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</si>
  <si>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</si>
  <si>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</si>
  <si>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</si>
  <si>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</si>
  <si>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</si>
  <si>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</si>
  <si>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</si>
  <si>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</si>
  <si>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</si>
  <si>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</si>
  <si>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</si>
  <si>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</si>
  <si>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</si>
  <si>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</si>
  <si>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</si>
  <si>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</si>
  <si>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</si>
  <si>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</si>
  <si>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</si>
  <si>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</si>
  <si>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</si>
  <si>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</si>
  <si>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</si>
  <si>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</si>
  <si>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</si>
  <si>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</si>
  <si>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</si>
  <si>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</si>
  <si>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</si>
  <si>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</si>
  <si>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</si>
  <si>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</si>
  <si>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</si>
  <si>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</si>
  <si>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</si>
  <si>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</si>
  <si>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</si>
  <si>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</si>
  <si>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</si>
  <si>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</si>
  <si>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</si>
  <si>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</si>
  <si>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</si>
  <si>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</si>
  <si>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</si>
  <si>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</si>
  <si>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</si>
  <si>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</si>
  <si>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</si>
  <si>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</si>
  <si>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</si>
  <si>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</si>
  <si>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</si>
  <si>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</si>
  <si>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</si>
  <si>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</si>
  <si>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</si>
  <si>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</si>
  <si>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</si>
  <si>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</si>
  <si>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</si>
  <si>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</si>
  <si>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</si>
  <si>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</si>
  <si>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</si>
  <si>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</si>
  <si>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</si>
  <si>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</si>
  <si>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</si>
  <si>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</si>
  <si>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</si>
  <si>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</si>
  <si>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</si>
  <si>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</si>
  <si>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</si>
  <si>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</si>
  <si>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</si>
  <si>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</si>
  <si>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</si>
  <si>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</si>
  <si>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</si>
  <si>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</si>
  <si>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</si>
  <si>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</si>
  <si>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</si>
  <si>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</si>
  <si>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</si>
  <si>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</si>
  <si>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</si>
  <si>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</si>
  <si>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</si>
  <si>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</si>
  <si>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</si>
  <si>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</si>
  <si>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</si>
  <si>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</si>
  <si>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</si>
  <si>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</si>
  <si>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</si>
  <si>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</si>
  <si>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</si>
  <si>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</si>
  <si>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</si>
  <si>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</si>
  <si>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</si>
  <si>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</si>
  <si>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</si>
  <si>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</si>
  <si>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</si>
  <si>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</si>
  <si>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</si>
  <si>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</si>
  <si>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</si>
  <si>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</si>
  <si>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</si>
  <si>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</si>
  <si>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</si>
  <si>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</si>
  <si>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</si>
  <si>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</si>
  <si>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</si>
  <si>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</si>
  <si>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</si>
  <si>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</si>
  <si>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</si>
  <si>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</si>
  <si>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</si>
  <si>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</si>
  <si>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</si>
  <si>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</si>
  <si>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</si>
  <si>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</si>
  <si>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</si>
  <si>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</si>
  <si>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</si>
  <si>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</si>
  <si>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</si>
  <si>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</si>
  <si>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</si>
  <si>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</si>
  <si>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</si>
  <si>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</si>
  <si>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</si>
  <si>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</si>
  <si>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</si>
  <si>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</si>
  <si>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</si>
  <si>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</si>
  <si>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</si>
  <si>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</si>
  <si>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</si>
  <si>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</si>
  <si>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</si>
  <si>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</si>
  <si>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</si>
  <si>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</si>
  <si>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</si>
  <si>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</si>
  <si>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</si>
  <si>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</si>
  <si>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</si>
  <si>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</si>
  <si>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</si>
  <si>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</si>
  <si>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</si>
  <si>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</si>
  <si>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</si>
  <si>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</si>
  <si>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</si>
  <si>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</si>
  <si>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</si>
  <si>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</si>
  <si>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</si>
  <si>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</si>
  <si>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</si>
  <si>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</si>
  <si>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</si>
  <si>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</si>
  <si>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</si>
  <si>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</si>
  <si>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</si>
  <si>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</si>
  <si>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</si>
  <si>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</si>
  <si>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</si>
  <si>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</si>
  <si>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</si>
  <si>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</si>
  <si>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</si>
  <si>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</si>
  <si>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</si>
  <si>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</si>
  <si>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</si>
  <si>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</si>
  <si>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</si>
  <si>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</si>
  <si>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</si>
  <si>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</si>
  <si>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</si>
  <si>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</si>
  <si>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</si>
  <si>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</si>
  <si>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</si>
  <si>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</si>
  <si>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</si>
  <si>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</si>
  <si>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</si>
  <si>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</si>
  <si>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</si>
  <si>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</si>
  <si>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</si>
  <si>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</si>
  <si>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</si>
  <si>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</si>
  <si>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</si>
  <si>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</si>
  <si>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</si>
  <si>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</si>
  <si>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</si>
  <si>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</si>
  <si>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</si>
  <si>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</si>
  <si>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</si>
  <si>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</si>
  <si>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</si>
  <si>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</si>
  <si>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</si>
  <si>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</si>
  <si>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</si>
  <si>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</si>
  <si>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</si>
  <si>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</si>
  <si>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</si>
  <si>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</si>
  <si>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</si>
  <si>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</si>
  <si>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</si>
  <si>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</si>
  <si>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</si>
  <si>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</si>
  <si>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</si>
  <si>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</si>
  <si>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</si>
  <si>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</si>
  <si>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</si>
  <si>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</si>
  <si>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</si>
  <si>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</si>
  <si>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</si>
  <si>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</si>
  <si>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</si>
  <si>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</si>
  <si>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</si>
  <si>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</si>
  <si>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</si>
  <si>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</si>
  <si>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</si>
  <si>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</si>
  <si>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</si>
  <si>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</si>
  <si>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</si>
  <si>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</si>
  <si>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</si>
  <si>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</si>
  <si>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</si>
  <si>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</si>
  <si>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</si>
  <si>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</si>
  <si>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</si>
  <si>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</si>
  <si>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</si>
  <si>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</si>
  <si>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</si>
  <si>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</si>
  <si>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</si>
  <si>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</si>
  <si>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</si>
  <si>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</si>
  <si>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</si>
  <si>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</si>
  <si>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</si>
  <si>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</si>
  <si>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</si>
  <si>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</si>
  <si>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</si>
  <si>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</si>
  <si>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</si>
  <si>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</si>
  <si>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</si>
  <si>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</si>
  <si>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</si>
  <si>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</si>
  <si>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</si>
  <si>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</si>
  <si>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</si>
  <si>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</si>
  <si>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</si>
  <si>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</si>
  <si>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</si>
  <si>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</si>
  <si>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</si>
  <si>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</si>
  <si>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</si>
  <si>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</si>
  <si>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</si>
  <si>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</si>
  <si>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</si>
  <si>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</si>
  <si>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</si>
  <si>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</si>
  <si>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</si>
  <si>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</si>
  <si>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</si>
  <si>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</si>
  <si>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</si>
  <si>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</si>
  <si>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</si>
  <si>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</si>
  <si>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</si>
  <si>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</si>
  <si>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</si>
  <si>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</si>
  <si>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</si>
  <si>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</si>
  <si>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</si>
  <si>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</si>
  <si>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</si>
  <si>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</si>
  <si>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</si>
  <si>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</si>
  <si>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</si>
  <si>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</si>
  <si>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</si>
  <si>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</si>
  <si>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</si>
  <si>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</si>
  <si>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</si>
  <si>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</si>
  <si>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</si>
  <si>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</si>
  <si>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</si>
  <si>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</si>
  <si>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</si>
  <si>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</si>
  <si>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</si>
  <si>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</si>
  <si>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</si>
  <si>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</si>
  <si>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</si>
  <si>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</si>
  <si>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</si>
  <si>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</si>
  <si>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</si>
  <si>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</si>
  <si>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</si>
  <si>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</si>
  <si>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</si>
  <si>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</si>
  <si>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</si>
  <si>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</si>
  <si>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</si>
  <si>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</si>
  <si>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</si>
  <si>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</si>
  <si>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</si>
  <si>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</si>
  <si>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</si>
  <si>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</si>
  <si>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</si>
  <si>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</si>
  <si>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</si>
  <si>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</si>
  <si>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</si>
  <si>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</si>
  <si>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</si>
  <si>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</si>
  <si>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</si>
  <si>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</si>
  <si>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</si>
  <si>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</si>
  <si>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</si>
  <si>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</si>
  <si>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</si>
  <si>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</si>
  <si>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</si>
  <si>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</si>
  <si>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</si>
  <si>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</si>
  <si>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</si>
  <si>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</si>
  <si>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</si>
  <si>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</si>
  <si>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</si>
  <si>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</si>
  <si>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</si>
  <si>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</si>
  <si>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</si>
  <si>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</si>
  <si>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</si>
  <si>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</si>
  <si>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</si>
  <si>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</si>
  <si>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</si>
  <si>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</si>
  <si>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</si>
  <si>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</si>
  <si>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</si>
  <si>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</si>
  <si>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</si>
  <si>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</si>
  <si>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</si>
  <si>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</si>
  <si>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</si>
  <si>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</si>
  <si>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</si>
  <si>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</si>
  <si>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</si>
  <si>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</si>
  <si>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</si>
  <si>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</si>
  <si>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</si>
  <si>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</si>
  <si>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</si>
  <si>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</si>
  <si>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</si>
  <si>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</si>
  <si>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</si>
  <si>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</si>
  <si>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</si>
  <si>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</si>
  <si>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</si>
  <si>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</si>
  <si>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</si>
  <si>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</si>
  <si>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</si>
  <si>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</si>
  <si>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</si>
  <si>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</si>
  <si>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</si>
  <si>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</si>
  <si>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</si>
  <si>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</si>
  <si>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</si>
  <si>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</si>
  <si>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</si>
  <si>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</si>
  <si>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</si>
  <si>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</si>
  <si>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</si>
  <si>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</si>
  <si>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</si>
  <si>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</si>
  <si>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</si>
  <si>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</si>
  <si>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</si>
  <si>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</si>
  <si>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</si>
  <si>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</si>
  <si>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</si>
  <si>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</si>
  <si>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</si>
  <si>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</si>
  <si>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</si>
  <si>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Rock Island</t>
  </si>
  <si>
    <t>1275 Avenue of the Cities</t>
  </si>
  <si>
    <t>East Moline</t>
  </si>
  <si>
    <t>jmorrow@uths.net</t>
  </si>
  <si>
    <t>Dr. Jay Morrow</t>
  </si>
  <si>
    <t>309-752-1622</t>
  </si>
  <si>
    <t>309-752-1615</t>
  </si>
  <si>
    <t>Bohnsack &amp; Frommelt, LLP</t>
  </si>
  <si>
    <t>Sarah Bohnsack</t>
  </si>
  <si>
    <t>1500 River Drive, Suite 200</t>
  </si>
  <si>
    <t>Moline</t>
  </si>
  <si>
    <t>IL</t>
  </si>
  <si>
    <t>563-343-9595</t>
  </si>
  <si>
    <t>066.004397</t>
  </si>
  <si>
    <t>Bohnsack &amp; Frommelt LLP</t>
  </si>
  <si>
    <t>Quad-City CTF Consortium (QCC TEC)</t>
  </si>
  <si>
    <t>UTHS District 30</t>
  </si>
  <si>
    <t>ACC Participating Districts</t>
  </si>
  <si>
    <t>QCC TEC, UTHS District 30</t>
  </si>
  <si>
    <t>QCC TEC</t>
  </si>
  <si>
    <t>X</t>
  </si>
  <si>
    <t>Ed- Instructional- Purchased Service</t>
  </si>
  <si>
    <t>Ed- Instructional- Other</t>
  </si>
  <si>
    <t>Support Services- General Administration- Purchased Serv</t>
  </si>
  <si>
    <t>Support Services- Business- Purchased Service</t>
  </si>
  <si>
    <t>State National Insurance</t>
  </si>
  <si>
    <t>Advanced Business Systems</t>
  </si>
  <si>
    <t>Illinois Public Risk Fund</t>
  </si>
  <si>
    <t>Auto Refinish Solutions</t>
  </si>
  <si>
    <t>All Brand Compressor Service</t>
  </si>
  <si>
    <t>Tri-State Fire Control, Inc.</t>
  </si>
  <si>
    <t>Toum Plumbing, LLC</t>
  </si>
  <si>
    <t>KJD Concrete</t>
  </si>
  <si>
    <t>Servpro</t>
  </si>
  <si>
    <t>Mid-American Energy</t>
  </si>
  <si>
    <t>Ramza Insurance Group, Inc.</t>
  </si>
  <si>
    <t>Aro-O-Lite</t>
  </si>
  <si>
    <t xml:space="preserve">Praxair Distribution, Inc. </t>
  </si>
  <si>
    <t>Mercer Health &amp; Benefit Administration</t>
  </si>
  <si>
    <t>United Township High School</t>
  </si>
  <si>
    <t>New Style Hair Academy</t>
  </si>
  <si>
    <t>The Dispatch</t>
  </si>
  <si>
    <t>City of East Moline</t>
  </si>
  <si>
    <t>Anderson Repair Service</t>
  </si>
  <si>
    <t>Republic Services</t>
  </si>
  <si>
    <t>Sarah@bohnsackfrommelt.com</t>
  </si>
  <si>
    <t>Of the federal expenditures presented in the schedule, ACC provided federal awards to subrecipients as follows:</t>
  </si>
  <si>
    <t>The accompanying Schedule of Expenditures of Federal Awards includes the federal grant activity of United Township Area Career Center (ACC) and is presented on the GAAP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</si>
  <si>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</si>
  <si>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ACC and </t>
    </r>
    <r>
      <rPr>
        <b/>
        <sz val="9"/>
        <rFont val="Calibri"/>
        <family val="2"/>
        <scheme val="minor"/>
      </rPr>
      <t>should be</t>
    </r>
    <r>
      <rPr>
        <sz val="9"/>
        <rFont val="Calibri"/>
        <family val="2"/>
        <scheme val="minor"/>
      </rPr>
      <t xml:space="preserve"> included in the Schedule of Expenditures of Federal Awards:</t>
    </r>
  </si>
  <si>
    <t>Unmodified</t>
  </si>
  <si>
    <t>N/A</t>
  </si>
  <si>
    <t xml:space="preserve">  United Twp Area Career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</si>
</sst>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3980584</xdr:colOff>
          <xdr:row>4</xdr:row>
          <xdr:rowOff>10391</xdr:rowOff>
        </xdr:from>
        <xdr:to>
          <xdr:col>3</xdr:col>
          <xdr:colOff>157595</xdr:colOff>
          <xdr:row>8</xdr:row>
          <xdr:rowOff>49357</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4</xdr:row>
          <xdr:rowOff>10391</xdr:rowOff>
        </xdr:from>
        <xdr:to>
          <xdr:col>5</xdr:col>
          <xdr:colOff>150668</xdr:colOff>
          <xdr:row>8</xdr:row>
          <xdr:rowOff>49357</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594880</xdr:colOff>
          <xdr:row>4</xdr:row>
          <xdr:rowOff>10391</xdr:rowOff>
        </xdr:from>
        <xdr:to>
          <xdr:col>7</xdr:col>
          <xdr:colOff>143741</xdr:colOff>
          <xdr:row>8</xdr:row>
          <xdr:rowOff>49357</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2000</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2048</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8"/>
      <c r="V10" s="2088"/>
      <c r="W10" s="2088"/>
      <c r="X10" s="2088"/>
      <c r="Y10" s="2088"/>
      <c r="Z10" s="2088"/>
      <c r="AA10" s="2094"/>
    </row>
    <row r="11" spans="1:32" ht="14.25" customHeight="1" x14ac:dyDescent="0.2">
      <c r="A11" s="2148" t="s">
        <v>949</v>
      </c>
      <c r="B11" s="2149"/>
      <c r="C11" s="2149"/>
      <c r="D11" s="2149"/>
      <c r="E11" s="2149"/>
      <c r="F11" s="2149"/>
      <c r="G11" s="2149"/>
      <c r="H11" s="2150"/>
      <c r="I11" s="27"/>
      <c r="J11" s="71"/>
      <c r="K11" s="27"/>
      <c r="O11" s="144"/>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t="s">
        <v>2069</v>
      </c>
      <c r="P12" s="97" t="s">
        <v>200</v>
      </c>
      <c r="Q12" s="71"/>
      <c r="R12" s="30"/>
      <c r="S12" s="30"/>
      <c r="T12" s="82" t="s">
        <v>263</v>
      </c>
      <c r="U12" s="48"/>
      <c r="V12" s="48"/>
      <c r="W12" s="48"/>
      <c r="X12" s="48"/>
      <c r="Y12" s="43"/>
      <c r="Z12" s="43"/>
      <c r="AA12" s="44"/>
    </row>
    <row r="13" spans="1:32" ht="13.5" customHeight="1" x14ac:dyDescent="0.2">
      <c r="A13" s="2100">
        <v>49081030041</v>
      </c>
      <c r="B13" s="2101"/>
      <c r="C13" s="2101"/>
      <c r="D13" s="2101"/>
      <c r="E13" s="2101"/>
      <c r="F13" s="2101"/>
      <c r="G13" s="2101"/>
      <c r="H13" s="2102"/>
      <c r="I13" s="31"/>
      <c r="J13" s="30"/>
      <c r="K13" s="28"/>
      <c r="L13" s="30"/>
      <c r="M13" s="30"/>
      <c r="N13" s="30"/>
      <c r="O13" s="30"/>
      <c r="P13" s="30"/>
      <c r="Q13" s="30"/>
      <c r="R13" s="30"/>
      <c r="S13" s="30"/>
      <c r="T13" s="2106" t="s">
        <v>2056</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2049</v>
      </c>
      <c r="B15" s="2104"/>
      <c r="C15" s="2104"/>
      <c r="D15" s="2104"/>
      <c r="E15" s="2104"/>
      <c r="F15" s="2104"/>
      <c r="G15" s="2104"/>
      <c r="H15" s="2105"/>
      <c r="T15" s="2110" t="s">
        <v>2057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2101</v>
      </c>
      <c r="B17" s="2074"/>
      <c r="C17" s="2074"/>
      <c r="D17" s="2074"/>
      <c r="E17" s="2074"/>
      <c r="F17" s="2074"/>
      <c r="G17" s="2074"/>
      <c r="H17" s="2099"/>
      <c r="T17" s="2117" t="s">
        <v>2058</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2050</v>
      </c>
      <c r="B19" s="2059"/>
      <c r="C19" s="2059"/>
      <c r="D19" s="2059"/>
      <c r="E19" s="2059"/>
      <c r="F19" s="2059"/>
      <c r="G19" s="2059"/>
      <c r="H19" s="2039"/>
      <c r="I19" s="30"/>
      <c r="J19" s="96"/>
      <c r="K19" s="40"/>
      <c r="L19" s="38"/>
      <c r="M19" s="109" t="s">
        <v>312</v>
      </c>
      <c r="P19" s="27"/>
      <c r="Q19" s="27"/>
      <c r="R19" s="27"/>
      <c r="S19" s="31"/>
      <c r="T19" s="2103" t="s">
        <v>2059</v>
      </c>
      <c r="U19" s="2038"/>
      <c r="V19" s="2038"/>
      <c r="W19" s="2039"/>
      <c r="X19" s="2115" t="s">
        <v>2060</v>
      </c>
      <c r="Y19" s="2116"/>
      <c r="Z19" s="2113">
        <v>61265</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2051</v>
      </c>
      <c r="B21" s="2038"/>
      <c r="C21" s="2038"/>
      <c r="D21" s="2038"/>
      <c r="E21" s="2038"/>
      <c r="F21" s="2038"/>
      <c r="G21" s="2038"/>
      <c r="H21" s="2039"/>
      <c r="I21" s="2093" t="s">
        <v>673</v>
      </c>
      <c r="J21" s="2088"/>
      <c r="K21" s="2088"/>
      <c r="L21" s="2088"/>
      <c r="M21" s="2088"/>
      <c r="N21" s="2088"/>
      <c r="O21" s="2088"/>
      <c r="P21" s="2088"/>
      <c r="Q21" s="2088"/>
      <c r="R21" s="2088"/>
      <c r="S21" s="2094"/>
      <c r="T21" s="2129" t="s">
        <v>2061</v>
      </c>
      <c r="U21" s="2130"/>
      <c r="V21" s="2130"/>
      <c r="W21" s="2130"/>
      <c r="X21" s="2135"/>
      <c r="Y21" s="2136"/>
      <c r="Z21" s="2136"/>
      <c r="AA21" s="2137"/>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2052</v>
      </c>
      <c r="B23" s="2091"/>
      <c r="C23" s="2091"/>
      <c r="D23" s="2091"/>
      <c r="E23" s="2091"/>
      <c r="F23" s="2091"/>
      <c r="G23" s="2091"/>
      <c r="H23" s="2092"/>
      <c r="T23" s="2127" t="s">
        <v>2062</v>
      </c>
      <c r="U23" s="2128"/>
      <c r="V23" s="2128"/>
      <c r="W23" s="2128"/>
      <c r="X23" s="2132">
        <v>44530</v>
      </c>
      <c r="Y23" s="2133"/>
      <c r="Z23" s="2133"/>
      <c r="AA23" s="2134"/>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61244</v>
      </c>
      <c r="B25" s="2038"/>
      <c r="C25" s="2038"/>
      <c r="D25" s="2038"/>
      <c r="E25" s="2038"/>
      <c r="F25" s="2038"/>
      <c r="G25" s="2038"/>
      <c r="H25" s="2039"/>
      <c r="I25" s="110"/>
      <c r="J25" s="2062"/>
      <c r="K25" s="2062"/>
      <c r="L25" s="2062"/>
      <c r="M25" s="2062"/>
      <c r="N25" s="2062"/>
      <c r="O25" s="2062"/>
      <c r="P25" s="2062"/>
      <c r="Q25" s="2062"/>
      <c r="R25" s="2062"/>
      <c r="S25" s="2063"/>
      <c r="T25" s="2124" t="s">
        <v>2094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99"/>
      <c r="K29" s="28" t="s">
        <v>572</v>
      </c>
      <c r="L29" s="144" t="s">
        <v>2048</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2048</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2053</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2052</v>
      </c>
      <c r="B40" s="2052"/>
      <c r="C40" s="2053"/>
      <c r="D40" s="2053"/>
      <c r="E40" s="2053"/>
      <c r="F40" s="2054"/>
      <c r="G40" s="2054"/>
      <c r="H40" s="2055"/>
      <c r="I40" s="2076"/>
      <c r="J40" s="2077"/>
      <c r="K40" s="2077"/>
      <c r="L40" s="2077"/>
      <c r="M40" s="2077"/>
      <c r="N40" s="2077"/>
      <c r="O40" s="2077"/>
      <c r="P40" s="2077"/>
      <c r="Q40" s="2077"/>
      <c r="R40" s="2077"/>
      <c r="S40" s="2078"/>
      <c r="T40" s="2076"/>
      <c r="U40" s="2131"/>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2054</v>
      </c>
      <c r="B42" s="2057"/>
      <c r="C42" s="2058"/>
      <c r="D42" s="2056" t="s">
        <v>2055</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A26" sqref="A26:B2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1776</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2003</v>
      </c>
      <c r="B24" s="2305"/>
      <c r="C24" s="2299"/>
      <c r="D24" s="2300"/>
      <c r="E24" s="2300"/>
      <c r="F24" s="2301"/>
    </row>
    <row r="25" spans="1:11" ht="13.5" thickBot="1" x14ac:dyDescent="0.25">
      <c r="A25" s="2306" t="s">
        <v>2004</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31" colorId="8" zoomScale="110" zoomScaleNormal="110" workbookViewId="0">
      <selection activeCell="B26" sqref="B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1786</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1787</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0</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1783</v>
      </c>
      <c r="B19" s="2332"/>
      <c r="C19" s="2332"/>
      <c r="D19" s="2332"/>
      <c r="E19" s="2333"/>
      <c r="F19" s="635" t="s">
        <v>927</v>
      </c>
      <c r="G19" s="1753"/>
      <c r="H19" s="1753"/>
      <c r="I19" s="1753"/>
      <c r="J19" s="1745"/>
      <c r="K19" s="1763"/>
    </row>
    <row r="20" spans="1:15" x14ac:dyDescent="0.2">
      <c r="A20" s="2334" t="s">
        <v>1788</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1789</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17" sqref="L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52126</v>
      </c>
      <c r="D8" s="1771"/>
      <c r="E8" s="1771">
        <v>0</v>
      </c>
      <c r="F8" s="1765">
        <f>(C8+D8)-E8</f>
        <v>52126</v>
      </c>
      <c r="G8" s="681">
        <v>50</v>
      </c>
      <c r="H8" s="619">
        <v>20681</v>
      </c>
      <c r="I8" s="619">
        <v>1043</v>
      </c>
      <c r="J8" s="619">
        <v>0</v>
      </c>
      <c r="K8" s="1442">
        <f>(H8+I8)-J8</f>
        <v>21724</v>
      </c>
      <c r="L8" s="1442">
        <f>F8-K8</f>
        <v>30402</v>
      </c>
    </row>
    <row r="9" spans="1:14" ht="14.25" thickTop="1" thickBot="1" x14ac:dyDescent="0.25">
      <c r="A9" s="629" t="s">
        <v>1109</v>
      </c>
      <c r="B9" s="679">
        <v>232</v>
      </c>
      <c r="C9" s="1745"/>
      <c r="D9" s="1745"/>
      <c r="E9" s="1745"/>
      <c r="F9" s="1765">
        <f>(C9+D9)-E9</f>
        <v>0</v>
      </c>
      <c r="G9" s="681">
        <v>20</v>
      </c>
      <c r="H9" s="619">
        <v>0</v>
      </c>
      <c r="I9" s="619">
        <v>0</v>
      </c>
      <c r="J9" s="619">
        <v>0</v>
      </c>
      <c r="K9" s="1442">
        <f>(H9+I9)-J9</f>
        <v>0</v>
      </c>
      <c r="L9" s="1442">
        <f>F9-K9</f>
        <v>0</v>
      </c>
    </row>
    <row r="10" spans="1:14" ht="24" thickTop="1" thickBot="1" x14ac:dyDescent="0.25">
      <c r="A10" s="682" t="s">
        <v>1110</v>
      </c>
      <c r="B10" s="679">
        <v>240</v>
      </c>
      <c r="C10" s="1772"/>
      <c r="D10" s="1772"/>
      <c r="E10" s="1772"/>
      <c r="F10" s="1773">
        <f>(C10+D10)-E10</f>
        <v>0</v>
      </c>
      <c r="G10" s="681">
        <v>20</v>
      </c>
      <c r="H10" s="683">
        <v>0</v>
      </c>
      <c r="I10" s="683">
        <v>0</v>
      </c>
      <c r="J10" s="683">
        <v>0</v>
      </c>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221362</v>
      </c>
      <c r="D12" s="1771">
        <v>50238</v>
      </c>
      <c r="E12" s="1771">
        <v>0</v>
      </c>
      <c r="F12" s="1765">
        <f>(C12+D12)-E12</f>
        <v>271600</v>
      </c>
      <c r="G12" s="681">
        <v>10</v>
      </c>
      <c r="H12" s="619">
        <v>183146</v>
      </c>
      <c r="I12" s="619">
        <v>13285</v>
      </c>
      <c r="J12" s="619">
        <v>0</v>
      </c>
      <c r="K12" s="1442">
        <f>(H12+I12)-J12</f>
        <v>196431</v>
      </c>
      <c r="L12" s="1442">
        <f>F12-K12</f>
        <v>75169</v>
      </c>
    </row>
    <row r="13" spans="1:14" ht="14.25" thickTop="1" thickBot="1" x14ac:dyDescent="0.25">
      <c r="A13" s="684" t="s">
        <v>1112</v>
      </c>
      <c r="B13" s="679">
        <v>252</v>
      </c>
      <c r="C13" s="1771">
        <v>75349</v>
      </c>
      <c r="D13" s="1771">
        <v>0</v>
      </c>
      <c r="E13" s="1771">
        <v>0</v>
      </c>
      <c r="F13" s="1765">
        <f>(C13+D13)-E13</f>
        <v>75349</v>
      </c>
      <c r="G13" s="681">
        <v>5</v>
      </c>
      <c r="H13" s="619">
        <v>42609</v>
      </c>
      <c r="I13" s="619">
        <f>8740+12000</f>
        <v>20740</v>
      </c>
      <c r="J13" s="619">
        <v>0</v>
      </c>
      <c r="K13" s="1442">
        <f>(H13+I13)-J13</f>
        <v>63349</v>
      </c>
      <c r="L13" s="1442">
        <f>F13-K13</f>
        <v>12000</v>
      </c>
    </row>
    <row r="14" spans="1:14" ht="14.25" thickTop="1" thickBot="1" x14ac:dyDescent="0.25">
      <c r="A14" s="684" t="s">
        <v>1113</v>
      </c>
      <c r="B14" s="679">
        <v>253</v>
      </c>
      <c r="C14" s="1745">
        <v>0</v>
      </c>
      <c r="D14" s="1745">
        <v>0</v>
      </c>
      <c r="E14" s="1745">
        <v>0</v>
      </c>
      <c r="F14" s="1765">
        <f>(C14+D14)-E14</f>
        <v>0</v>
      </c>
      <c r="G14" s="681">
        <v>3</v>
      </c>
      <c r="H14" s="619">
        <v>0</v>
      </c>
      <c r="I14" s="619">
        <v>0</v>
      </c>
      <c r="J14" s="619">
        <v>0</v>
      </c>
      <c r="K14" s="1442">
        <f>(H14+I14)-J14</f>
        <v>0</v>
      </c>
      <c r="L14" s="1442">
        <f>F14-K14</f>
        <v>0</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348837</v>
      </c>
      <c r="D16" s="1765">
        <f>SUM(D3,D5:D6,D8:D10,D12:D15)</f>
        <v>50238</v>
      </c>
      <c r="E16" s="1765">
        <f>SUM(E3,E5:E6,E8:E10,E12:E15)</f>
        <v>0</v>
      </c>
      <c r="F16" s="1765">
        <f>SUM(F3,F5:F6,F8:F10,F12:F15)</f>
        <v>399075</v>
      </c>
      <c r="G16" s="681"/>
      <c r="H16" s="1435">
        <f>SUM(H3,H6,H8:H10,H12:H14,)</f>
        <v>246436</v>
      </c>
      <c r="I16" s="1435">
        <f>SUM(I3,I6,I8:I10,I12:I14,)</f>
        <v>35068</v>
      </c>
      <c r="J16" s="1435">
        <f>SUM(J3,J6,J8:J10,J12:J14,)</f>
        <v>0</v>
      </c>
      <c r="K16" s="1435">
        <f>(H16+I16)-J16</f>
        <v>281504</v>
      </c>
      <c r="L16" s="1435">
        <f>F16-K16</f>
        <v>117571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35068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7"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1213329</v>
      </c>
      <c r="G8" s="701"/>
    </row>
    <row r="9" spans="1:9" x14ac:dyDescent="0.2">
      <c r="A9" s="705" t="s">
        <v>457</v>
      </c>
      <c r="B9" s="706" t="s">
        <v>1845</v>
      </c>
      <c r="C9" s="707"/>
      <c r="D9" s="705" t="s">
        <v>498</v>
      </c>
      <c r="E9" s="704"/>
      <c r="F9" s="1775">
        <f>'Expenditures 15-22'!K151</f>
        <v>0</v>
      </c>
      <c r="G9" s="708"/>
    </row>
    <row r="10" spans="1:9" x14ac:dyDescent="0.2">
      <c r="A10" s="705" t="s">
        <v>496</v>
      </c>
      <c r="B10" s="706" t="s">
        <v>1846</v>
      </c>
      <c r="C10" s="707"/>
      <c r="D10" s="705" t="s">
        <v>498</v>
      </c>
      <c r="E10" s="704"/>
      <c r="F10" s="1775">
        <f>'Expenditures 15-22'!K174</f>
        <v>0</v>
      </c>
      <c r="G10" s="708"/>
    </row>
    <row r="11" spans="1:9" x14ac:dyDescent="0.2">
      <c r="A11" s="705" t="s">
        <v>458</v>
      </c>
      <c r="B11" s="706" t="s">
        <v>1847</v>
      </c>
      <c r="C11" s="707"/>
      <c r="D11" s="705" t="s">
        <v>498</v>
      </c>
      <c r="E11" s="704"/>
      <c r="F11" s="1775">
        <f>'Expenditures 15-22'!K210</f>
        <v>54003</v>
      </c>
      <c r="G11" s="708"/>
    </row>
    <row r="12" spans="1:9" x14ac:dyDescent="0.2">
      <c r="A12" s="705" t="s">
        <v>459</v>
      </c>
      <c r="B12" s="706" t="s">
        <v>1848</v>
      </c>
      <c r="C12" s="707"/>
      <c r="D12" s="705" t="s">
        <v>498</v>
      </c>
      <c r="E12" s="704"/>
      <c r="F12" s="1775">
        <f>'Expenditures 15-22'!K295</f>
        <v>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1267332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5930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10939</v>
      </c>
      <c r="G53" s="701"/>
    </row>
    <row r="54" spans="1:7" x14ac:dyDescent="0.2">
      <c r="A54" s="705" t="s">
        <v>456</v>
      </c>
      <c r="B54" s="705" t="s">
        <v>1459</v>
      </c>
      <c r="C54" s="724" t="s">
        <v>975</v>
      </c>
      <c r="D54" s="720" t="s">
        <v>1086</v>
      </c>
      <c r="E54" s="704"/>
      <c r="F54" s="1782">
        <f>'Expenditures 15-22'!G114</f>
        <v>61068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77937</v>
      </c>
      <c r="G77" s="701"/>
    </row>
    <row r="78" spans="1:9" s="728" customFormat="1" ht="12" customHeight="1" thickTop="1" thickBot="1" x14ac:dyDescent="0.25">
      <c r="A78" s="1450"/>
      <c r="B78" s="1448"/>
      <c r="C78" s="1445"/>
      <c r="D78" s="1449" t="s">
        <v>2009</v>
      </c>
      <c r="E78" s="1447"/>
      <c r="F78" s="1788">
        <f>(F14-F77)</f>
        <v>1189395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2010</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5806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513</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270959</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48073</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c r="G172" s="760"/>
    </row>
    <row r="173" spans="1:7" x14ac:dyDescent="0.2">
      <c r="A173" s="1529" t="s">
        <v>659</v>
      </c>
      <c r="B173" s="1530" t="s">
        <v>1882</v>
      </c>
      <c r="C173" s="1531">
        <v>3300</v>
      </c>
      <c r="D173" s="1532" t="s">
        <v>1885</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325351</v>
      </c>
    </row>
    <row r="176" spans="1:7" ht="12" customHeight="1" x14ac:dyDescent="0.2">
      <c r="A176" s="1443"/>
      <c r="B176" s="1453"/>
      <c r="C176" s="1454"/>
      <c r="D176" s="1455" t="s">
        <v>2011</v>
      </c>
      <c r="E176" s="1456"/>
      <c r="F176" s="1793">
        <f>'PCTC-OEPP 27-28'!F78-F175</f>
        <v>864044</v>
      </c>
    </row>
    <row r="177" spans="1:9" ht="12" customHeight="1" x14ac:dyDescent="0.2">
      <c r="A177" s="1443"/>
      <c r="B177" s="1453"/>
      <c r="C177" s="1454"/>
      <c r="D177" s="1455" t="s">
        <v>1791</v>
      </c>
      <c r="E177" s="1456"/>
      <c r="F177" s="1793">
        <f>'Cap Outlay Deprec 26'!I18</f>
        <v>35068</v>
      </c>
    </row>
    <row r="178" spans="1:9" ht="12" customHeight="1" x14ac:dyDescent="0.2">
      <c r="A178" s="1443"/>
      <c r="B178" s="1453"/>
      <c r="C178" s="1454"/>
      <c r="D178" s="1455" t="s">
        <v>2012</v>
      </c>
      <c r="E178" s="1456"/>
      <c r="F178" s="1793">
        <f>F176+F177</f>
        <v>899112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2014</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23" zoomScaleNormal="100" workbookViewId="0">
      <selection activeCell="F37" activeCellId="1" sqref="F34 F37"/>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867" t="s">
        <v>1793</v>
      </c>
      <c r="B6" s="1868"/>
      <c r="C6" s="1869"/>
      <c r="D6" s="1869"/>
      <c r="E6" s="1869"/>
      <c r="F6" s="1870"/>
    </row>
    <row r="7" spans="1:6" ht="47.25" customHeight="1" x14ac:dyDescent="0.25">
      <c r="A7" s="2384" t="s">
        <v>1982</v>
      </c>
      <c r="B7" s="2385"/>
      <c r="C7" s="2385"/>
      <c r="D7" s="2385"/>
      <c r="E7" s="2385"/>
      <c r="F7" s="238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73" t="s">
        <v>1979</v>
      </c>
      <c r="B12" s="1874"/>
      <c r="C12" s="1875"/>
      <c r="D12" s="1875"/>
      <c r="E12" s="1875"/>
      <c r="F12" s="1876"/>
    </row>
    <row r="13" spans="1:6" ht="17.25" customHeight="1" x14ac:dyDescent="0.25">
      <c r="A13" s="2384" t="s">
        <v>1980</v>
      </c>
      <c r="B13" s="2385"/>
      <c r="C13" s="2385"/>
      <c r="D13" s="2385"/>
      <c r="E13" s="2385"/>
      <c r="F13" s="2386"/>
    </row>
    <row r="14" spans="1:6" ht="15" customHeight="1" x14ac:dyDescent="0.25">
      <c r="A14" s="1873" t="s">
        <v>1797</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2070</v>
      </c>
      <c r="B18" s="1908">
        <v>101000300</v>
      </c>
      <c r="C18" s="2036" t="s">
        <v>2074</v>
      </c>
      <c r="D18" s="1886">
        <v>4294</v>
      </c>
      <c r="E18" s="1906">
        <f t="shared" ref="E18:E81" si="0">IF(D18&lt;25000,D18,"25,000")</f>
        <v>4294</v>
      </c>
      <c r="F18" s="1906" t="str">
        <f t="shared" ref="F18:F81" si="1">IF(D18&gt;=25000,(D18-E18),"0")</f>
        <v>0</v>
      </c>
      <c r="G18" s="1887"/>
    </row>
    <row r="19" spans="1:7" x14ac:dyDescent="0.25">
      <c r="A19" s="2035" t="s">
        <v>2070</v>
      </c>
      <c r="B19" s="1908">
        <v>101000300</v>
      </c>
      <c r="C19" s="2036" t="s">
        <v>2075</v>
      </c>
      <c r="D19" s="1886">
        <v>2576</v>
      </c>
      <c r="E19" s="1906">
        <f t="shared" si="0"/>
        <v>2576</v>
      </c>
      <c r="F19" s="1906" t="str">
        <f t="shared" si="1"/>
        <v>0</v>
      </c>
    </row>
    <row r="20" spans="1:7" x14ac:dyDescent="0.25">
      <c r="A20" s="2035" t="s">
        <v>2070</v>
      </c>
      <c r="B20" s="1908">
        <v>101000300</v>
      </c>
      <c r="C20" s="2036" t="s">
        <v>2076</v>
      </c>
      <c r="D20" s="1886">
        <v>1143</v>
      </c>
      <c r="E20" s="1906">
        <f t="shared" si="0"/>
        <v>1143</v>
      </c>
      <c r="F20" s="1906" t="str">
        <f t="shared" si="1"/>
        <v>0</v>
      </c>
    </row>
    <row r="21" spans="1:7" x14ac:dyDescent="0.25">
      <c r="A21" s="2035" t="s">
        <v>2070</v>
      </c>
      <c r="B21" s="1908">
        <v>101000300</v>
      </c>
      <c r="C21" s="2036" t="s">
        <v>2077</v>
      </c>
      <c r="D21" s="1886">
        <v>144</v>
      </c>
      <c r="E21" s="1906">
        <f t="shared" si="0"/>
        <v>144</v>
      </c>
      <c r="F21" s="1906" t="str">
        <f t="shared" si="1"/>
        <v>0</v>
      </c>
    </row>
    <row r="22" spans="1:7" x14ac:dyDescent="0.25">
      <c r="A22" s="2035" t="s">
        <v>2070</v>
      </c>
      <c r="B22" s="1908">
        <v>101000300</v>
      </c>
      <c r="C22" s="2036" t="s">
        <v>2078</v>
      </c>
      <c r="D22" s="1886">
        <v>386</v>
      </c>
      <c r="E22" s="1906">
        <f t="shared" si="0"/>
        <v>386</v>
      </c>
      <c r="F22" s="1906" t="str">
        <f t="shared" si="1"/>
        <v>0</v>
      </c>
    </row>
    <row r="23" spans="1:7" x14ac:dyDescent="0.25">
      <c r="A23" s="2035" t="s">
        <v>2070</v>
      </c>
      <c r="B23" s="1908">
        <v>101000300</v>
      </c>
      <c r="C23" s="2036" t="s">
        <v>2079</v>
      </c>
      <c r="D23" s="1886">
        <v>1720</v>
      </c>
      <c r="E23" s="1906">
        <f t="shared" si="0"/>
        <v>1720</v>
      </c>
      <c r="F23" s="1906" t="str">
        <f t="shared" si="1"/>
        <v>0</v>
      </c>
    </row>
    <row r="24" spans="1:7" x14ac:dyDescent="0.25">
      <c r="A24" s="2035" t="s">
        <v>2070</v>
      </c>
      <c r="B24" s="1908">
        <v>101000300</v>
      </c>
      <c r="C24" s="2036" t="s">
        <v>2080</v>
      </c>
      <c r="D24" s="1886">
        <v>250</v>
      </c>
      <c r="E24" s="1906">
        <f t="shared" si="0"/>
        <v>250</v>
      </c>
      <c r="F24" s="1906" t="str">
        <f t="shared" si="1"/>
        <v>0</v>
      </c>
    </row>
    <row r="25" spans="1:7" x14ac:dyDescent="0.25">
      <c r="A25" s="2035" t="s">
        <v>2070</v>
      </c>
      <c r="B25" s="1908">
        <v>101000300</v>
      </c>
      <c r="C25" s="2036" t="s">
        <v>2081</v>
      </c>
      <c r="D25" s="1886">
        <v>12375</v>
      </c>
      <c r="E25" s="1906">
        <f t="shared" si="0"/>
        <v>12375</v>
      </c>
      <c r="F25" s="1906" t="str">
        <f t="shared" si="1"/>
        <v>0</v>
      </c>
    </row>
    <row r="26" spans="1:7" x14ac:dyDescent="0.25">
      <c r="A26" s="2035" t="s">
        <v>2070</v>
      </c>
      <c r="B26" s="1908">
        <v>101000300</v>
      </c>
      <c r="C26" s="2036" t="s">
        <v>2082</v>
      </c>
      <c r="D26" s="1886">
        <v>8720</v>
      </c>
      <c r="E26" s="1906">
        <f t="shared" si="0"/>
        <v>8720</v>
      </c>
      <c r="F26" s="1906" t="str">
        <f t="shared" si="1"/>
        <v>0</v>
      </c>
    </row>
    <row r="27" spans="1:7" x14ac:dyDescent="0.25">
      <c r="A27" s="2035" t="s">
        <v>2070</v>
      </c>
      <c r="B27" s="1908">
        <v>101000300</v>
      </c>
      <c r="C27" s="2036" t="s">
        <v>2083</v>
      </c>
      <c r="D27" s="1886">
        <v>174</v>
      </c>
      <c r="E27" s="1906">
        <f t="shared" si="0"/>
        <v>174</v>
      </c>
      <c r="F27" s="1906" t="str">
        <f t="shared" si="1"/>
        <v>0</v>
      </c>
    </row>
    <row r="28" spans="1:7" x14ac:dyDescent="0.25">
      <c r="A28" s="2035" t="s">
        <v>2070</v>
      </c>
      <c r="B28" s="1908">
        <v>101000300</v>
      </c>
      <c r="C28" s="2036" t="s">
        <v>2084</v>
      </c>
      <c r="D28" s="1886">
        <v>3587</v>
      </c>
      <c r="E28" s="1906">
        <f t="shared" si="0"/>
        <v>3587</v>
      </c>
      <c r="F28" s="1906" t="str">
        <f t="shared" si="1"/>
        <v>0</v>
      </c>
    </row>
    <row r="29" spans="1:7" x14ac:dyDescent="0.25">
      <c r="A29" s="2035" t="s">
        <v>2070</v>
      </c>
      <c r="B29" s="1908">
        <v>101000300</v>
      </c>
      <c r="C29" s="2036" t="s">
        <v>2085</v>
      </c>
      <c r="D29" s="1886">
        <v>1192</v>
      </c>
      <c r="E29" s="1906">
        <f t="shared" si="0"/>
        <v>1192</v>
      </c>
      <c r="F29" s="1906" t="str">
        <f t="shared" si="1"/>
        <v>0</v>
      </c>
    </row>
    <row r="30" spans="1:7" x14ac:dyDescent="0.25">
      <c r="A30" s="2035" t="s">
        <v>2070</v>
      </c>
      <c r="B30" s="1908">
        <v>101000300</v>
      </c>
      <c r="C30" s="2036" t="s">
        <v>2086</v>
      </c>
      <c r="D30" s="1886">
        <v>38</v>
      </c>
      <c r="E30" s="1906">
        <f t="shared" si="0"/>
        <v>38</v>
      </c>
      <c r="F30" s="1906" t="str">
        <f t="shared" si="1"/>
        <v>0</v>
      </c>
    </row>
    <row r="31" spans="1:7" x14ac:dyDescent="0.25">
      <c r="A31" s="2035" t="s">
        <v>2070</v>
      </c>
      <c r="B31" s="1908">
        <v>101000300</v>
      </c>
      <c r="C31" s="2036" t="s">
        <v>2087</v>
      </c>
      <c r="D31" s="1886">
        <v>815</v>
      </c>
      <c r="E31" s="1906">
        <f t="shared" si="0"/>
        <v>815</v>
      </c>
      <c r="F31" s="1906" t="str">
        <f t="shared" si="1"/>
        <v>0</v>
      </c>
    </row>
    <row r="32" spans="1:7" x14ac:dyDescent="0.25">
      <c r="A32" s="2035" t="s">
        <v>2070</v>
      </c>
      <c r="B32" s="1908">
        <v>101000300</v>
      </c>
      <c r="C32" s="2036" t="s">
        <v>2056</v>
      </c>
      <c r="D32" s="1886">
        <v>3950</v>
      </c>
      <c r="E32" s="1906">
        <f t="shared" si="0"/>
        <v>3950</v>
      </c>
      <c r="F32" s="1906" t="str">
        <f t="shared" si="1"/>
        <v>0</v>
      </c>
    </row>
    <row r="33" spans="1:6" x14ac:dyDescent="0.25">
      <c r="A33" s="2035" t="s">
        <v>2070</v>
      </c>
      <c r="B33" s="1908">
        <v>101000300</v>
      </c>
      <c r="C33" s="2036" t="s">
        <v>2088</v>
      </c>
      <c r="D33" s="1886">
        <v>2487</v>
      </c>
      <c r="E33" s="1906">
        <f t="shared" si="0"/>
        <v>2487</v>
      </c>
      <c r="F33" s="1906" t="str">
        <f t="shared" si="1"/>
        <v>0</v>
      </c>
    </row>
    <row r="34" spans="1:6" x14ac:dyDescent="0.25">
      <c r="A34" s="2035" t="s">
        <v>2071</v>
      </c>
      <c r="B34" s="1908">
        <v>101000600</v>
      </c>
      <c r="C34" s="2036" t="s">
        <v>2089</v>
      </c>
      <c r="D34" s="1886">
        <v>28595</v>
      </c>
      <c r="E34" s="1906" t="str">
        <f t="shared" si="0"/>
        <v>25,000</v>
      </c>
      <c r="F34" s="1906">
        <f t="shared" si="1"/>
        <v>3595</v>
      </c>
    </row>
    <row r="35" spans="1:6" ht="30" x14ac:dyDescent="0.25">
      <c r="A35" s="2035" t="s">
        <v>2072</v>
      </c>
      <c r="B35" s="1908">
        <v>102300300</v>
      </c>
      <c r="C35" s="2036" t="s">
        <v>2090</v>
      </c>
      <c r="D35" s="1886">
        <v>414</v>
      </c>
      <c r="E35" s="1906">
        <f t="shared" si="0"/>
        <v>414</v>
      </c>
      <c r="F35" s="1906" t="str">
        <f t="shared" si="1"/>
        <v>0</v>
      </c>
    </row>
    <row r="36" spans="1:6" x14ac:dyDescent="0.25">
      <c r="A36" s="2035" t="s">
        <v>2073</v>
      </c>
      <c r="B36" s="1908">
        <v>102540300</v>
      </c>
      <c r="C36" s="2036" t="s">
        <v>2091</v>
      </c>
      <c r="D36" s="1886">
        <v>6452</v>
      </c>
      <c r="E36" s="1906">
        <f t="shared" si="0"/>
        <v>6452</v>
      </c>
      <c r="F36" s="1906" t="str">
        <f t="shared" si="1"/>
        <v>0</v>
      </c>
    </row>
    <row r="37" spans="1:6" x14ac:dyDescent="0.25">
      <c r="A37" s="2035" t="s">
        <v>2073</v>
      </c>
      <c r="B37" s="1908">
        <v>102550300</v>
      </c>
      <c r="C37" s="2036" t="s">
        <v>2088</v>
      </c>
      <c r="D37" s="1886">
        <v>51680</v>
      </c>
      <c r="E37" s="1906" t="str">
        <f t="shared" si="0"/>
        <v>25,000</v>
      </c>
      <c r="F37" s="1906">
        <f t="shared" si="1"/>
        <v>26680</v>
      </c>
    </row>
    <row r="38" spans="1:6" x14ac:dyDescent="0.25">
      <c r="A38" s="2035" t="s">
        <v>2073</v>
      </c>
      <c r="B38" s="1908">
        <v>102550300</v>
      </c>
      <c r="C38" s="2036" t="s">
        <v>2092</v>
      </c>
      <c r="D38" s="1886">
        <v>41</v>
      </c>
      <c r="E38" s="1906">
        <f t="shared" si="0"/>
        <v>41</v>
      </c>
      <c r="F38" s="1906" t="str">
        <f t="shared" si="1"/>
        <v>0</v>
      </c>
    </row>
    <row r="39" spans="1:6" x14ac:dyDescent="0.25">
      <c r="A39" s="2035" t="s">
        <v>2073</v>
      </c>
      <c r="B39" s="1909">
        <v>102540300</v>
      </c>
      <c r="C39" s="2036" t="s">
        <v>2093</v>
      </c>
      <c r="D39" s="1886">
        <v>1340</v>
      </c>
      <c r="E39" s="1906">
        <f t="shared" si="0"/>
        <v>1340</v>
      </c>
      <c r="F39" s="1906" t="str">
        <f t="shared" si="1"/>
        <v>0</v>
      </c>
    </row>
    <row r="40" spans="1:6" x14ac:dyDescent="0.25">
      <c r="A40" s="2035" t="s">
        <v>2073</v>
      </c>
      <c r="B40" s="1909">
        <v>102540400</v>
      </c>
      <c r="C40" s="2036" t="s">
        <v>2083</v>
      </c>
      <c r="D40" s="1886">
        <v>8354</v>
      </c>
      <c r="E40" s="1906">
        <f t="shared" si="0"/>
        <v>8354</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140727</v>
      </c>
      <c r="E142" s="1893">
        <f>SUM(E18:E141)+E34+E37</f>
        <v>110452</v>
      </c>
      <c r="F142" s="1894">
        <f>SUM(F18:F141)</f>
        <v>30275</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25"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925220</v>
      </c>
      <c r="F19" s="1802"/>
      <c r="G19" s="1804">
        <f>'Expenditures 15-22'!K33-SUM('Expenditures 15-22'!G33,'Expenditures 15-22'!I33)+'Expenditures 15-22'!D229</f>
        <v>925220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94866</v>
      </c>
      <c r="F23" s="1805"/>
      <c r="G23" s="1807">
        <f>'Expenditures 15-22'!K53-SUM('Expenditures 15-22'!G53,'Expenditures 15-22'!I53)+'Expenditures 15-22'!D257+'Expenditures 15-22'!K330-SUM('Expenditures 15-22'!G330,'Expenditures 15-22'!I330)</f>
        <v>94866</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121236</v>
      </c>
      <c r="F28" s="1809">
        <f>'Expenditures 15-22'!K61-SUM('Expenditures 15-22'!G61,'Expenditures 15-22'!I61)+'Expenditures 15-22'!K124-SUM('Expenditures 15-22'!G124,'Expenditures 15-22'!I124)+'Expenditures 15-22'!D266-E9</f>
        <v>121236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54003</v>
      </c>
      <c r="F29" s="1805"/>
      <c r="G29" s="1808">
        <f>'Expenditures 15-22'!K62-SUM('Expenditures 15-22'!G62,'Expenditures 15-22'!I62)+'Expenditures 15-22'!K125-SUM('Expenditures 15-22'!G125,'Expenditures 15-22'!I125)+'Expenditures 15-22'!K182-SUM('Expenditures 15-22'!G182,'Expenditures 15-22'!I182)+'Expenditures 15-22'!D267</f>
        <v>54003</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-30275</v>
      </c>
      <c r="F40" s="1805"/>
      <c r="G40" s="1809">
        <f>-'Contracts Paid in CY 29'!F142</f>
        <v>-30275</v>
      </c>
    </row>
    <row r="41" spans="1:7" ht="12" customHeight="1" x14ac:dyDescent="0.2">
      <c r="A41" s="828" t="s">
        <v>155</v>
      </c>
      <c r="B41" s="829"/>
      <c r="C41" s="830"/>
      <c r="D41" s="1809">
        <f>SUM(D19:D39)</f>
        <v>0</v>
      </c>
      <c r="E41" s="1809">
        <f>SUM(E19:E40)</f>
        <v>1165050</v>
      </c>
      <c r="F41" s="1809">
        <f>SUM(F19:F39)</f>
        <v>121236</v>
      </c>
      <c r="G41" s="1809">
        <f>SUM(G19:G40)</f>
        <v>1043814</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0</v>
      </c>
      <c r="F43" s="1458" t="s">
        <v>470</v>
      </c>
      <c r="G43" s="1810">
        <f>F41</f>
        <v>121236</v>
      </c>
    </row>
    <row r="44" spans="1:7" ht="12" customHeight="1" x14ac:dyDescent="0.2">
      <c r="A44" s="817"/>
      <c r="B44" s="157"/>
      <c r="C44" s="831"/>
      <c r="D44" s="1458" t="s">
        <v>471</v>
      </c>
      <c r="E44" s="1810">
        <f>E41</f>
        <v>1165050</v>
      </c>
      <c r="F44" s="1458" t="s">
        <v>471</v>
      </c>
      <c r="G44" s="1810">
        <f>G41</f>
        <v>1043814</v>
      </c>
    </row>
    <row r="45" spans="1:7" ht="12" customHeight="1" x14ac:dyDescent="0.2">
      <c r="A45" s="817"/>
      <c r="B45" s="157"/>
      <c r="C45" s="157"/>
      <c r="D45" s="1459" t="s">
        <v>999</v>
      </c>
      <c r="E45" s="1811">
        <f>(E43/E44)</f>
        <v>0</v>
      </c>
      <c r="F45" s="1459" t="s">
        <v>999</v>
      </c>
      <c r="G45" s="1811">
        <f>(G43/G44)</f>
        <v>0.11614712966103156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9"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United Twp Area Career Ctr</v>
      </c>
      <c r="D6" s="2416"/>
      <c r="E6" s="2416"/>
      <c r="F6" s="1482"/>
      <c r="G6" s="1507"/>
      <c r="L6" s="1507"/>
      <c r="M6" s="1855"/>
      <c r="N6" s="1855"/>
      <c r="O6" s="1855"/>
    </row>
    <row r="7" spans="1:15" ht="11.25" customHeight="1" thickBot="1" x14ac:dyDescent="0.3">
      <c r="A7" s="1480"/>
      <c r="B7" s="1481"/>
      <c r="C7" s="2417">
        <f>COVER!A13</f>
        <v>49081030041</v>
      </c>
      <c r="D7" s="2417"/>
      <c r="E7" s="2417"/>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2048</v>
      </c>
      <c r="D11" s="1495" t="s">
        <v>2048</v>
      </c>
      <c r="E11" s="1496"/>
      <c r="F11" s="1497" t="s">
        <v>2064</v>
      </c>
      <c r="G11" s="1507"/>
      <c r="H11" s="1507">
        <f>IF(C11="X",5,0)</f>
        <v>5</v>
      </c>
      <c r="I11" s="1507">
        <f>IF(D11="X",5,0)</f>
        <v>5</v>
      </c>
      <c r="J11" s="1507">
        <f>IF(E11="X",5,0)</f>
        <v>0</v>
      </c>
      <c r="L11" s="1507"/>
      <c r="M11" s="1855"/>
      <c r="N11" s="1855"/>
      <c r="O11" s="1855"/>
    </row>
    <row r="12" spans="1:15" ht="12" customHeight="1" x14ac:dyDescent="0.2">
      <c r="A12" s="1493" t="s">
        <v>1368</v>
      </c>
      <c r="B12" s="1494"/>
      <c r="C12" s="1495" t="s">
        <v>2048</v>
      </c>
      <c r="D12" s="1495" t="s">
        <v>2048</v>
      </c>
      <c r="E12" s="1498"/>
      <c r="F12" s="1497" t="s">
        <v>2065</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t="s">
        <v>2048</v>
      </c>
      <c r="D13" s="1495" t="s">
        <v>2048</v>
      </c>
      <c r="E13" s="1498"/>
      <c r="F13" s="1497" t="s">
        <v>2066</v>
      </c>
      <c r="G13" s="1507"/>
      <c r="H13" s="1507">
        <f t="shared" si="0"/>
        <v>5</v>
      </c>
      <c r="I13" s="1507">
        <f t="shared" si="1"/>
        <v>5</v>
      </c>
      <c r="J13" s="1507">
        <f t="shared" si="2"/>
        <v>0</v>
      </c>
      <c r="L13" s="1507"/>
      <c r="M13" s="1855"/>
      <c r="N13" s="1855"/>
      <c r="O13" s="1855"/>
    </row>
    <row r="14" spans="1:15" ht="12" customHeight="1" x14ac:dyDescent="0.2">
      <c r="A14" s="1493" t="s">
        <v>1370</v>
      </c>
      <c r="B14" s="1494"/>
      <c r="C14" s="1495" t="s">
        <v>2048</v>
      </c>
      <c r="D14" s="1495" t="s">
        <v>2048</v>
      </c>
      <c r="E14" s="1498"/>
      <c r="F14" s="1497" t="s">
        <v>2065</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2048</v>
      </c>
      <c r="D15" s="1495" t="s">
        <v>2048</v>
      </c>
      <c r="E15" s="1498"/>
      <c r="F15" s="1497" t="s">
        <v>2065</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t="s">
        <v>2048</v>
      </c>
      <c r="D17" s="1495" t="s">
        <v>2048</v>
      </c>
      <c r="E17" s="1498"/>
      <c r="F17" s="1497" t="s">
        <v>2067</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2048</v>
      </c>
      <c r="D19" s="1495" t="s">
        <v>2048</v>
      </c>
      <c r="E19" s="1498"/>
      <c r="F19" s="1497" t="s">
        <v>2065</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2048</v>
      </c>
      <c r="D21" s="1495" t="s">
        <v>2048</v>
      </c>
      <c r="E21" s="1498"/>
      <c r="F21" s="1497" t="s">
        <v>2065</v>
      </c>
      <c r="G21" s="1507"/>
      <c r="H21" s="1507">
        <f t="shared" si="0"/>
        <v>5</v>
      </c>
      <c r="I21" s="1507">
        <f t="shared" si="1"/>
        <v>5</v>
      </c>
      <c r="J21" s="1507">
        <f t="shared" si="2"/>
        <v>0</v>
      </c>
      <c r="L21" s="1507"/>
      <c r="M21" s="1855"/>
      <c r="N21" s="1855"/>
      <c r="O21" s="1855"/>
    </row>
    <row r="22" spans="1:15" ht="12" customHeight="1" x14ac:dyDescent="0.2">
      <c r="A22" s="1493" t="s">
        <v>1513</v>
      </c>
      <c r="B22" s="1494"/>
      <c r="C22" s="1495" t="s">
        <v>2048</v>
      </c>
      <c r="D22" s="1495" t="s">
        <v>2048</v>
      </c>
      <c r="E22" s="1498"/>
      <c r="F22" s="1497" t="s">
        <v>2065</v>
      </c>
      <c r="G22" s="1507"/>
      <c r="H22" s="1507">
        <f t="shared" si="0"/>
        <v>5</v>
      </c>
      <c r="I22" s="1507">
        <f t="shared" si="1"/>
        <v>5</v>
      </c>
      <c r="J22" s="1507">
        <f t="shared" si="2"/>
        <v>0</v>
      </c>
      <c r="L22" s="1507"/>
      <c r="M22" s="1855"/>
      <c r="N22" s="1855"/>
      <c r="O22" s="1855"/>
    </row>
    <row r="23" spans="1:15" ht="12" customHeight="1" x14ac:dyDescent="0.2">
      <c r="A23" s="1493" t="s">
        <v>1514</v>
      </c>
      <c r="B23" s="1494"/>
      <c r="C23" s="1495" t="s">
        <v>2048</v>
      </c>
      <c r="D23" s="1495" t="s">
        <v>2048</v>
      </c>
      <c r="E23" s="1498"/>
      <c r="F23" s="1497" t="s">
        <v>2065</v>
      </c>
      <c r="G23" s="1507"/>
      <c r="H23" s="1507">
        <f t="shared" si="0"/>
        <v>5</v>
      </c>
      <c r="I23" s="1507">
        <f t="shared" si="1"/>
        <v>5</v>
      </c>
      <c r="J23" s="1507">
        <f t="shared" si="2"/>
        <v>0</v>
      </c>
      <c r="L23" s="1507"/>
      <c r="M23" s="1855"/>
      <c r="N23" s="1855"/>
      <c r="O23" s="1855"/>
    </row>
    <row r="24" spans="1:15" ht="12" customHeight="1" x14ac:dyDescent="0.2">
      <c r="A24" s="1493" t="s">
        <v>1515</v>
      </c>
      <c r="B24" s="1494"/>
      <c r="C24" s="1495" t="s">
        <v>2048</v>
      </c>
      <c r="D24" s="1495" t="s">
        <v>2048</v>
      </c>
      <c r="E24" s="1498"/>
      <c r="F24" s="1497" t="s">
        <v>2068</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2048</v>
      </c>
      <c r="D25" s="1495" t="s">
        <v>2048</v>
      </c>
      <c r="E25" s="1498"/>
      <c r="F25" s="1497" t="s">
        <v>2065</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2048</v>
      </c>
      <c r="D27" s="1495" t="s">
        <v>2048</v>
      </c>
      <c r="E27" s="1498"/>
      <c r="F27" s="1497" t="s">
        <v>2065</v>
      </c>
      <c r="G27" s="1507"/>
      <c r="H27" s="1507">
        <f t="shared" si="0"/>
        <v>5</v>
      </c>
      <c r="I27" s="1507">
        <f t="shared" si="1"/>
        <v>5</v>
      </c>
      <c r="J27" s="1507">
        <f t="shared" si="2"/>
        <v>0</v>
      </c>
      <c r="L27" s="1507"/>
      <c r="M27" s="1855"/>
      <c r="N27" s="1855"/>
      <c r="O27" s="1855"/>
    </row>
    <row r="28" spans="1:15" ht="12" customHeight="1" x14ac:dyDescent="0.2">
      <c r="A28" s="1493" t="s">
        <v>1519</v>
      </c>
      <c r="B28" s="1494"/>
      <c r="C28" s="1495" t="s">
        <v>2048</v>
      </c>
      <c r="D28" s="1495" t="s">
        <v>2048</v>
      </c>
      <c r="E28" s="1498"/>
      <c r="F28" s="1497" t="s">
        <v>2067</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2048</v>
      </c>
      <c r="D29" s="1495" t="s">
        <v>2048</v>
      </c>
      <c r="E29" s="1498"/>
      <c r="F29" s="1497" t="s">
        <v>2065</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2048</v>
      </c>
      <c r="D30" s="1495" t="s">
        <v>2048</v>
      </c>
      <c r="E30" s="1498"/>
      <c r="F30" s="1497" t="s">
        <v>2065</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2048</v>
      </c>
      <c r="D31" s="1495" t="s">
        <v>2048</v>
      </c>
      <c r="E31" s="1498"/>
      <c r="F31" s="1497" t="s">
        <v>2066</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85</v>
      </c>
      <c r="I34" s="1507">
        <f>SUM(I11:I32)</f>
        <v>85</v>
      </c>
      <c r="J34" s="1507">
        <f>SUM(J11:J32)</f>
        <v>0</v>
      </c>
      <c r="K34" s="1507">
        <f>SUM(H34:J34)</f>
        <v>170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I14" sqref="I14"/>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United Twp Area Career Ctr</v>
      </c>
      <c r="K6" s="2438"/>
      <c r="L6" s="2452"/>
      <c r="M6" s="838"/>
      <c r="N6" s="1998"/>
    </row>
    <row r="7" spans="1:14" x14ac:dyDescent="0.2">
      <c r="A7" s="2453" t="s">
        <v>864</v>
      </c>
      <c r="B7" s="2454"/>
      <c r="C7" s="2454"/>
      <c r="D7" s="2454"/>
      <c r="E7" s="2455"/>
      <c r="F7" s="839"/>
      <c r="G7" s="838"/>
      <c r="H7" s="838"/>
      <c r="I7" s="1924" t="s">
        <v>369</v>
      </c>
      <c r="J7" s="2440">
        <f>COVER!A13</f>
        <v>49081030041</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94866</v>
      </c>
      <c r="F13" s="1942"/>
      <c r="G13" s="1968">
        <f>H68</f>
        <v>0</v>
      </c>
      <c r="H13" s="1944">
        <f t="shared" si="0"/>
        <v>94866</v>
      </c>
      <c r="I13" s="1943">
        <v>101260</v>
      </c>
      <c r="J13" s="1942"/>
      <c r="K13" s="1943"/>
      <c r="L13" s="1944">
        <f t="shared" si="1"/>
        <v>101260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94866</v>
      </c>
      <c r="F19" s="1950">
        <f t="shared" si="2"/>
        <v>0</v>
      </c>
      <c r="G19" s="1950">
        <f t="shared" ref="G19" si="3">SUM(G12:G17)-G18</f>
        <v>0</v>
      </c>
      <c r="H19" s="1950">
        <f t="shared" si="2"/>
        <v>94866</v>
      </c>
      <c r="I19" s="1950">
        <f t="shared" si="2"/>
        <v>101260</v>
      </c>
      <c r="J19" s="1950">
        <f t="shared" si="2"/>
        <v>0</v>
      </c>
      <c r="K19" s="1950">
        <f t="shared" si="2"/>
        <v>0</v>
      </c>
      <c r="L19" s="1950">
        <f t="shared" si="2"/>
        <v>101260</v>
      </c>
      <c r="M19" s="838"/>
      <c r="N19" s="1998"/>
    </row>
    <row r="20" spans="1:14" ht="13.5" thickTop="1" x14ac:dyDescent="0.2">
      <c r="A20" s="2003">
        <v>9</v>
      </c>
      <c r="B20" s="2462" t="s">
        <v>2018</v>
      </c>
      <c r="C20" s="2462"/>
      <c r="D20" s="2463"/>
      <c r="E20" s="1951"/>
      <c r="F20" s="1951"/>
      <c r="G20" s="1951"/>
      <c r="H20" s="1951"/>
      <c r="I20" s="1951"/>
      <c r="J20" s="1951"/>
      <c r="K20" s="1951"/>
      <c r="L20" s="1952">
        <f>IF(AND(H19&gt;0,L19&gt;0),(((L19-H19)/H19)),"Enter Budget Data")</f>
        <v>6.7400333101427276E-2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2021</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2022</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2023</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2024</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35" t="s">
        <v>2026</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United Twp Area Career Ctr</v>
      </c>
      <c r="M52" s="2438"/>
      <c r="N52" s="2439"/>
    </row>
    <row r="53" spans="1:14" x14ac:dyDescent="0.2">
      <c r="A53" s="1982"/>
      <c r="B53" s="1983"/>
      <c r="C53" s="1983"/>
      <c r="D53" s="1983"/>
      <c r="E53" s="1983"/>
      <c r="F53" s="1983"/>
      <c r="G53" s="1983"/>
      <c r="H53" s="1983"/>
      <c r="I53" s="1983"/>
      <c r="J53" s="1983"/>
      <c r="K53" s="1924" t="s">
        <v>369</v>
      </c>
      <c r="L53" s="2440">
        <f>J7</f>
        <v>49081030041</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2027</v>
      </c>
      <c r="H55" s="2444"/>
      <c r="I55" s="2444"/>
      <c r="J55" s="2444"/>
      <c r="K55" s="2444"/>
      <c r="L55" s="2444"/>
      <c r="M55" s="2444"/>
      <c r="N55" s="2445"/>
    </row>
    <row r="56" spans="1:14" ht="63.75" x14ac:dyDescent="0.2">
      <c r="A56" s="2446" t="s">
        <v>2028</v>
      </c>
      <c r="B56" s="2447"/>
      <c r="C56" s="244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2038</v>
      </c>
      <c r="B58" s="2427"/>
      <c r="C58" s="242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0</v>
      </c>
      <c r="F63" s="1972"/>
      <c r="G63" s="2031"/>
      <c r="H63" s="2032"/>
      <c r="I63" s="2032"/>
      <c r="J63" s="2032"/>
      <c r="K63" s="2032"/>
      <c r="L63" s="2032"/>
      <c r="M63" s="2032"/>
      <c r="N63" s="1975">
        <f t="shared" si="4"/>
        <v>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2039</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3"/>
  <sheetViews>
    <sheetView showGridLines="0" zoomScale="110" zoomScaleNormal="110" workbookViewId="0">
      <selection activeCell="A12" sqref="A12:XFD1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United Twp Area Career Ctr</v>
      </c>
    </row>
    <row r="63" spans="1:2" x14ac:dyDescent="0.2">
      <c r="B63" s="849">
        <f>COVER!A13</f>
        <v>49081030041</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31" sqref="B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I11" sqref="I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2</xdr:col>
                <xdr:colOff>0</xdr:colOff>
                <xdr:row>4</xdr:row>
                <xdr:rowOff>0</xdr:rowOff>
              </from>
              <to>
                <xdr:col>3</xdr:col>
                <xdr:colOff>161925</xdr:colOff>
                <xdr:row>8</xdr:row>
                <xdr:rowOff>28575</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4</xdr:col>
                <xdr:colOff>0</xdr:colOff>
                <xdr:row>4</xdr:row>
                <xdr:rowOff>0</xdr:rowOff>
              </from>
              <to>
                <xdr:col>5</xdr:col>
                <xdr:colOff>161925</xdr:colOff>
                <xdr:row>8</xdr:row>
                <xdr:rowOff>28575</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6</xdr:col>
                <xdr:colOff>0</xdr:colOff>
                <xdr:row>4</xdr:row>
                <xdr:rowOff>0</xdr:rowOff>
              </from>
              <to>
                <xdr:col>7</xdr:col>
                <xdr:colOff>161925</xdr:colOff>
                <xdr:row>8</xdr:row>
                <xdr:rowOff>28575</xdr:rowOff>
              </to>
            </anchor>
          </objectPr>
        </oleObject>
      </mc:Choice>
      <mc:Fallback>
        <oleObject progId="Acrobat Document" dvAspect="DVASPECT_ICON" shapeId="5632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7" zoomScale="110" zoomScaleNormal="110" workbookViewId="0">
      <selection activeCell="G25" sqref="G2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1969</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1078133</v>
      </c>
      <c r="C8" s="1813">
        <f>'Acct Summary 7-8'!D8</f>
        <v>0</v>
      </c>
      <c r="D8" s="1813">
        <f>'Acct Summary 7-8'!F8</f>
        <v>54003</v>
      </c>
      <c r="E8" s="1813">
        <f>'Acct Summary 7-8'!I8</f>
        <v>0</v>
      </c>
      <c r="F8" s="1813">
        <f>SUM(B8:E8)</f>
        <v>1132136</v>
      </c>
    </row>
    <row r="9" spans="1:8" s="858" customFormat="1" ht="14.25" customHeight="1" thickBot="1" x14ac:dyDescent="0.25">
      <c r="A9" s="857" t="s">
        <v>1353</v>
      </c>
      <c r="B9" s="1814">
        <f>'Acct Summary 7-8'!C17</f>
        <v>1213329</v>
      </c>
      <c r="C9" s="1814">
        <f>'Acct Summary 7-8'!D17</f>
        <v>0</v>
      </c>
      <c r="D9" s="1814">
        <f>'Acct Summary 7-8'!F17</f>
        <v>54003</v>
      </c>
      <c r="E9" s="1813"/>
      <c r="F9" s="1813">
        <f>SUM(B9:E9)</f>
        <v>1267332</v>
      </c>
    </row>
    <row r="10" spans="1:8" s="858" customFormat="1" ht="14.25" thickTop="1" thickBot="1" x14ac:dyDescent="0.25">
      <c r="A10" s="859" t="s">
        <v>1354</v>
      </c>
      <c r="B10" s="1815">
        <f>(B8-B9)</f>
        <v>-135196</v>
      </c>
      <c r="C10" s="1815">
        <f>(C8-C9)</f>
        <v>0</v>
      </c>
      <c r="D10" s="1815">
        <f>(D8-D9)</f>
        <v>0</v>
      </c>
      <c r="E10" s="1814">
        <f>(E8-E9)</f>
        <v>0</v>
      </c>
      <c r="F10" s="1816">
        <f>SUM(F8-F9)</f>
        <v>-135196</v>
      </c>
    </row>
    <row r="11" spans="1:8" s="858" customFormat="1" ht="14.25" thickTop="1" thickBot="1" x14ac:dyDescent="0.25">
      <c r="A11" s="860" t="s">
        <v>1900</v>
      </c>
      <c r="B11" s="1817">
        <f>'Acct Summary 7-8'!C81</f>
        <v>338619</v>
      </c>
      <c r="C11" s="1817">
        <f>'Acct Summary 7-8'!D81</f>
        <v>0</v>
      </c>
      <c r="D11" s="1817">
        <f>'Acct Summary 7-8'!F81</f>
        <v>0</v>
      </c>
      <c r="E11" s="1817">
        <f>'Acct Summary 7-8'!I81</f>
        <v>0</v>
      </c>
      <c r="F11" s="1818">
        <f>SUM(B11:E11)</f>
        <v>338619</v>
      </c>
    </row>
    <row r="12" spans="1:8" ht="16.5" customHeight="1" thickTop="1" x14ac:dyDescent="0.2">
      <c r="A12" s="861"/>
      <c r="B12" s="862"/>
      <c r="C12" s="2473"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56" colorId="8" zoomScale="110" zoomScaleNormal="110" workbookViewId="0">
      <selection activeCell="D24" sqref="D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5"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49081030041</v>
      </c>
      <c r="E2" s="1542">
        <v>2020</v>
      </c>
      <c r="F2" s="1542">
        <v>1</v>
      </c>
      <c r="G2" s="1899">
        <v>101000300</v>
      </c>
    </row>
    <row r="3" spans="1:7" ht="15" x14ac:dyDescent="0.25">
      <c r="A3" t="s">
        <v>950</v>
      </c>
      <c r="B3" s="135" t="str">
        <f>COVER!A15</f>
        <v>Rock Island</v>
      </c>
      <c r="E3" s="1830" t="s">
        <v>1968</v>
      </c>
      <c r="F3" s="1830" t="s">
        <v>1967</v>
      </c>
      <c r="G3" s="1899">
        <v>101000400</v>
      </c>
    </row>
    <row r="4" spans="1:7" ht="15" x14ac:dyDescent="0.25">
      <c r="A4" t="s">
        <v>1000</v>
      </c>
      <c r="B4" s="135" t="str">
        <f>COVER!A17</f>
        <v xml:space="preserve">  United Twp Area Career Ctr</v>
      </c>
      <c r="E4" s="1828">
        <v>44119</v>
      </c>
      <c r="F4" s="1829">
        <v>44151</v>
      </c>
      <c r="G4" s="1899">
        <v>101000600</v>
      </c>
    </row>
    <row r="5" spans="1:7" ht="15" x14ac:dyDescent="0.25">
      <c r="A5" t="s">
        <v>699</v>
      </c>
      <c r="B5" s="135" t="str">
        <f>COVER!A38</f>
        <v>Dr. Jay Morrow</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066.004397</v>
      </c>
      <c r="G15" s="1899">
        <v>402100400</v>
      </c>
    </row>
    <row r="16" spans="1:7" ht="15" x14ac:dyDescent="0.25">
      <c r="A16" t="s">
        <v>419</v>
      </c>
      <c r="B16" s="135" t="str">
        <f>COVER!T13</f>
        <v>Bohnsack &amp; Frommelt, LLP</v>
      </c>
      <c r="G16" s="1899">
        <v>402100600</v>
      </c>
    </row>
    <row r="17" spans="1:7" ht="15" x14ac:dyDescent="0.25">
      <c r="A17" t="s">
        <v>878</v>
      </c>
      <c r="B17" s="135" t="str">
        <f>COVER!T15</f>
        <v>Sarah Bohnsack</v>
      </c>
      <c r="G17" s="1899">
        <v>402100800</v>
      </c>
    </row>
    <row r="18" spans="1:7" ht="15" x14ac:dyDescent="0.25">
      <c r="A18" t="s">
        <v>1140</v>
      </c>
      <c r="B18" s="135" t="str">
        <f>COVER!T17</f>
        <v>1500 River Drive, Suite 200</v>
      </c>
      <c r="G18" s="1899">
        <v>102200300</v>
      </c>
    </row>
    <row r="19" spans="1:7" ht="15" x14ac:dyDescent="0.25">
      <c r="A19" t="s">
        <v>880</v>
      </c>
      <c r="B19" s="135" t="str">
        <f>COVER!T25</f>
        <v>Sarah@bohnsackfrommelt.com</v>
      </c>
      <c r="G19" s="1899">
        <v>102200400</v>
      </c>
    </row>
    <row r="20" spans="1:7" ht="15" x14ac:dyDescent="0.25">
      <c r="A20" t="s">
        <v>881</v>
      </c>
      <c r="B20" s="135" t="str">
        <f>COVER!T19</f>
        <v>Moline</v>
      </c>
      <c r="G20" s="1899">
        <v>102200600</v>
      </c>
    </row>
    <row r="21" spans="1:7" ht="15" x14ac:dyDescent="0.25">
      <c r="A21" t="s">
        <v>476</v>
      </c>
      <c r="B21" s="135" t="str">
        <f>COVER!X19</f>
        <v>IL</v>
      </c>
      <c r="G21" s="1899">
        <v>102200800</v>
      </c>
    </row>
    <row r="22" spans="1:7" ht="15" x14ac:dyDescent="0.25">
      <c r="A22" t="s">
        <v>882</v>
      </c>
      <c r="B22" s="135">
        <f>COVER!Z19</f>
        <v>61265</v>
      </c>
      <c r="G22" s="1899">
        <v>102300300</v>
      </c>
    </row>
    <row r="23" spans="1:7" ht="15" x14ac:dyDescent="0.25">
      <c r="A23" t="s">
        <v>1142</v>
      </c>
      <c r="B23" s="135" t="str">
        <f>COVER!T21</f>
        <v>563-343-9595</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401586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62967</v>
      </c>
      <c r="C91" s="2" t="s">
        <v>569</v>
      </c>
      <c r="D91" s="2" t="str">
        <f t="shared" si="0"/>
        <v>Error?</v>
      </c>
      <c r="G91" s="1899">
        <v>102640400</v>
      </c>
    </row>
    <row r="92" spans="1:7" ht="15" x14ac:dyDescent="0.25">
      <c r="A92" s="5">
        <v>31</v>
      </c>
      <c r="B92" s="1832">
        <f>'Assets-Liab 5-6'!C39</f>
        <v>338619</v>
      </c>
      <c r="D92" s="2" t="str">
        <f t="shared" si="0"/>
        <v>Error?</v>
      </c>
      <c r="G92" s="1899">
        <v>102640600</v>
      </c>
    </row>
    <row r="93" spans="1:7" ht="15" x14ac:dyDescent="0.25">
      <c r="A93" s="5">
        <v>32</v>
      </c>
      <c r="B93" s="1832">
        <f>'Assets-Liab 5-6'!C41</f>
        <v>401586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30402</v>
      </c>
      <c r="D274" s="2" t="str">
        <f t="shared" si="3"/>
        <v>Error?</v>
      </c>
    </row>
    <row r="275" spans="1:4" x14ac:dyDescent="0.2">
      <c r="A275" s="5">
        <v>214</v>
      </c>
      <c r="B275" s="1832">
        <f>'Assets-Liab 5-6'!M18</f>
        <v>0</v>
      </c>
      <c r="D275" s="2" t="str">
        <f t="shared" si="3"/>
        <v>Error?</v>
      </c>
    </row>
    <row r="276" spans="1:4" x14ac:dyDescent="0.2">
      <c r="A276" s="5">
        <v>215</v>
      </c>
      <c r="B276" s="1832">
        <f>'Assets-Liab 5-6'!M19</f>
        <v>87169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117571</v>
      </c>
      <c r="C279" s="2" t="s">
        <v>569</v>
      </c>
      <c r="D279" s="2" t="str">
        <f t="shared" si="3"/>
        <v>Error?</v>
      </c>
    </row>
    <row r="280" spans="1:4" x14ac:dyDescent="0.2">
      <c r="A280" s="5">
        <v>219</v>
      </c>
      <c r="B280" s="1832">
        <f>'Assets-Liab 5-6'!M40</f>
        <v>117571</v>
      </c>
      <c r="D280" s="2" t="str">
        <f t="shared" si="3"/>
        <v>Error?</v>
      </c>
    </row>
    <row r="281" spans="1:4" x14ac:dyDescent="0.2">
      <c r="A281" s="5">
        <v>220</v>
      </c>
      <c r="B281" s="1832">
        <f>'Assets-Liab 5-6'!M41</f>
        <v>117571</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582016</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582016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60056</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60056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642072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141649</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141649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17188</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17188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158837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77415</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77415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16541</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90424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90424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106965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184380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95545</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95545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1081</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30812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30812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31893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127438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51509</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51509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9559</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9559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9559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61068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28595</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28595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10939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39534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976729</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976729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94866</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130795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130795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225661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10939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1213329</v>
      </c>
      <c r="C1152" s="2" t="s">
        <v>569</v>
      </c>
      <c r="D1152" s="2" t="str">
        <f t="shared" si="17"/>
        <v>Error?</v>
      </c>
    </row>
    <row r="1153" spans="1:4" x14ac:dyDescent="0.2">
      <c r="A1153" s="5">
        <v>1092</v>
      </c>
      <c r="B1153" s="1832">
        <f>'Expenditures 15-22'!K115</f>
        <v>-135196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51721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51721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51721</v>
      </c>
      <c r="C1353" s="2" t="s">
        <v>569</v>
      </c>
      <c r="D1353" s="2" t="str">
        <f t="shared" si="20"/>
        <v>Error?</v>
      </c>
    </row>
    <row r="1354" spans="1:4" x14ac:dyDescent="0.2">
      <c r="A1354" s="5">
        <v>1293</v>
      </c>
      <c r="B1354" s="1832">
        <f>'Expenditures 15-22'!F182</f>
        <v>2282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2282</v>
      </c>
      <c r="C1358" s="2" t="s">
        <v>569</v>
      </c>
      <c r="D1358" s="2" t="str">
        <f t="shared" si="20"/>
        <v>Error?</v>
      </c>
    </row>
    <row r="1359" spans="1:4" x14ac:dyDescent="0.2">
      <c r="A1359" s="5">
        <v>1298</v>
      </c>
      <c r="B1359" s="1832">
        <f>'Expenditures 15-22'!F210</f>
        <v>2282</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54003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54003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54003</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473815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338619</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52126</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221362</v>
      </c>
      <c r="D2011" s="2" t="str">
        <f t="shared" si="30"/>
        <v>Error?</v>
      </c>
    </row>
    <row r="2012" spans="1:4" x14ac:dyDescent="0.2">
      <c r="A2012" s="5">
        <v>1951</v>
      </c>
      <c r="B2012" s="1832">
        <f>'Cap Outlay Deprec 26'!C13</f>
        <v>75349</v>
      </c>
      <c r="D2012" s="2" t="str">
        <f t="shared" si="30"/>
        <v>Error?</v>
      </c>
    </row>
    <row r="2013" spans="1:4" x14ac:dyDescent="0.2">
      <c r="A2013" s="5">
        <v>1952</v>
      </c>
      <c r="B2013" s="1832">
        <f>'Cap Outlay Deprec 26'!C16</f>
        <v>348837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50238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50238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52126</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271600</v>
      </c>
      <c r="C2029" s="2" t="s">
        <v>569</v>
      </c>
      <c r="D2029" s="2" t="str">
        <f t="shared" si="30"/>
        <v>Error?</v>
      </c>
    </row>
    <row r="2030" spans="1:4" x14ac:dyDescent="0.2">
      <c r="A2030" s="5">
        <v>1969</v>
      </c>
      <c r="B2030" s="1832">
        <f>'Cap Outlay Deprec 26'!F13</f>
        <v>75349</v>
      </c>
      <c r="C2030" s="2" t="s">
        <v>569</v>
      </c>
      <c r="D2030" s="2" t="str">
        <f t="shared" si="30"/>
        <v>Error?</v>
      </c>
    </row>
    <row r="2031" spans="1:4" x14ac:dyDescent="0.2">
      <c r="A2031" s="5">
        <v>1970</v>
      </c>
      <c r="B2031" s="1832">
        <f>'Cap Outlay Deprec 26'!F16</f>
        <v>399075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20681</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183146</v>
      </c>
      <c r="D2035" s="2" t="str">
        <f t="shared" si="30"/>
        <v>Error?</v>
      </c>
    </row>
    <row r="2036" spans="1:4" x14ac:dyDescent="0.2">
      <c r="A2036" s="5">
        <v>1975</v>
      </c>
      <c r="B2036" s="1832">
        <f>'Cap Outlay Deprec 26'!H13</f>
        <v>42609</v>
      </c>
      <c r="D2036" s="2" t="str">
        <f t="shared" si="30"/>
        <v>Error?</v>
      </c>
    </row>
    <row r="2037" spans="1:4" x14ac:dyDescent="0.2">
      <c r="A2037" s="5">
        <v>1976</v>
      </c>
      <c r="B2037" s="1832">
        <f>'Cap Outlay Deprec 26'!H16</f>
        <v>246436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1043</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13285</v>
      </c>
      <c r="D2041" s="2" t="str">
        <f t="shared" si="30"/>
        <v>Error?</v>
      </c>
    </row>
    <row r="2042" spans="1:4" x14ac:dyDescent="0.2">
      <c r="A2042" s="5">
        <v>1981</v>
      </c>
      <c r="B2042" s="1832">
        <f>'Cap Outlay Deprec 26'!I13</f>
        <v>20740</v>
      </c>
      <c r="D2042" s="2" t="str">
        <f t="shared" si="30"/>
        <v>Error?</v>
      </c>
    </row>
    <row r="2043" spans="1:4" x14ac:dyDescent="0.2">
      <c r="A2043" s="5">
        <v>1982</v>
      </c>
      <c r="B2043" s="1832">
        <f>'Cap Outlay Deprec 26'!I16</f>
        <v>35068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21724</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196431</v>
      </c>
      <c r="C2053" s="2" t="s">
        <v>569</v>
      </c>
      <c r="D2053" s="2" t="str">
        <f t="shared" si="31"/>
        <v>Error?</v>
      </c>
    </row>
    <row r="2054" spans="1:4" x14ac:dyDescent="0.2">
      <c r="A2054" s="5">
        <v>1993</v>
      </c>
      <c r="B2054" s="1832">
        <f>'Cap Outlay Deprec 26'!K13</f>
        <v>63349</v>
      </c>
      <c r="C2054" s="2" t="s">
        <v>569</v>
      </c>
      <c r="D2054" s="2" t="str">
        <f t="shared" si="31"/>
        <v>Error?</v>
      </c>
    </row>
    <row r="2055" spans="1:4" x14ac:dyDescent="0.2">
      <c r="A2055" s="5">
        <v>1994</v>
      </c>
      <c r="B2055" s="1832">
        <f>'Cap Outlay Deprec 26'!K16</f>
        <v>281504</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30402</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75169</v>
      </c>
      <c r="C2059" s="2" t="s">
        <v>569</v>
      </c>
      <c r="D2059" s="2" t="str">
        <f t="shared" si="31"/>
        <v>Error?</v>
      </c>
    </row>
    <row r="2060" spans="1:4" x14ac:dyDescent="0.2">
      <c r="A2060" s="5">
        <v>1999</v>
      </c>
      <c r="B2060" s="1832">
        <f>'Cap Outlay Deprec 26'!L13</f>
        <v>12000</v>
      </c>
      <c r="C2060" s="2" t="s">
        <v>569</v>
      </c>
      <c r="D2060" s="2" t="str">
        <f t="shared" si="31"/>
        <v>Error?</v>
      </c>
    </row>
    <row r="2061" spans="1:4" x14ac:dyDescent="0.2">
      <c r="A2061" s="5">
        <v>2000</v>
      </c>
      <c r="B2061" s="1832">
        <f>'Cap Outlay Deprec 26'!L16</f>
        <v>117571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10939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10939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807174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270959</v>
      </c>
      <c r="C2553" s="2" t="s">
        <v>569</v>
      </c>
      <c r="D2553" s="2" t="str">
        <f t="shared" si="38"/>
        <v>Error?</v>
      </c>
    </row>
    <row r="2554" spans="1:4" x14ac:dyDescent="0.2">
      <c r="A2554" s="5">
        <v>2493</v>
      </c>
      <c r="B2554" s="1832">
        <f>'Acct Summary 7-8'!C7</f>
        <v>0</v>
      </c>
      <c r="C2554" s="2" t="s">
        <v>569</v>
      </c>
      <c r="D2554" s="2" t="str">
        <f t="shared" si="38"/>
        <v>Error?</v>
      </c>
    </row>
    <row r="2555" spans="1:4" x14ac:dyDescent="0.2">
      <c r="A2555" s="5">
        <v>2494</v>
      </c>
      <c r="B2555" s="1832">
        <f>'Acct Summary 7-8'!C8</f>
        <v>1078133</v>
      </c>
      <c r="C2555" s="2" t="s">
        <v>569</v>
      </c>
      <c r="D2555" s="2" t="str">
        <f t="shared" si="38"/>
        <v>Error?</v>
      </c>
    </row>
    <row r="2556" spans="1:4" x14ac:dyDescent="0.2">
      <c r="A2556" s="5">
        <v>2495</v>
      </c>
      <c r="B2556" s="1832">
        <f>'Acct Summary 7-8'!C12</f>
        <v>976729</v>
      </c>
      <c r="C2556" s="2" t="s">
        <v>569</v>
      </c>
      <c r="D2556" s="2" t="str">
        <f t="shared" si="38"/>
        <v>Error?</v>
      </c>
    </row>
    <row r="2557" spans="1:4" x14ac:dyDescent="0.2">
      <c r="A2557" s="5">
        <v>2496</v>
      </c>
      <c r="B2557" s="1832">
        <f>'Acct Summary 7-8'!C13</f>
        <v>225661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10939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1213329</v>
      </c>
      <c r="C2561" s="2" t="s">
        <v>569</v>
      </c>
      <c r="D2561" s="2" t="str">
        <f t="shared" si="39"/>
        <v>Error?</v>
      </c>
    </row>
    <row r="2562" spans="1:4" x14ac:dyDescent="0.2">
      <c r="A2562" s="5">
        <v>2501</v>
      </c>
      <c r="B2562" s="1832">
        <f>'Acct Summary 7-8'!C20</f>
        <v>-135196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5930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48073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54003</v>
      </c>
      <c r="C2595" s="2" t="s">
        <v>569</v>
      </c>
      <c r="D2595" s="2" t="str">
        <f t="shared" si="39"/>
        <v>Error?</v>
      </c>
    </row>
    <row r="2596" spans="1:4" x14ac:dyDescent="0.2">
      <c r="A2596" s="5">
        <v>2535</v>
      </c>
      <c r="B2596" s="1832">
        <f>'Acct Summary 7-8'!F13</f>
        <v>54003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54003</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60056</v>
      </c>
      <c r="D2718" s="2" t="str">
        <f t="shared" si="41"/>
        <v>Error?</v>
      </c>
    </row>
    <row r="2719" spans="1:4" x14ac:dyDescent="0.2">
      <c r="A2719" s="5">
        <v>2658</v>
      </c>
      <c r="B2719" s="1832">
        <f>'Expenditures 15-22'!D51</f>
        <v>17188</v>
      </c>
      <c r="D2719" s="2" t="str">
        <f t="shared" si="41"/>
        <v>Error?</v>
      </c>
    </row>
    <row r="2720" spans="1:4" x14ac:dyDescent="0.2">
      <c r="A2720" s="5">
        <v>2659</v>
      </c>
      <c r="B2720" s="1832">
        <f>'Expenditures 15-22'!E51</f>
        <v>16541</v>
      </c>
      <c r="D2720" s="2" t="str">
        <f t="shared" si="41"/>
        <v>Error?</v>
      </c>
    </row>
    <row r="2721" spans="1:4" x14ac:dyDescent="0.2">
      <c r="A2721" s="5">
        <v>2660</v>
      </c>
      <c r="B2721" s="1832">
        <f>'Expenditures 15-22'!F51</f>
        <v>1081</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94866</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51587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51587</v>
      </c>
      <c r="D2914" s="2" t="str">
        <f t="shared" si="44"/>
        <v>Error?</v>
      </c>
    </row>
    <row r="2915" spans="1:4" x14ac:dyDescent="0.2">
      <c r="A2915" s="10">
        <v>2854</v>
      </c>
      <c r="B2915" s="1832"/>
      <c r="D2915" s="2" t="str">
        <f t="shared" si="44"/>
        <v>OK</v>
      </c>
    </row>
    <row r="2916" spans="1:4" x14ac:dyDescent="0.2">
      <c r="A2916" s="5">
        <v>2855</v>
      </c>
      <c r="B2916" s="1832">
        <f>'Assets-Liab 5-6'!L34</f>
        <v>51587</v>
      </c>
      <c r="C2916" s="2" t="s">
        <v>569</v>
      </c>
      <c r="D2916" s="2" t="str">
        <f t="shared" si="44"/>
        <v>Error?</v>
      </c>
    </row>
    <row r="2917" spans="1:4" x14ac:dyDescent="0.2">
      <c r="A2917" s="5">
        <v>2856</v>
      </c>
      <c r="B2917" s="1832">
        <f>'Assets-Liab 5-6'!L41</f>
        <v>51587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10939</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10939</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-135196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389521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51587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1078133</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54003</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1213329</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54003</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338619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771532</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771532</v>
      </c>
      <c r="C5087" s="2" t="s">
        <v>569</v>
      </c>
      <c r="D5087" s="2" t="str">
        <f t="shared" si="78"/>
        <v>Error?</v>
      </c>
    </row>
    <row r="5088" spans="1:4" x14ac:dyDescent="0.2">
      <c r="A5088" s="5">
        <v>5027</v>
      </c>
      <c r="B5088" s="1832">
        <f>'Revenues 9-14'!C65</f>
        <v>5040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5040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5806</v>
      </c>
      <c r="D5113" s="2" t="str">
        <f t="shared" si="78"/>
        <v>Error?</v>
      </c>
    </row>
    <row r="5114" spans="1:4" x14ac:dyDescent="0.2">
      <c r="A5114" s="5">
        <v>5053</v>
      </c>
      <c r="B5114" s="1832">
        <f>'Revenues 9-14'!C96</f>
        <v>24283</v>
      </c>
      <c r="D5114" s="2" t="str">
        <f t="shared" si="78"/>
        <v>Error?</v>
      </c>
    </row>
    <row r="5115" spans="1:4" x14ac:dyDescent="0.2">
      <c r="A5115" s="5">
        <v>5054</v>
      </c>
      <c r="B5115" s="1832">
        <f>'Revenues 9-14'!C98</f>
        <v>513</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30602</v>
      </c>
      <c r="C5120" s="2" t="s">
        <v>569</v>
      </c>
      <c r="D5120" s="2" t="str">
        <f t="shared" si="79"/>
        <v>Error?</v>
      </c>
    </row>
    <row r="5121" spans="1:4" x14ac:dyDescent="0.2">
      <c r="A5121" s="5">
        <v>5060</v>
      </c>
      <c r="B5121" s="1832">
        <f>'Revenues 9-14'!C109</f>
        <v>807174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270959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270959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270959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270959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0</v>
      </c>
      <c r="C5326" s="2" t="s">
        <v>569</v>
      </c>
      <c r="D5326" s="2" t="str">
        <f t="shared" si="82"/>
        <v>Error?</v>
      </c>
    </row>
    <row r="5327" spans="1:5" x14ac:dyDescent="0.2">
      <c r="A5327" s="5">
        <v>5266</v>
      </c>
      <c r="B5327" s="1832">
        <f>'Revenues 9-14'!C268</f>
        <v>1078133</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5930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5930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5930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48073</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48073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48073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48073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54003</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12065</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62967</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-135196</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-0.39925698203585741</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35068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-30275</v>
      </c>
      <c r="D7820" s="2" t="str">
        <f t="shared" si="128"/>
        <v>Error?</v>
      </c>
    </row>
    <row r="7821" spans="1:5" x14ac:dyDescent="0.2">
      <c r="A7821">
        <v>7760</v>
      </c>
      <c r="B7821" s="1832">
        <f>'ICR Computation 30'!G40</f>
        <v>-30275</v>
      </c>
      <c r="D7821" s="2" t="str">
        <f t="shared" si="128"/>
        <v>Error?</v>
      </c>
    </row>
    <row r="7822" spans="1:5" x14ac:dyDescent="0.2">
      <c r="A7822" s="1">
        <v>7761</v>
      </c>
      <c r="B7822" s="1832">
        <f>'PCTC-OEPP 27-28'!F14</f>
        <v>1267332</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77937</v>
      </c>
      <c r="D7834" s="2" t="str">
        <f t="shared" si="129"/>
        <v>Error?</v>
      </c>
      <c r="E7834" s="4" t="s">
        <v>1995</v>
      </c>
    </row>
    <row r="7835" spans="1:5" x14ac:dyDescent="0.2">
      <c r="A7835">
        <v>7774</v>
      </c>
      <c r="B7835" s="1832">
        <f>'PCTC-OEPP 27-28'!F78</f>
        <v>1189395</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t="str">
        <f>'PCTC-OEPP 27-28'!F80</f>
        <v xml:space="preserve"> Complete Line 79</v>
      </c>
      <c r="D7837" s="2" t="e">
        <f t="shared" si="129"/>
        <v>#VALUE!</v>
      </c>
      <c r="E7837" s="4" t="s">
        <v>1995</v>
      </c>
    </row>
    <row r="7838" spans="1:5" x14ac:dyDescent="0.2">
      <c r="A7838">
        <v>7777</v>
      </c>
      <c r="B7838" s="1832">
        <f>'PCTC-OEPP 27-28'!F96</f>
        <v>0</v>
      </c>
      <c r="D7838" s="2" t="str">
        <f t="shared" si="129"/>
        <v>Error?</v>
      </c>
      <c r="E7838" s="4" t="s">
        <v>1995</v>
      </c>
    </row>
    <row r="7839" spans="1:5" x14ac:dyDescent="0.2">
      <c r="A7839">
        <v>7778</v>
      </c>
      <c r="B7839" s="1832">
        <f>'PCTC-OEPP 27-28'!F102</f>
        <v>5806</v>
      </c>
      <c r="D7839" s="2" t="str">
        <f t="shared" si="129"/>
        <v>Error?</v>
      </c>
      <c r="E7839" s="4" t="s">
        <v>1995</v>
      </c>
    </row>
    <row r="7840" spans="1:5" x14ac:dyDescent="0.2">
      <c r="A7840">
        <v>7779</v>
      </c>
      <c r="B7840" s="1832">
        <f>'PCTC-OEPP 27-28'!F103</f>
        <v>513</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0</v>
      </c>
      <c r="D7842" s="2" t="str">
        <f t="shared" si="129"/>
        <v>Error?</v>
      </c>
      <c r="E7842" s="4" t="s">
        <v>1995</v>
      </c>
    </row>
    <row r="7843" spans="1:5" x14ac:dyDescent="0.2">
      <c r="A7843">
        <v>7782</v>
      </c>
      <c r="B7843" s="1832">
        <f>'PCTC-OEPP 27-28'!F107</f>
        <v>270959</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48073</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0</v>
      </c>
      <c r="D7858" s="2" t="str">
        <f t="shared" si="129"/>
        <v>Error?</v>
      </c>
      <c r="E7858" s="4" t="s">
        <v>1995</v>
      </c>
    </row>
    <row r="7859" spans="1:5" x14ac:dyDescent="0.2">
      <c r="A7859">
        <v>7798</v>
      </c>
      <c r="B7859" s="1832">
        <f>'PCTC-OEPP 27-28'!F127</f>
        <v>0</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0</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0</v>
      </c>
      <c r="D7874" s="2" t="str">
        <f t="shared" si="129"/>
        <v>Error?</v>
      </c>
      <c r="E7874" s="4" t="s">
        <v>1995</v>
      </c>
    </row>
    <row r="7875" spans="1:5" x14ac:dyDescent="0.2">
      <c r="A7875">
        <v>7814</v>
      </c>
      <c r="B7875" s="1832">
        <f>'PCTC-OEPP 27-28'!F170</f>
        <v>0</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325351</v>
      </c>
      <c r="D7877" s="2" t="str">
        <f t="shared" si="129"/>
        <v>Error?</v>
      </c>
      <c r="E7877" s="4" t="s">
        <v>1995</v>
      </c>
    </row>
    <row r="7878" spans="1:5" x14ac:dyDescent="0.2">
      <c r="A7878">
        <v>7817</v>
      </c>
      <c r="B7878" s="1832">
        <f>'PCTC-OEPP 27-28'!F176</f>
        <v>864044</v>
      </c>
      <c r="D7878" s="2" t="str">
        <f t="shared" si="129"/>
        <v>Error?</v>
      </c>
      <c r="E7878" s="4" t="s">
        <v>1995</v>
      </c>
    </row>
    <row r="7879" spans="1:5" x14ac:dyDescent="0.2">
      <c r="A7879">
        <v>7818</v>
      </c>
      <c r="B7879" s="1832">
        <f>'PCTC-OEPP 27-28'!F178</f>
        <v>899112</v>
      </c>
      <c r="D7879" s="2" t="str">
        <f t="shared" si="129"/>
        <v>Error?</v>
      </c>
      <c r="E7879" s="4" t="s">
        <v>1995</v>
      </c>
    </row>
    <row r="7880" spans="1:5" x14ac:dyDescent="0.2">
      <c r="A7880">
        <v>7819</v>
      </c>
      <c r="B7880" s="1832"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I13" sqref="I13:L1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United Twp Area Career Ctr</v>
      </c>
      <c r="B7" s="2517"/>
      <c r="C7" s="2517"/>
      <c r="D7" s="2555"/>
      <c r="E7" s="2556">
        <f>COVER!A13</f>
        <v>49081030041</v>
      </c>
      <c r="F7" s="2557"/>
      <c r="G7" s="2523" t="str">
        <f>COVER!T23</f>
        <v>066.004397</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Bohnsack &amp; Frommelt, LLP</v>
      </c>
      <c r="H9" s="2530"/>
      <c r="I9" s="2530"/>
      <c r="J9" s="2530"/>
      <c r="K9" s="2530"/>
      <c r="L9" s="2531"/>
    </row>
    <row r="10" spans="1:29" ht="13.5" customHeight="1" x14ac:dyDescent="0.2">
      <c r="A10" s="2513" t="str">
        <f>COVER!A38</f>
        <v>Dr. Jay Morrow</v>
      </c>
      <c r="B10" s="2514"/>
      <c r="C10" s="2514"/>
      <c r="D10" s="2514"/>
      <c r="E10" s="2514"/>
      <c r="F10" s="2515"/>
      <c r="G10" s="2529" t="str">
        <f>COVER!T17</f>
        <v>1500 River Drive, Suite 200</v>
      </c>
      <c r="H10" s="2542"/>
      <c r="I10" s="2542"/>
      <c r="J10" s="2542"/>
      <c r="K10" s="2542"/>
      <c r="L10" s="2543"/>
    </row>
    <row r="11" spans="1:29" ht="13.5" customHeight="1" x14ac:dyDescent="0.2">
      <c r="A11" s="963" t="s">
        <v>1502</v>
      </c>
      <c r="B11" s="964"/>
      <c r="C11" s="965"/>
      <c r="D11" s="970"/>
      <c r="E11" s="965"/>
      <c r="F11" s="969"/>
      <c r="G11" s="2529" t="str">
        <f>COVER!T19</f>
        <v>Moline</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Sarah@bohnsackfrommelt.com</v>
      </c>
      <c r="J13" s="2551"/>
      <c r="K13" s="2551"/>
      <c r="L13" s="2552"/>
    </row>
    <row r="14" spans="1:29" ht="13.5" customHeight="1" x14ac:dyDescent="0.2">
      <c r="A14" s="2529" t="str">
        <f>COVER!A19</f>
        <v>1275 Avenue of the Cities</v>
      </c>
      <c r="B14" s="2542"/>
      <c r="C14" s="2542"/>
      <c r="D14" s="2542"/>
      <c r="E14" s="2542"/>
      <c r="F14" s="2543"/>
      <c r="G14" s="974" t="s">
        <v>1175</v>
      </c>
      <c r="H14" s="972"/>
      <c r="I14" s="972"/>
      <c r="J14" s="972"/>
      <c r="K14" s="972"/>
      <c r="L14" s="973"/>
    </row>
    <row r="15" spans="1:29" ht="13.5" customHeight="1" x14ac:dyDescent="0.2">
      <c r="A15" s="2529" t="str">
        <f>COVER!A21</f>
        <v>East Moline</v>
      </c>
      <c r="B15" s="2542"/>
      <c r="C15" s="2542"/>
      <c r="D15" s="2542"/>
      <c r="E15" s="2542"/>
      <c r="F15" s="2543"/>
      <c r="G15" s="2539" t="str">
        <f>COVER!T15</f>
        <v>Sarah Bohnsack</v>
      </c>
      <c r="H15" s="2540"/>
      <c r="I15" s="2540"/>
      <c r="J15" s="2540"/>
      <c r="K15" s="2540"/>
      <c r="L15" s="2541"/>
    </row>
    <row r="16" spans="1:29" ht="12.2" customHeight="1" x14ac:dyDescent="0.2">
      <c r="A16" s="2519">
        <f>COVER!A25</f>
        <v>61244</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563-343-9595</v>
      </c>
      <c r="H18" s="2517"/>
      <c r="I18" s="2517"/>
      <c r="J18" s="2517"/>
      <c r="K18" s="2516">
        <f>COVER!X21</f>
        <v>0</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United Twp Area Career Ctr</v>
      </c>
      <c r="B1" s="2559"/>
      <c r="C1" s="2559"/>
      <c r="D1" s="2559"/>
    </row>
    <row r="2" spans="1:11" s="991" customFormat="1" ht="12.75" x14ac:dyDescent="0.2">
      <c r="A2" s="2560">
        <f>'Single Audit Cover'!E7</f>
        <v>49081030041</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United Twp Area Career Ctr</v>
      </c>
      <c r="B1" s="2563"/>
      <c r="C1" s="2563"/>
      <c r="D1" s="2563"/>
      <c r="E1" s="2563"/>
    </row>
    <row r="2" spans="1:5" x14ac:dyDescent="0.2">
      <c r="A2" s="2564">
        <f>'Single Audit Cover'!E7</f>
        <v>49081030041</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0</v>
      </c>
    </row>
    <row r="19" spans="1:4" ht="13.5" thickBot="1" x14ac:dyDescent="0.25">
      <c r="A19" s="1041" t="s">
        <v>1224</v>
      </c>
      <c r="D19" s="1042">
        <f>SUM(D10:D17)</f>
        <v>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United Twp Area Career Ctr</v>
      </c>
      <c r="C1" s="2567"/>
      <c r="D1" s="2567"/>
      <c r="E1" s="2567"/>
      <c r="F1" s="2567"/>
      <c r="G1" s="2567"/>
      <c r="H1" s="2567"/>
      <c r="I1" s="2567"/>
      <c r="J1" s="2567"/>
      <c r="K1" s="2567"/>
      <c r="L1" s="2567"/>
      <c r="M1" s="2567"/>
    </row>
    <row r="2" spans="2:14" ht="15" x14ac:dyDescent="0.2">
      <c r="B2" s="2568">
        <f>'Single Audit Cover'!E7</f>
        <v>49081030041</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33" zoomScale="120" zoomScaleNormal="120" workbookViewId="0">
      <selection activeCell="D38" sqref="D3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United Twp Area Career Ctr</v>
      </c>
      <c r="B1" s="2572"/>
      <c r="C1" s="2572"/>
      <c r="D1" s="2572"/>
      <c r="E1" s="2572"/>
      <c r="F1" s="2572"/>
    </row>
    <row r="2" spans="1:7" ht="13.5" customHeight="1" x14ac:dyDescent="0.2">
      <c r="A2" s="2568">
        <f>'Single Audit Cover'!E7</f>
        <v>49081030041</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2096</v>
      </c>
      <c r="B7" s="2571"/>
      <c r="C7" s="2571"/>
      <c r="D7" s="2571"/>
      <c r="E7" s="2571"/>
      <c r="F7" s="257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2095</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2097</v>
      </c>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2098</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7" colorId="8" zoomScaleNormal="100" workbookViewId="0">
      <selection activeCell="J145" sqref="J14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1986</v>
      </c>
      <c r="B85" s="2185"/>
      <c r="C85" s="2185"/>
      <c r="D85" s="2186"/>
      <c r="E85" s="1544">
        <v>0</v>
      </c>
      <c r="F85" s="1544">
        <v>0</v>
      </c>
      <c r="G85" s="1544">
        <v>0</v>
      </c>
      <c r="H85" s="1544">
        <v>0</v>
      </c>
      <c r="I85" s="1904">
        <v>0</v>
      </c>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1986</v>
      </c>
      <c r="B88" s="2188"/>
      <c r="C88" s="2188"/>
      <c r="D88" s="2189"/>
      <c r="E88" s="1544">
        <v>0</v>
      </c>
      <c r="F88" s="1544">
        <v>0</v>
      </c>
      <c r="G88" s="1544">
        <v>0</v>
      </c>
      <c r="H88" s="1544">
        <v>0</v>
      </c>
      <c r="I88" s="1904">
        <v>0</v>
      </c>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2063</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49" zoomScale="110" zoomScaleNormal="110" workbookViewId="0">
      <selection activeCell="E50" sqref="E5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United Twp Area Career Ctr</v>
      </c>
      <c r="C1" s="2588"/>
      <c r="D1" s="2588"/>
      <c r="E1" s="2588"/>
      <c r="F1" s="2588"/>
      <c r="G1" s="2588"/>
      <c r="H1" s="2588"/>
      <c r="I1" s="2588"/>
      <c r="J1" s="1178"/>
    </row>
    <row r="2" spans="2:10" s="295" customFormat="1" ht="12.75" customHeight="1" x14ac:dyDescent="0.2">
      <c r="B2" s="2589">
        <f>'Single Audit Cover'!E7</f>
        <v>49081030041</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t="s">
        <v>2099</v>
      </c>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2100</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2100</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t="s">
        <v>2100</v>
      </c>
      <c r="E29" s="2594"/>
      <c r="F29" s="2594"/>
      <c r="G29" s="2594"/>
      <c r="H29" s="2594"/>
      <c r="I29" s="259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5" t="s">
        <v>1725</v>
      </c>
      <c r="D37" s="2596"/>
      <c r="E37" s="2596"/>
      <c r="F37" s="2597"/>
      <c r="G37" s="2595" t="s">
        <v>1575</v>
      </c>
      <c r="H37" s="2596"/>
      <c r="I37" s="2597"/>
    </row>
    <row r="38" spans="2:9" ht="16.5" customHeight="1" x14ac:dyDescent="0.2">
      <c r="B38" s="1200" t="s">
        <v>2100</v>
      </c>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t="s">
        <v>2100</v>
      </c>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United Twp Area Career Ctr</v>
      </c>
      <c r="C1" s="2587"/>
      <c r="D1" s="2587"/>
      <c r="E1" s="2587"/>
      <c r="F1" s="2587"/>
      <c r="G1" s="2587"/>
      <c r="H1" s="2587"/>
      <c r="I1" s="2587"/>
      <c r="J1" s="2587"/>
      <c r="K1" s="2587"/>
      <c r="L1" s="1144"/>
      <c r="M1" s="1144"/>
    </row>
    <row r="2" spans="1:13" ht="12" customHeight="1" x14ac:dyDescent="0.2">
      <c r="B2" s="2589">
        <f>'Single Audit Cover'!E7</f>
        <v>49081030041</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2097</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United Twp Area Career Ctr</v>
      </c>
      <c r="C1" s="2614"/>
      <c r="D1" s="2614"/>
      <c r="E1" s="2614"/>
      <c r="F1" s="2614"/>
      <c r="G1" s="2614"/>
      <c r="H1" s="2614"/>
      <c r="I1" s="2614"/>
      <c r="J1" s="2614"/>
      <c r="K1" s="2614"/>
      <c r="L1" s="1221"/>
    </row>
    <row r="2" spans="1:12" ht="12.75" customHeight="1" x14ac:dyDescent="0.2">
      <c r="B2" s="2615">
        <f>'Single Audit Cover'!E7</f>
        <v>49081030041</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2097</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H23" sqref="H2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United Twp Area Career Ctr</v>
      </c>
      <c r="C1" s="2587"/>
      <c r="D1" s="2587"/>
      <c r="E1" s="1240"/>
    </row>
    <row r="2" spans="2:5" s="1058" customFormat="1" ht="12.75" customHeight="1" x14ac:dyDescent="0.2">
      <c r="B2" s="2589">
        <f>'Single Audit Cover'!E7</f>
        <v>49081030041</v>
      </c>
      <c r="C2" s="2589"/>
      <c r="D2" s="2589"/>
      <c r="E2" s="1241"/>
    </row>
    <row r="3" spans="2:5" ht="12.75" customHeight="1" x14ac:dyDescent="0.2">
      <c r="B3" s="2610" t="s">
        <v>1740</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2097</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31"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1132136</v>
      </c>
      <c r="E16" s="1547"/>
      <c r="F16" s="1546">
        <f>SUM('Acct Summary 7-8'!C17,'Acct Summary 7-8'!D17,'Acct Summary 7-8'!F17)</f>
        <v>1267332</v>
      </c>
      <c r="G16" s="1547"/>
      <c r="H16" s="1546">
        <f>SUM(D16-F16)</f>
        <v>-135196</v>
      </c>
      <c r="I16" s="1548"/>
      <c r="J16" s="1546">
        <f>SUM('Acct Summary 7-8'!C81,'Acct Summary 7-8'!D81,'Acct Summary 7-8'!F81,'Acct Summary 7-8'!I81)</f>
        <v>338619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United Twp Area Career Ctr</v>
      </c>
      <c r="E7" s="368"/>
      <c r="G7" s="247"/>
      <c r="H7" s="364"/>
      <c r="I7" s="364"/>
      <c r="J7" s="364"/>
      <c r="K7" s="364"/>
      <c r="L7" s="307"/>
      <c r="M7" s="307"/>
      <c r="N7" s="307"/>
      <c r="O7" s="307"/>
      <c r="P7" s="307"/>
    </row>
    <row r="8" spans="1:18" ht="12.75" x14ac:dyDescent="0.2">
      <c r="A8" s="307"/>
      <c r="B8" s="307"/>
      <c r="C8" s="366" t="s">
        <v>1115</v>
      </c>
      <c r="D8" s="369">
        <f>COVER!A13</f>
        <v>49081030041</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338619</v>
      </c>
      <c r="I12" s="380"/>
      <c r="J12" s="380"/>
      <c r="K12" s="1559">
        <f>TRUNC((H12/H13*100000),5)/100000</f>
        <v>0.2990974582</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1132136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1267332</v>
      </c>
      <c r="I17" s="380"/>
      <c r="J17" s="389"/>
      <c r="K17" s="1559">
        <f>TRUNC((H17/H18*100000),5)/100000</f>
        <v>1.1194167484999999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1132136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1.667249</v>
      </c>
      <c r="K20" s="1559" t="str">
        <f>IF(K17&lt;=1,"0",IF(AND(O16="2", J20 &gt; 2),TRUNC(((K12-0.1)/(K17-1)*100),5)/100,IF(AND(O16 = "1", J20 &gt; 2),TRUNC(((K12-0.1)/(K17-1)*100),5)/100,IF(AND(O16="1", J20 &gt;1),TRUNC(((K12-0.1)/(K17-1)*100),5)/100,""))))</f>
        <v/>
      </c>
      <c r="L20" s="213"/>
      <c r="M20" s="337" t="s">
        <v>1135</v>
      </c>
      <c r="N20" s="337"/>
      <c r="O20" s="1563">
        <f>(O16+O17)*O18</f>
        <v>0.7</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389521</v>
      </c>
      <c r="I24" s="394"/>
      <c r="J24" s="394"/>
      <c r="K24" s="1555">
        <f>TRUNC(((H24/H25*100000)/100000),2)</f>
        <v>110.64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3520.3666699999999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C1" colorId="8" zoomScale="110" zoomScaleNormal="110" workbookViewId="0">
      <pane ySplit="2" topLeftCell="A3"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389521</v>
      </c>
      <c r="D4" s="1573"/>
      <c r="E4" s="1573"/>
      <c r="F4" s="1573"/>
      <c r="G4" s="1573"/>
      <c r="H4" s="1573"/>
      <c r="I4" s="1573"/>
      <c r="J4" s="1574"/>
      <c r="K4" s="1573"/>
      <c r="L4" s="1573">
        <v>51587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12065</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401586</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51587</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52126-21724</f>
        <v>30402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271600+75349-196431-63349</f>
        <v>87169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117571</v>
      </c>
      <c r="N23" s="1594">
        <f>SUM(N21:N22)</f>
        <v>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1841+61126</f>
        <v>62967</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51587</v>
      </c>
      <c r="M33" s="1575"/>
      <c r="N33" s="1576"/>
    </row>
    <row r="34" spans="1:14" ht="13.5" customHeight="1" thickBot="1" x14ac:dyDescent="0.25">
      <c r="A34" s="1427" t="s">
        <v>649</v>
      </c>
      <c r="B34" s="1428"/>
      <c r="C34" s="1600">
        <f>SUM(C25:C33)</f>
        <v>62967</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51587</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f>C13-C34</f>
        <v>338619</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117571</v>
      </c>
      <c r="N40" s="1604"/>
    </row>
    <row r="41" spans="1:14" ht="13.5" customHeight="1" thickBot="1" x14ac:dyDescent="0.25">
      <c r="A41" s="1426" t="s">
        <v>650</v>
      </c>
      <c r="B41" s="1405"/>
      <c r="C41" s="1594">
        <f>(SUM(C34,C37,C38,C39))</f>
        <v>401586</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51587</v>
      </c>
      <c r="M41" s="1594">
        <f>SUM(M40)</f>
        <v>117571</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 activePane="bottomLeft" state="frozen"/>
      <selection pane="bottomLeft" activeCell="D22" sqref="D2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807174</v>
      </c>
      <c r="D4" s="1606">
        <f>'Revenues 9-14'!D109</f>
        <v>0</v>
      </c>
      <c r="E4" s="1606">
        <f>'Revenues 9-14'!E109</f>
        <v>0</v>
      </c>
      <c r="F4" s="1606">
        <f>'Revenues 9-14'!F109</f>
        <v>5930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270959</v>
      </c>
      <c r="D6" s="1607">
        <f>'Revenues 9-14'!D170</f>
        <v>0</v>
      </c>
      <c r="E6" s="1607">
        <f>'Revenues 9-14'!E170</f>
        <v>0</v>
      </c>
      <c r="F6" s="1607">
        <f>'Revenues 9-14'!F170</f>
        <v>48073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1078133</v>
      </c>
      <c r="D8" s="1594">
        <f t="shared" ref="D8:K8" si="0">SUM(D4:D7)</f>
        <v>0</v>
      </c>
      <c r="E8" s="1594">
        <f t="shared" si="0"/>
        <v>0</v>
      </c>
      <c r="F8" s="1594">
        <f t="shared" si="0"/>
        <v>54003</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1078133</v>
      </c>
      <c r="D10" s="1594">
        <f t="shared" ref="D10:K10" si="1">SUM(D8:D9)</f>
        <v>0</v>
      </c>
      <c r="E10" s="1594">
        <f t="shared" si="1"/>
        <v>0</v>
      </c>
      <c r="F10" s="1594">
        <f t="shared" si="1"/>
        <v>54003</v>
      </c>
      <c r="G10" s="1594">
        <f t="shared" si="1"/>
        <v>0</v>
      </c>
      <c r="H10" s="1594">
        <f t="shared" si="1"/>
        <v>0</v>
      </c>
      <c r="I10" s="1594">
        <f t="shared" si="1"/>
        <v>0</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976729</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225661</v>
      </c>
      <c r="D13" s="1607">
        <f>'Expenditures 15-22'!K129</f>
        <v>0</v>
      </c>
      <c r="E13" s="1576" t="s">
        <v>1159</v>
      </c>
      <c r="F13" s="1607">
        <f>'Expenditures 15-22'!K184</f>
        <v>54003</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10939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1213329</v>
      </c>
      <c r="D17" s="1594">
        <f t="shared" si="2"/>
        <v>0</v>
      </c>
      <c r="E17" s="1594">
        <f t="shared" si="2"/>
        <v>0</v>
      </c>
      <c r="F17" s="1594">
        <f t="shared" si="2"/>
        <v>54003</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1213329</v>
      </c>
      <c r="D19" s="1594">
        <f t="shared" si="4"/>
        <v>0</v>
      </c>
      <c r="E19" s="1594">
        <f t="shared" si="4"/>
        <v>0</v>
      </c>
      <c r="F19" s="1594">
        <f t="shared" si="4"/>
        <v>54003</v>
      </c>
      <c r="G19" s="1594">
        <f t="shared" si="4"/>
        <v>0</v>
      </c>
      <c r="H19" s="1594">
        <f t="shared" si="4"/>
        <v>0</v>
      </c>
      <c r="I19" s="1575"/>
      <c r="J19" s="1594">
        <f>SUM(J17:J18)</f>
        <v>0</v>
      </c>
      <c r="K19" s="1594">
        <f>SUM(K17:K18)</f>
        <v>0</v>
      </c>
      <c r="L19" s="325"/>
    </row>
    <row r="20" spans="1:12" ht="16.5" thickTop="1" thickBot="1" x14ac:dyDescent="0.25">
      <c r="A20" s="2232" t="s">
        <v>1636</v>
      </c>
      <c r="B20" s="2233"/>
      <c r="C20" s="1622">
        <f>C8-C17</f>
        <v>-135196</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-135196</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473815</v>
      </c>
      <c r="D79" s="1630"/>
      <c r="E79" s="1630"/>
      <c r="F79" s="1630">
        <v>0</v>
      </c>
      <c r="G79" s="1630"/>
      <c r="H79" s="1630"/>
      <c r="I79" s="1630"/>
      <c r="J79" s="1630"/>
      <c r="K79" s="1630"/>
      <c r="L79" s="325"/>
    </row>
    <row r="80" spans="1:12" x14ac:dyDescent="0.2">
      <c r="A80" s="2234" t="s">
        <v>1769</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338619</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-135196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-0.39925698203585741</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87" activePane="bottomLeft" state="frozen"/>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1776</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f>808913-5931-31450</f>
        <v>771532</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771532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v>5930</v>
      </c>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5930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5040</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5040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5806</v>
      </c>
      <c r="D95" s="1632"/>
      <c r="E95" s="1617"/>
      <c r="F95" s="1617"/>
      <c r="G95" s="1617"/>
      <c r="H95" s="1617"/>
      <c r="I95" s="1617"/>
      <c r="J95" s="1617"/>
      <c r="K95" s="1617"/>
    </row>
    <row r="96" spans="1:11" ht="12.75" customHeight="1" x14ac:dyDescent="0.2">
      <c r="A96" s="427" t="s">
        <v>388</v>
      </c>
      <c r="B96" s="429">
        <v>1920</v>
      </c>
      <c r="C96" s="1632">
        <v>24283</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513</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30602</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807174</v>
      </c>
      <c r="D109" s="1641">
        <f t="shared" si="4"/>
        <v>0</v>
      </c>
      <c r="E109" s="1641">
        <f t="shared" si="4"/>
        <v>0</v>
      </c>
      <c r="F109" s="1641">
        <f t="shared" si="4"/>
        <v>5930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270959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270959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48073</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48073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270959</v>
      </c>
      <c r="D169" s="1658">
        <f t="shared" si="6"/>
        <v>0</v>
      </c>
      <c r="E169" s="1658">
        <f t="shared" si="6"/>
        <v>0</v>
      </c>
      <c r="F169" s="1658">
        <f t="shared" si="6"/>
        <v>48073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270959</v>
      </c>
      <c r="D170" s="1641">
        <f t="shared" si="7"/>
        <v>0</v>
      </c>
      <c r="E170" s="1641">
        <f t="shared" si="7"/>
        <v>0</v>
      </c>
      <c r="F170" s="1641">
        <f t="shared" si="7"/>
        <v>48073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1777</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1078133</v>
      </c>
      <c r="D268" s="1641">
        <f t="shared" si="12"/>
        <v>0</v>
      </c>
      <c r="E268" s="1641">
        <f t="shared" si="12"/>
        <v>0</v>
      </c>
      <c r="F268" s="1641">
        <f t="shared" si="12"/>
        <v>54003</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14" activePane="bottomLeft" state="frozen"/>
      <selection pane="bottomLeft" activeCell="L63" sqref="L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582016</v>
      </c>
      <c r="D13" s="1573">
        <v>141649</v>
      </c>
      <c r="E13" s="1573">
        <v>77415</v>
      </c>
      <c r="F13" s="1573">
        <v>95545</v>
      </c>
      <c r="G13" s="1573">
        <v>51509</v>
      </c>
      <c r="H13" s="1573">
        <v>28595</v>
      </c>
      <c r="I13" s="1574"/>
      <c r="J13" s="1574"/>
      <c r="K13" s="1672">
        <f t="shared" si="0"/>
        <v>976729</v>
      </c>
      <c r="L13" s="1573">
        <v>1143999</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582016</v>
      </c>
      <c r="D33" s="1674">
        <f t="shared" ref="D33:L33" si="1">SUM(D5:D32)</f>
        <v>141649</v>
      </c>
      <c r="E33" s="1674">
        <f t="shared" si="1"/>
        <v>77415</v>
      </c>
      <c r="F33" s="1674">
        <f t="shared" si="1"/>
        <v>95545</v>
      </c>
      <c r="G33" s="1674">
        <f t="shared" si="1"/>
        <v>51509</v>
      </c>
      <c r="H33" s="1674">
        <f t="shared" si="1"/>
        <v>28595</v>
      </c>
      <c r="I33" s="1674">
        <f t="shared" si="1"/>
        <v>0</v>
      </c>
      <c r="J33" s="1674">
        <f t="shared" si="1"/>
        <v>0</v>
      </c>
      <c r="K33" s="1674">
        <f t="shared" si="1"/>
        <v>976729</v>
      </c>
      <c r="L33" s="1674">
        <f t="shared" si="1"/>
        <v>1143999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60056</v>
      </c>
      <c r="D51" s="1573">
        <v>17188</v>
      </c>
      <c r="E51" s="1573">
        <v>16541</v>
      </c>
      <c r="F51" s="1573">
        <v>1081</v>
      </c>
      <c r="G51" s="1573"/>
      <c r="H51" s="1573"/>
      <c r="I51" s="1574"/>
      <c r="J51" s="1574"/>
      <c r="K51" s="1678">
        <f>SUM(C51:J51)</f>
        <v>94866</v>
      </c>
      <c r="L51" s="1573">
        <v>99423</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60056</v>
      </c>
      <c r="D53" s="1674">
        <f t="shared" ref="D53:L53" si="5">SUM(D49:D52)</f>
        <v>17188</v>
      </c>
      <c r="E53" s="1674">
        <f t="shared" si="5"/>
        <v>16541</v>
      </c>
      <c r="F53" s="1674">
        <f t="shared" si="5"/>
        <v>1081</v>
      </c>
      <c r="G53" s="1674">
        <f t="shared" si="5"/>
        <v>0</v>
      </c>
      <c r="H53" s="1674">
        <f t="shared" si="5"/>
        <v>0</v>
      </c>
      <c r="I53" s="1674">
        <f t="shared" si="5"/>
        <v>0</v>
      </c>
      <c r="J53" s="1674">
        <f t="shared" si="5"/>
        <v>0</v>
      </c>
      <c r="K53" s="1674">
        <f t="shared" si="5"/>
        <v>94866</v>
      </c>
      <c r="L53" s="1674">
        <f t="shared" si="5"/>
        <v>99423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v>90424</v>
      </c>
      <c r="F61" s="1573">
        <v>30812</v>
      </c>
      <c r="G61" s="1573">
        <v>9559</v>
      </c>
      <c r="H61" s="1573"/>
      <c r="I61" s="1574"/>
      <c r="J61" s="1574"/>
      <c r="K61" s="1678">
        <f t="shared" si="7"/>
        <v>130795</v>
      </c>
      <c r="L61" s="1573">
        <v>153000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90424</v>
      </c>
      <c r="F65" s="1674">
        <f t="shared" si="8"/>
        <v>30812</v>
      </c>
      <c r="G65" s="1674">
        <f t="shared" si="8"/>
        <v>9559</v>
      </c>
      <c r="H65" s="1674">
        <f t="shared" si="8"/>
        <v>0</v>
      </c>
      <c r="I65" s="1674">
        <f t="shared" si="8"/>
        <v>0</v>
      </c>
      <c r="J65" s="1674">
        <f t="shared" si="8"/>
        <v>0</v>
      </c>
      <c r="K65" s="1674">
        <f t="shared" si="8"/>
        <v>130795</v>
      </c>
      <c r="L65" s="1674">
        <f t="shared" si="8"/>
        <v>153000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60056</v>
      </c>
      <c r="D74" s="1681">
        <f t="shared" ref="D74:K74" si="10">SUM(D42,D47,D53,D57,D65,D72,D73)</f>
        <v>17188</v>
      </c>
      <c r="E74" s="1681">
        <f t="shared" si="10"/>
        <v>106965</v>
      </c>
      <c r="F74" s="1681">
        <f t="shared" si="10"/>
        <v>31893</v>
      </c>
      <c r="G74" s="1681">
        <f t="shared" si="10"/>
        <v>9559</v>
      </c>
      <c r="H74" s="1681">
        <f t="shared" si="10"/>
        <v>0</v>
      </c>
      <c r="I74" s="1681">
        <f t="shared" si="10"/>
        <v>0</v>
      </c>
      <c r="J74" s="1681">
        <f t="shared" si="10"/>
        <v>0</v>
      </c>
      <c r="K74" s="1681">
        <f t="shared" si="10"/>
        <v>225661</v>
      </c>
      <c r="L74" s="1681">
        <f>SUM(L42,L47,L53,L57,L65,L72,L73)</f>
        <v>252423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10939</v>
      </c>
      <c r="I81" s="1582"/>
      <c r="J81" s="1582"/>
      <c r="K81" s="1672">
        <f t="shared" si="11"/>
        <v>10939</v>
      </c>
      <c r="L81" s="1573">
        <v>11000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10939</v>
      </c>
      <c r="I84" s="1582"/>
      <c r="J84" s="1582"/>
      <c r="K84" s="1674">
        <f>SUM(K78:K83)</f>
        <v>10939</v>
      </c>
      <c r="L84" s="1674">
        <f>SUM(L78:L83)</f>
        <v>11000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10939</v>
      </c>
      <c r="I102" s="1582"/>
      <c r="J102" s="1582"/>
      <c r="K102" s="1681">
        <f>SUM(K84,K92,K100,K101)</f>
        <v>10939</v>
      </c>
      <c r="L102" s="1681">
        <f>SUM(L84,L92,L100,L101)</f>
        <v>11000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642072</v>
      </c>
      <c r="D114" s="1674">
        <f t="shared" ref="D114:K114" si="13">SUM(D33,D74,D75,D102,D112,D113)</f>
        <v>158837</v>
      </c>
      <c r="E114" s="1674">
        <f t="shared" si="13"/>
        <v>184380</v>
      </c>
      <c r="F114" s="1674">
        <f t="shared" si="13"/>
        <v>127438</v>
      </c>
      <c r="G114" s="1674">
        <f t="shared" si="13"/>
        <v>61068</v>
      </c>
      <c r="H114" s="1674">
        <f>SUM(H33,H74,H75,H102,H112,H113)</f>
        <v>39534</v>
      </c>
      <c r="I114" s="1674">
        <f t="shared" si="13"/>
        <v>0</v>
      </c>
      <c r="J114" s="1674">
        <f t="shared" si="13"/>
        <v>0</v>
      </c>
      <c r="K114" s="1674">
        <f t="shared" si="13"/>
        <v>1213329</v>
      </c>
      <c r="L114" s="1674">
        <f>SUM(L33,L74,L75,L102,L112,L113)</f>
        <v>1407422</v>
      </c>
    </row>
    <row r="115" spans="1:14" ht="13.5" thickTop="1" x14ac:dyDescent="0.2">
      <c r="A115" s="2262" t="s">
        <v>989</v>
      </c>
      <c r="B115" s="2263"/>
      <c r="C115" s="1675"/>
      <c r="D115" s="1675"/>
      <c r="E115" s="1675"/>
      <c r="F115" s="1675"/>
      <c r="G115" s="1675"/>
      <c r="H115" s="1675"/>
      <c r="I115" s="1675"/>
      <c r="J115" s="1675"/>
      <c r="K115" s="1689">
        <f>'Revenues 9-14'!C268-'Expenditures 15-22'!K114</f>
        <v>-135196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2" t="s">
        <v>989</v>
      </c>
      <c r="B175" s="226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51721</v>
      </c>
      <c r="F182" s="1573">
        <v>2282</v>
      </c>
      <c r="G182" s="1573"/>
      <c r="H182" s="1573"/>
      <c r="I182" s="1574"/>
      <c r="J182" s="1574"/>
      <c r="K182" s="1672">
        <f>SUM(C182:J182)</f>
        <v>54003</v>
      </c>
      <c r="L182" s="1573">
        <v>56950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51721</v>
      </c>
      <c r="F184" s="1681">
        <f t="shared" si="17"/>
        <v>2282</v>
      </c>
      <c r="G184" s="1681">
        <f t="shared" si="17"/>
        <v>0</v>
      </c>
      <c r="H184" s="1681">
        <f t="shared" si="17"/>
        <v>0</v>
      </c>
      <c r="I184" s="1681">
        <f t="shared" si="17"/>
        <v>0</v>
      </c>
      <c r="J184" s="1681">
        <f t="shared" si="17"/>
        <v>0</v>
      </c>
      <c r="K184" s="1681">
        <f>SUM(K180,K182,K183)</f>
        <v>54003</v>
      </c>
      <c r="L184" s="1681">
        <f>SUM(L180, L182:L183)</f>
        <v>56950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51721</v>
      </c>
      <c r="F210" s="1674">
        <f>SUM(F184,F185)</f>
        <v>2282</v>
      </c>
      <c r="G210" s="1674">
        <f>SUM(G184,G185)</f>
        <v>0</v>
      </c>
      <c r="H210" s="1674">
        <f>SUM(H184,H185,H196,H208,H209)</f>
        <v>0</v>
      </c>
      <c r="I210" s="1674">
        <f>SUM(I184,I185)</f>
        <v>0</v>
      </c>
      <c r="J210" s="1674">
        <f>SUM(J184,J185)</f>
        <v>0</v>
      </c>
      <c r="K210" s="1672">
        <f>SUM(K184,K185,K196,K208,K209)</f>
        <v>54003</v>
      </c>
      <c r="L210" s="1674">
        <f>SUM(L184,L185,L196,L208,L209)</f>
        <v>56950</v>
      </c>
    </row>
    <row r="211" spans="1:14" ht="13.5" thickTop="1" x14ac:dyDescent="0.2">
      <c r="A211" s="2262" t="s">
        <v>989</v>
      </c>
      <c r="B211" s="2263"/>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2" t="s">
        <v>989</v>
      </c>
      <c r="B296" s="2263"/>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6ce3111e-7420-4802-b50a-75d4e9a0b980"/>
    <ds:schemaRef ds:uri="http://schemas.openxmlformats.org/package/2006/metadata/core-properties"/>
    <ds:schemaRef ds:uri="http://purl.org/dc/dcmitype/"/>
    <ds:schemaRef ds:uri="http://www.w3.org/XML/1998/namespace"/>
    <ds:schemaRef ds:uri="http://schemas.microsoft.com/sharepoint/v3"/>
    <ds:schemaRef ds:uri="http://schemas.microsoft.com/office/infopath/2007/PartnerControls"/>
    <ds:schemaRef ds:uri="http://schemas.microsoft.com/office/2006/metadata/properties"/>
    <ds:schemaRef ds:uri="4d435f69-8686-490b-bd6d-b153bf22ab50"/>
    <ds:schemaRef ds:uri="http://purl.org/dc/term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2020-10-27T16:52:50Z</cp:lastPrinted>
  <dcterms:created xsi:type="dcterms:W3CDTF">2003-10-29T19:06:34Z</dcterms:created>
  <dcterms:modified xsi:type="dcterms:W3CDTF">2020-12-12T02:40:43Z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