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EA48DB8-6CEF-4A22-859E-CEAC28011E5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183" l="1"/>
  <c r="E18" i="183"/>
  <c r="F49" i="29" l="1"/>
  <c r="E49" i="29"/>
  <c r="D49" i="29"/>
  <c r="C49" i="29"/>
  <c r="I13" i="29"/>
  <c r="G13" i="29"/>
  <c r="F13" i="29"/>
  <c r="E13" i="29"/>
  <c r="D13" i="29"/>
  <c r="C13" i="29"/>
  <c r="C5" i="3" l="1"/>
  <c r="C4" i="3"/>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F18" i="183"/>
  <c r="E17" i="183"/>
  <c r="F17" i="183" s="1"/>
  <c r="F80" i="34" l="1"/>
  <c r="B7885" i="106" l="1"/>
  <c r="D7885" i="106" s="1"/>
  <c r="B7884" i="106"/>
  <c r="D7884" i="106" s="1"/>
  <c r="B7883" i="106"/>
  <c r="B7882" i="106"/>
  <c r="D7883" i="106"/>
  <c r="D7882"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50" i="34" l="1"/>
  <c r="J210" i="29"/>
  <c r="B7072" i="106" s="1"/>
  <c r="D7072" i="106" s="1"/>
  <c r="J129" i="29"/>
  <c r="B7038" i="106" s="1"/>
  <c r="D7038" i="106" s="1"/>
  <c r="F42" i="34"/>
  <c r="I210" i="29"/>
  <c r="B7071" i="106" s="1"/>
  <c r="D7071" i="106" s="1"/>
  <c r="I129" i="29"/>
  <c r="B7037" i="106" s="1"/>
  <c r="D7037" i="106" s="1"/>
  <c r="F34" i="34"/>
  <c r="B7826" i="106" s="1"/>
  <c r="D7826" i="106" s="1"/>
  <c r="C352" i="29"/>
  <c r="B3621" i="106" s="1"/>
  <c r="D3621" i="106" s="1"/>
  <c r="C129" i="29"/>
  <c r="F37" i="34"/>
  <c r="B7829" i="106" s="1"/>
  <c r="D7829" i="106" s="1"/>
  <c r="H342" i="29"/>
  <c r="B7696" i="106"/>
  <c r="D7696" i="106" s="1"/>
  <c r="E66" i="184"/>
  <c r="N66" i="184" s="1"/>
  <c r="B7171" i="106"/>
  <c r="D7171" i="106" s="1"/>
  <c r="E62" i="184"/>
  <c r="N62" i="184" s="1"/>
  <c r="B7135" i="106"/>
  <c r="D7135" i="106" s="1"/>
  <c r="E58" i="184"/>
  <c r="N58" i="184" s="1"/>
  <c r="F36" i="34"/>
  <c r="B7828" i="106" s="1"/>
  <c r="D7828" i="106" s="1"/>
  <c r="B7198" i="106"/>
  <c r="D7198" i="106" s="1"/>
  <c r="E65" i="184"/>
  <c r="N65" i="184" s="1"/>
  <c r="B7162" i="106"/>
  <c r="D7162" i="106" s="1"/>
  <c r="E61" i="184"/>
  <c r="N61" i="184" s="1"/>
  <c r="B7126" i="106"/>
  <c r="D7126" i="106" s="1"/>
  <c r="E57" i="184"/>
  <c r="B7705" i="106"/>
  <c r="D7705" i="106" s="1"/>
  <c r="E67" i="184"/>
  <c r="N67" i="184" s="1"/>
  <c r="B7180" i="106"/>
  <c r="D7180" i="106" s="1"/>
  <c r="E63" i="184"/>
  <c r="N63" i="184" s="1"/>
  <c r="B7189" i="106"/>
  <c r="D7189" i="106" s="1"/>
  <c r="E64" i="184"/>
  <c r="N64" i="184" s="1"/>
  <c r="B7153" i="106"/>
  <c r="D7153" i="106" s="1"/>
  <c r="E60" i="184"/>
  <c r="N60" i="184" s="1"/>
  <c r="D31" i="108"/>
  <c r="E16" i="184"/>
  <c r="H16" i="184" s="1"/>
  <c r="H12"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35" i="106" l="1"/>
  <c r="D7235" i="106" s="1"/>
  <c r="C367" i="29"/>
  <c r="B3622" i="106" s="1"/>
  <c r="D3622" i="106" s="1"/>
  <c r="B6216" i="106"/>
  <c r="D6216" i="106" s="1"/>
  <c r="B5770" i="106"/>
  <c r="D5770" i="106" s="1"/>
  <c r="E19" i="184"/>
  <c r="H19" i="184"/>
  <c r="L20" i="184" s="1"/>
  <c r="J16" i="4"/>
  <c r="B6226" i="106" s="1"/>
  <c r="D6226" i="106" s="1"/>
  <c r="L114" i="29"/>
  <c r="L16" i="11"/>
  <c r="B2061" i="106" s="1"/>
  <c r="D2061" i="106" s="1"/>
  <c r="D44" i="36"/>
  <c r="B7220" i="106"/>
  <c r="D7220" i="106" s="1"/>
  <c r="F75" i="34"/>
  <c r="B7886" i="106" s="1"/>
  <c r="D7886" i="106" s="1"/>
  <c r="B7222" i="106"/>
  <c r="D7222" i="106" s="1"/>
  <c r="F76" i="34"/>
  <c r="B7887" i="106" s="1"/>
  <c r="D7887" i="106" s="1"/>
  <c r="N57" i="184"/>
  <c r="N68" i="184" s="1"/>
  <c r="E68" i="184"/>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rgb="FF000000"/>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<sst xmlns="http://schemas.openxmlformats.org/spreadsheetml/2006/main" count="5136" uniqueCount="2076">
  <si>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</si>
  <si>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</si>
  <si>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</si>
  <si>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</si>
  <si>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</si>
  <si>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</si>
  <si>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</si>
  <si>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</si>
  <si>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</si>
  <si>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</si>
  <si>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</si>
  <si>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</si>
  <si>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</si>
  <si>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</si>
  <si>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</si>
  <si>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</si>
  <si>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</si>
  <si>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</si>
  <si>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</si>
  <si>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</si>
  <si>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</si>
  <si>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</si>
  <si>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</si>
  <si>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</si>
  <si>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</si>
  <si>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</si>
  <si>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</si>
  <si>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</si>
  <si>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</si>
  <si>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</si>
  <si>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</si>
  <si>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</si>
  <si>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</si>
  <si>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</si>
  <si>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</si>
  <si>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</si>
  <si>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</si>
  <si>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</si>
  <si>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</si>
  <si>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</si>
  <si>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</si>
  <si>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</si>
  <si>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</si>
  <si>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</si>
  <si>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</si>
  <si>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</si>
  <si>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</si>
  <si>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</si>
  <si>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</si>
  <si>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</si>
  <si>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</si>
  <si>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</si>
  <si>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</si>
  <si>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</si>
  <si>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</si>
  <si>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</si>
  <si>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</si>
  <si>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</si>
  <si>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</si>
  <si>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</si>
  <si>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</si>
  <si>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</si>
  <si>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</si>
  <si>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</si>
  <si>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</si>
  <si>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</si>
  <si>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</si>
  <si>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</si>
  <si>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</si>
  <si>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</si>
  <si>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</si>
  <si>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</si>
  <si>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</si>
  <si>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</si>
  <si>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</si>
  <si>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</si>
  <si>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</si>
  <si>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</si>
  <si>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</si>
  <si>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</si>
  <si>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</si>
  <si>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</si>
  <si>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</si>
  <si>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</si>
  <si>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</si>
  <si>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</si>
  <si>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</si>
  <si>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</si>
  <si>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</si>
  <si>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</si>
  <si>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</si>
  <si>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</si>
  <si>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</si>
  <si>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</si>
  <si>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</si>
  <si>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</si>
  <si>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</si>
  <si>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</si>
  <si>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</si>
  <si>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</si>
  <si>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</si>
  <si>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</si>
  <si>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</si>
  <si>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</si>
  <si>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</si>
  <si>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</si>
  <si>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</si>
  <si>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</si>
  <si>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</si>
  <si>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</si>
  <si>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</si>
  <si>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</si>
  <si>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</si>
  <si>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</si>
  <si>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</si>
  <si>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</si>
  <si>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</si>
  <si>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</si>
  <si>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</si>
  <si>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</si>
  <si>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</si>
  <si>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</si>
  <si>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</si>
  <si>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</si>
  <si>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</si>
  <si>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</si>
  <si>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</si>
  <si>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</si>
  <si>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</si>
  <si>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</si>
  <si>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</si>
  <si>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</si>
  <si>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</si>
  <si>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</si>
  <si>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</si>
  <si>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</si>
  <si>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</si>
  <si>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</si>
  <si>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</si>
  <si>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</si>
  <si>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</si>
  <si>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</si>
  <si>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</si>
  <si>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</si>
  <si>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</si>
  <si>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</si>
  <si>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</si>
  <si>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</si>
  <si>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</si>
  <si>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</si>
  <si>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</si>
  <si>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</si>
  <si>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</si>
  <si>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</si>
  <si>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</si>
  <si>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</si>
  <si>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</si>
  <si>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</si>
  <si>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</si>
  <si>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</si>
  <si>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</si>
  <si>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</si>
  <si>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</si>
  <si>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</si>
  <si>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</si>
  <si>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</si>
  <si>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</si>
  <si>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</si>
  <si>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</si>
  <si>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</si>
  <si>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</si>
  <si>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</si>
  <si>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</si>
  <si>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</si>
  <si>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</si>
  <si>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</si>
  <si>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</si>
  <si>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</si>
  <si>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</si>
  <si>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</si>
  <si>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</si>
  <si>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</si>
  <si>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</si>
  <si>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</si>
  <si>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</si>
  <si>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</si>
  <si>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</si>
  <si>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</si>
  <si>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</si>
  <si>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</si>
  <si>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</si>
  <si>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</si>
  <si>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</si>
  <si>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</si>
  <si>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</si>
  <si>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</si>
  <si>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</si>
  <si>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</si>
  <si>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</si>
  <si>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</si>
  <si>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</si>
  <si>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</si>
  <si>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</si>
  <si>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</si>
  <si>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</si>
  <si>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</si>
  <si>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</si>
  <si>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</si>
  <si>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</si>
  <si>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</si>
  <si>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</si>
  <si>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</si>
  <si>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</si>
  <si>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</si>
  <si>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</si>
  <si>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</si>
  <si>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</si>
  <si>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</si>
  <si>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</si>
  <si>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</si>
  <si>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</si>
  <si>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</si>
  <si>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</si>
  <si>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</si>
  <si>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</si>
  <si>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</si>
  <si>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</si>
  <si>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</si>
  <si>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</si>
  <si>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</si>
  <si>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</si>
  <si>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</si>
  <si>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</si>
  <si>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</si>
  <si>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</si>
  <si>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</si>
  <si>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</si>
  <si>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</si>
  <si>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</si>
  <si>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</si>
  <si>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</si>
  <si>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</si>
  <si>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</si>
  <si>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</si>
  <si>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</si>
  <si>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</si>
  <si>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</si>
  <si>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</si>
  <si>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</si>
  <si>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</si>
  <si>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</si>
  <si>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</si>
  <si>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</si>
  <si>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</si>
  <si>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</si>
  <si>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</si>
  <si>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</si>
  <si>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</si>
  <si>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</si>
  <si>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</si>
  <si>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</si>
  <si>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</si>
  <si>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</si>
  <si>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</si>
  <si>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</si>
  <si>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</si>
  <si>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</si>
  <si>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</si>
  <si>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</si>
  <si>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</si>
  <si>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</si>
  <si>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</si>
  <si>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</si>
  <si>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</si>
  <si>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</si>
  <si>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</si>
  <si>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</si>
  <si>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</si>
  <si>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</si>
  <si>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</si>
  <si>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</si>
  <si>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</si>
  <si>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</si>
  <si>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</si>
  <si>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</si>
  <si>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</si>
  <si>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</si>
  <si>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</si>
  <si>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</si>
  <si>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</si>
  <si>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</si>
  <si>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</si>
  <si>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</si>
  <si>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</si>
  <si>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</si>
  <si>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</si>
  <si>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</si>
  <si>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</si>
  <si>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</si>
  <si>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</si>
  <si>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</si>
  <si>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</si>
  <si>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</si>
  <si>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</si>
  <si>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</si>
  <si>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</si>
  <si>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</si>
  <si>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</si>
  <si>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</si>
  <si>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</si>
  <si>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</si>
  <si>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</si>
  <si>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</si>
  <si>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</si>
  <si>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</si>
  <si>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</si>
  <si>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</si>
  <si>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</si>
  <si>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</si>
  <si>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</si>
  <si>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</si>
  <si>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</si>
  <si>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</si>
  <si>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</si>
  <si>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</si>
  <si>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</si>
  <si>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</si>
  <si>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</si>
  <si>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</si>
  <si>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</si>
  <si>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</si>
  <si>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</si>
  <si>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</si>
  <si>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</si>
  <si>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</si>
  <si>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</si>
  <si>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</si>
  <si>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</si>
  <si>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</si>
  <si>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</si>
  <si>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</si>
  <si>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</si>
  <si>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</si>
  <si>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</si>
  <si>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</si>
  <si>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</si>
  <si>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</si>
  <si>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</si>
  <si>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</si>
  <si>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</si>
  <si>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</si>
  <si>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</si>
  <si>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</si>
  <si>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</si>
  <si>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</si>
  <si>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</si>
  <si>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</si>
  <si>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</si>
  <si>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</si>
  <si>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</si>
  <si>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</si>
  <si>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</si>
  <si>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</si>
  <si>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</si>
  <si>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</si>
  <si>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</si>
  <si>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</si>
  <si>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</si>
  <si>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</si>
  <si>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</si>
  <si>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</si>
  <si>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</si>
  <si>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</si>
  <si>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</si>
  <si>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</si>
  <si>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</si>
  <si>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</si>
  <si>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</si>
  <si>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</si>
  <si>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</si>
  <si>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</si>
  <si>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</si>
  <si>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</si>
  <si>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</si>
  <si>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</si>
  <si>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</si>
  <si>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</si>
  <si>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</si>
  <si>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</si>
  <si>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</si>
  <si>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</si>
  <si>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</si>
  <si>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</si>
  <si>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</si>
  <si>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</si>
  <si>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</si>
  <si>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</si>
  <si>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</si>
  <si>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</si>
  <si>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</si>
  <si>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</si>
  <si>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</si>
  <si>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</si>
  <si>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</si>
  <si>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</si>
  <si>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</si>
  <si>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</si>
  <si>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</si>
  <si>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</si>
  <si>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</si>
  <si>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</si>
  <si>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</si>
  <si>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</si>
  <si>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</si>
  <si>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</si>
  <si>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</si>
  <si>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</si>
  <si>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</si>
  <si>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</si>
  <si>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</si>
  <si>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</si>
  <si>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</si>
  <si>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</si>
  <si>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</si>
  <si>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</si>
  <si>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</si>
  <si>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</si>
  <si>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</si>
  <si>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</si>
  <si>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</si>
  <si>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</si>
  <si>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</si>
  <si>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</si>
  <si>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</si>
  <si>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</si>
  <si>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</si>
  <si>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</si>
  <si>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</si>
  <si>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</si>
  <si>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</si>
  <si>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</si>
  <si>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</si>
  <si>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</si>
  <si>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</si>
  <si>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</si>
  <si>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</si>
  <si>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</si>
  <si>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</si>
  <si>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</si>
  <si>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</si>
  <si>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</si>
  <si>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</si>
  <si>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</si>
  <si>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</si>
  <si>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</si>
  <si>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</si>
  <si>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</si>
  <si>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</si>
  <si>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</si>
  <si>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</si>
  <si>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</si>
  <si>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</si>
  <si>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</si>
  <si>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</si>
  <si>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</si>
  <si>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</si>
  <si>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</si>
  <si>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</si>
  <si>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</si>
  <si>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</si>
  <si>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</si>
  <si>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</si>
  <si>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</si>
  <si>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</si>
  <si>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</si>
  <si>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</si>
  <si>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</si>
  <si>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</si>
  <si>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</si>
  <si>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</si>
  <si>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</si>
  <si>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</si>
  <si>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</si>
  <si>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</si>
  <si>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</si>
  <si>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</si>
  <si>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</si>
  <si>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</si>
  <si>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</si>
  <si>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</si>
  <si>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</si>
  <si>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</si>
  <si>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</si>
  <si>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</si>
  <si>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</si>
  <si>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</si>
  <si>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</si>
  <si>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</si>
  <si>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</si>
  <si>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</si>
  <si>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</si>
  <si>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</si>
  <si>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</si>
  <si>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</si>
  <si>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</si>
  <si>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</si>
  <si>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</si>
  <si>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</si>
  <si>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</si>
  <si>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</si>
  <si>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</si>
  <si>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</si>
  <si>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</si>
  <si>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</si>
  <si>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</si>
  <si>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</si>
  <si>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</si>
  <si>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</si>
  <si>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</si>
  <si>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</si>
  <si>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</si>
  <si>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</si>
  <si>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</si>
  <si>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</si>
  <si>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</si>
  <si>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</si>
  <si>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</si>
  <si>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</si>
  <si>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</si>
  <si>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</si>
  <si>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</si>
  <si>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</si>
  <si>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</si>
  <si>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</si>
  <si>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</si>
  <si>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</si>
  <si>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</si>
  <si>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</si>
  <si>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</si>
  <si>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</si>
  <si>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</si>
  <si>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</si>
  <si>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</si>
  <si>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</si>
  <si>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</si>
  <si>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</si>
  <si>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</si>
  <si>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</si>
  <si>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</si>
  <si>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</si>
  <si>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</si>
  <si>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</si>
  <si>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</si>
  <si>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</si>
  <si>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</si>
  <si>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</si>
  <si>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</si>
  <si>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</si>
  <si>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</si>
  <si>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</si>
  <si>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</si>
  <si>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</si>
  <si>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</si>
  <si>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</si>
  <si>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</si>
  <si>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</si>
  <si>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</si>
  <si>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</si>
  <si>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</si>
  <si>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</si>
  <si>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</si>
  <si>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</si>
  <si>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</si>
  <si>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</si>
  <si>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</si>
  <si>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</si>
  <si>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</si>
  <si>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</si>
  <si>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</si>
  <si>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</si>
  <si>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</si>
  <si>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</si>
  <si>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</si>
  <si>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</si>
  <si>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</si>
  <si>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</si>
  <si>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</si>
  <si>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</si>
  <si>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</si>
  <si>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</si>
  <si>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</si>
  <si>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</si>
  <si>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</si>
  <si>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</si>
  <si>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</si>
  <si>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</si>
  <si>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</si>
  <si>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</si>
  <si>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</si>
  <si>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</si>
  <si>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</si>
  <si>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</si>
  <si>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</si>
  <si>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</si>
  <si>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</si>
  <si>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</si>
  <si>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</si>
  <si>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</si>
  <si>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</si>
  <si>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</si>
  <si>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</si>
  <si>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</si>
  <si>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</si>
  <si>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</si>
  <si>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</si>
  <si>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</si>
  <si>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</si>
  <si>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</si>
  <si>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</si>
  <si>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</si>
  <si>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</si>
  <si>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</si>
  <si>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</si>
  <si>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</si>
  <si>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</si>
  <si>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</si>
  <si>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</si>
  <si>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</si>
  <si>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</si>
  <si>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</si>
  <si>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</si>
  <si>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</si>
  <si>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</si>
  <si>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</si>
  <si>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</si>
  <si>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</si>
  <si>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</si>
  <si>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</si>
  <si>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</si>
  <si>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</si>
  <si>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</si>
  <si>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</si>
  <si>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</si>
  <si>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</si>
  <si>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</si>
  <si>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</si>
  <si>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</si>
  <si>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</si>
  <si>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</si>
  <si>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</si>
  <si>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</si>
  <si>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</si>
  <si>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</si>
  <si>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</si>
  <si>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</si>
  <si>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</si>
  <si>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</si>
  <si>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</si>
  <si>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</si>
  <si>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</si>
  <si>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</si>
  <si>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</si>
  <si>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</si>
  <si>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</si>
  <si>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</si>
  <si>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</si>
  <si>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</si>
  <si>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</si>
  <si>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</si>
  <si>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</si>
  <si>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</si>
  <si>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</si>
  <si>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</si>
  <si>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</si>
  <si>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</si>
  <si>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</si>
  <si>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</si>
  <si>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</si>
  <si>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</si>
  <si>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</si>
  <si>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</si>
  <si>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</si>
  <si>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</si>
  <si>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</si>
  <si>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</si>
  <si>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</si>
  <si>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</si>
  <si>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</si>
  <si>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</si>
  <si>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</si>
  <si>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</si>
  <si>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</si>
  <si>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</si>
  <si>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</si>
  <si>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</si>
  <si>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</si>
  <si>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</si>
  <si>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</si>
  <si>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</si>
  <si>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</si>
  <si>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</si>
  <si>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</si>
  <si>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</si>
  <si>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</si>
  <si>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</si>
  <si>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</si>
  <si>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</si>
  <si>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</si>
  <si>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</si>
  <si>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</si>
  <si>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</si>
  <si>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</si>
  <si>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</si>
  <si>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</si>
  <si>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</si>
  <si>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</si>
  <si>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</si>
  <si>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</si>
  <si>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</si>
  <si>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</si>
  <si>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</si>
  <si>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</si>
  <si>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</si>
  <si>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</si>
  <si>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</si>
  <si>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</si>
  <si>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</si>
  <si>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</si>
  <si>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</si>
  <si>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</si>
  <si>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</si>
  <si>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</si>
  <si>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</si>
  <si>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</si>
  <si>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</si>
  <si>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</si>
  <si>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</si>
  <si>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</si>
  <si>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</si>
  <si>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</si>
  <si>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</si>
  <si>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</si>
  <si>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</si>
  <si>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</si>
  <si>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</si>
  <si>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</si>
  <si>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</si>
  <si>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</si>
  <si>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</si>
  <si>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</si>
  <si>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</si>
  <si>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</si>
  <si>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</si>
  <si>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</si>
  <si>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</si>
  <si>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</si>
  <si>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</si>
  <si>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</si>
  <si>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</si>
  <si>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</si>
  <si>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</si>
  <si>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</si>
  <si>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</si>
  <si>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</si>
  <si>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</si>
  <si>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</si>
  <si>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</si>
  <si>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</si>
  <si>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</si>
  <si>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</si>
  <si>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</si>
  <si>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</si>
  <si>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</si>
  <si>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</si>
  <si>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</si>
  <si>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</si>
  <si>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</si>
  <si>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</si>
  <si>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</si>
  <si>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</si>
  <si>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</si>
  <si>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</si>
  <si>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</si>
  <si>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</si>
  <si>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</si>
  <si>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</si>
  <si>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</si>
  <si>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</si>
  <si>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</si>
  <si>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</si>
  <si>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</si>
  <si>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</si>
  <si>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</si>
  <si>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</si>
  <si>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</si>
  <si>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</si>
  <si>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</si>
  <si>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</si>
  <si>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</si>
  <si>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</si>
  <si>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</si>
  <si>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</si>
  <si>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</si>
  <si>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</si>
  <si>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</si>
  <si>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</si>
  <si>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</si>
  <si>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</si>
  <si>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</si>
  <si>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</si>
  <si>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</si>
  <si>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</si>
  <si>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</si>
  <si>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</si>
  <si>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</si>
  <si>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</si>
  <si>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</si>
  <si>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</si>
  <si>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</si>
  <si>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</si>
  <si>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</si>
  <si>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</si>
  <si>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</si>
  <si>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</si>
  <si>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</si>
  <si>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</si>
  <si>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</si>
  <si>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</si>
  <si>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</si>
  <si>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</si>
  <si>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</si>
  <si>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</si>
  <si>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</si>
  <si>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</si>
  <si>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</si>
  <si>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</si>
  <si>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</si>
  <si>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</si>
  <si>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</si>
  <si>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</si>
  <si>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</si>
  <si>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</si>
  <si>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</si>
  <si>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</si>
  <si>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</si>
  <si>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</si>
  <si>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</si>
  <si>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</si>
  <si>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</si>
  <si>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</si>
  <si>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</si>
  <si>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</si>
  <si>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</si>
  <si>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</si>
  <si>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</si>
  <si>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</si>
  <si>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</si>
  <si>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</si>
  <si>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</si>
  <si>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</si>
  <si>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</si>
  <si>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</si>
  <si>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</si>
  <si>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</si>
  <si>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</si>
  <si>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</si>
  <si>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</si>
  <si>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</si>
  <si>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</si>
  <si>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</si>
  <si>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</si>
  <si>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</si>
  <si>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</si>
  <si>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</si>
  <si>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</si>
  <si>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</si>
  <si>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</si>
  <si>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</si>
  <si>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</si>
  <si>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</si>
  <si>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</si>
  <si>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</si>
  <si>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</si>
  <si>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</si>
  <si>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</si>
  <si>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</si>
  <si>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</si>
  <si>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</si>
  <si>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</si>
  <si>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</si>
  <si>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</si>
  <si>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</si>
  <si>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</si>
  <si>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</si>
  <si>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</si>
  <si>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</si>
  <si>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</si>
  <si>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</si>
  <si>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</si>
  <si>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</si>
  <si>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</si>
  <si>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</si>
  <si>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</si>
  <si>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</si>
  <si>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</si>
  <si>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</si>
  <si>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</si>
  <si>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</si>
  <si>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</si>
  <si>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</si>
  <si>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</si>
  <si>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</si>
  <si>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</si>
  <si>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</si>
  <si>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</si>
  <si>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</si>
  <si>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</si>
  <si>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</si>
  <si>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</si>
  <si>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</si>
  <si>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</si>
  <si>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</si>
  <si>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</si>
  <si>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</si>
  <si>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</si>
  <si>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</si>
  <si>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</si>
  <si>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</si>
  <si>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</si>
  <si>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</si>
  <si>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</si>
  <si>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</si>
  <si>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</si>
  <si>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</si>
  <si>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</si>
  <si>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</si>
  <si>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</si>
  <si>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</si>
  <si>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</si>
  <si>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</si>
  <si>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</si>
  <si>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</si>
  <si>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</si>
  <si>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</si>
  <si>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</si>
  <si>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</si>
  <si>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</si>
  <si>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</si>
  <si>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</si>
  <si>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</si>
  <si>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</si>
  <si>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</si>
  <si>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</si>
  <si>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</si>
  <si>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</si>
  <si>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</si>
  <si>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</si>
  <si>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</si>
  <si>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</si>
  <si>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</si>
  <si>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</si>
  <si>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</si>
  <si>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</si>
  <si>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</si>
  <si>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</si>
  <si>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</si>
  <si>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</si>
  <si>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</si>
  <si>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</si>
  <si>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</si>
  <si>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</si>
  <si>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</si>
  <si>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</si>
  <si>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</si>
  <si>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</si>
  <si>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</si>
  <si>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</si>
  <si>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</si>
  <si>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</si>
  <si>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</si>
  <si>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</si>
  <si>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</si>
  <si>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</si>
  <si>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</si>
  <si>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</si>
  <si>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</si>
  <si>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</si>
  <si>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</si>
  <si>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</si>
  <si>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</si>
  <si>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</si>
  <si>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</si>
  <si>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</si>
  <si>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</si>
  <si>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</si>
  <si>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</si>
  <si>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</si>
  <si>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</si>
  <si>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</si>
  <si>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</si>
  <si>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</si>
  <si>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</si>
  <si>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</si>
  <si>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</si>
  <si>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</si>
  <si>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</si>
  <si>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</si>
  <si>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</si>
  <si>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</si>
  <si>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</si>
  <si>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</si>
  <si>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</si>
  <si>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</si>
  <si>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</si>
  <si>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</si>
  <si>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</si>
  <si>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</si>
  <si>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</si>
  <si>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</si>
  <si>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</si>
  <si>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</si>
  <si>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</si>
  <si>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</si>
  <si>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</si>
  <si>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</si>
  <si>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</si>
  <si>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</si>
  <si>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</si>
  <si>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</si>
  <si>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</si>
  <si>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</si>
  <si>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</si>
  <si>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</si>
  <si>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</si>
  <si>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</si>
  <si>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</si>
  <si>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</si>
  <si>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</si>
  <si>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</si>
  <si>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</si>
  <si>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</si>
  <si>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</si>
  <si>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</si>
  <si>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</si>
  <si>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</si>
  <si>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</si>
  <si>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</si>
  <si>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</si>
  <si>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</si>
  <si>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</si>
  <si>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</si>
  <si>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</si>
  <si>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</si>
  <si>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</si>
  <si>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</si>
  <si>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</si>
  <si>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</si>
  <si>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</si>
  <si>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</si>
  <si>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</si>
  <si>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</si>
  <si>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</si>
  <si>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</si>
  <si>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</si>
  <si>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</si>
  <si>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</si>
  <si>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</si>
  <si>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</si>
  <si>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</si>
  <si>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</si>
  <si>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</si>
  <si>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</si>
  <si>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</si>
  <si>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</si>
  <si>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</si>
  <si>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</si>
  <si>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</si>
  <si>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</si>
  <si>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</si>
  <si>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</si>
  <si>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</si>
  <si>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</si>
  <si>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</si>
  <si>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</si>
  <si>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</si>
  <si>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</si>
  <si>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</si>
  <si>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</si>
  <si>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</si>
  <si>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</si>
  <si>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</si>
  <si>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</si>
  <si>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</si>
  <si>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</si>
  <si>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</si>
  <si>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</si>
  <si>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</si>
  <si>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</si>
  <si>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</si>
  <si>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</si>
  <si>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</si>
  <si>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</si>
  <si>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</si>
  <si>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</si>
  <si>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</si>
  <si>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</si>
  <si>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</si>
  <si>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</si>
  <si>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</si>
  <si>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</si>
  <si>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</si>
  <si>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</si>
  <si>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</si>
  <si>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</si>
  <si>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</si>
  <si>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</si>
  <si>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</si>
  <si>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</si>
  <si>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</si>
  <si>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</si>
  <si>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</si>
  <si>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</si>
  <si>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</si>
  <si>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</si>
  <si>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</si>
  <si>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</si>
  <si>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</si>
  <si>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</si>
  <si>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</si>
  <si>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</si>
  <si>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</si>
  <si>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</si>
  <si>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</si>
  <si>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</si>
  <si>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</si>
  <si>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</si>
  <si>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</si>
  <si>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</si>
  <si>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</si>
  <si>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</si>
  <si>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</si>
  <si>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</si>
  <si>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</si>
  <si>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</si>
  <si>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</si>
  <si>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</si>
  <si>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</si>
  <si>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</si>
  <si>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</si>
  <si>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</si>
  <si>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</si>
  <si>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</si>
  <si>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</si>
  <si>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</si>
  <si>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</si>
  <si>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</si>
  <si>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</si>
  <si>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</si>
  <si>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</si>
  <si>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</si>
  <si>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</si>
  <si>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</si>
  <si>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</si>
  <si>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</si>
  <si>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</si>
  <si>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</si>
  <si>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</si>
  <si>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</si>
  <si>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</si>
  <si>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</si>
  <si>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</si>
  <si>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</si>
  <si>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</si>
  <si>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</si>
  <si>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</si>
  <si>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</si>
  <si>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</si>
  <si>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</si>
  <si>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</si>
  <si>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</si>
  <si>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</si>
  <si>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</si>
  <si>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</si>
  <si>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</si>
  <si>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</si>
  <si>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</si>
  <si>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</si>
  <si>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</si>
  <si>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</si>
  <si>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</si>
  <si>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</si>
  <si>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</si>
  <si>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</si>
  <si>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</si>
  <si>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</si>
  <si>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</si>
  <si>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</si>
  <si>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</si>
  <si>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</si>
  <si>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</si>
  <si>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</si>
  <si>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</si>
  <si>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</si>
  <si>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</si>
  <si>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</si>
  <si>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</si>
  <si>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</si>
  <si>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</si>
  <si>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</si>
  <si>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</si>
  <si>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</si>
  <si>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</si>
  <si>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</si>
  <si>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</si>
  <si>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</si>
  <si>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</si>
  <si>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</si>
  <si>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</si>
  <si>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</si>
  <si>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</si>
  <si>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</si>
  <si>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</si>
  <si>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</si>
  <si>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</si>
  <si>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</si>
  <si>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</si>
  <si>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</si>
  <si>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</si>
  <si>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</si>
  <si>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</si>
  <si>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</si>
  <si>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</si>
  <si>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</si>
  <si>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</si>
  <si>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</si>
  <si>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</si>
  <si>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</si>
  <si>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</si>
  <si>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</si>
  <si>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</si>
  <si>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</si>
  <si>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</si>
  <si>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</si>
  <si>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</si>
  <si>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</si>
  <si>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</si>
  <si>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</si>
  <si>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</si>
  <si>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</si>
  <si>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</si>
  <si>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</si>
  <si>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</si>
  <si>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</si>
  <si>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</si>
  <si>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</si>
  <si>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</si>
  <si>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</si>
  <si>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</si>
  <si>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</si>
  <si>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</si>
  <si>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</si>
  <si>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</si>
  <si>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</si>
  <si>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</si>
  <si>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</si>
  <si>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</si>
  <si>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</si>
  <si>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</si>
  <si>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</si>
  <si>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</si>
  <si>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</si>
  <si>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</si>
  <si>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</si>
  <si>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</si>
  <si>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</si>
  <si>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</si>
  <si>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</si>
  <si>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</si>
  <si>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</si>
  <si>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</si>
  <si>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</si>
  <si>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</si>
  <si>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</si>
  <si>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</si>
  <si>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</si>
  <si>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</si>
  <si>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</si>
  <si>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</si>
  <si>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</si>
  <si>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</si>
  <si>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</si>
  <si>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</si>
  <si>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</si>
  <si>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</si>
  <si>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</si>
  <si>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</si>
  <si>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</si>
  <si>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</si>
  <si>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</si>
  <si>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</si>
  <si>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</si>
  <si>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</si>
  <si>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</si>
  <si>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</si>
  <si>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</si>
  <si>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</si>
  <si>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</si>
  <si>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</si>
  <si>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</si>
  <si>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</si>
  <si>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</si>
  <si>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</si>
  <si>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</si>
  <si>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</si>
  <si>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</si>
  <si>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</si>
  <si>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</si>
  <si>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</si>
  <si>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</si>
  <si>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</si>
  <si>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</si>
  <si>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</si>
  <si>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</si>
  <si>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</si>
  <si>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</si>
  <si>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</si>
  <si>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</si>
  <si>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</si>
  <si>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</si>
  <si>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</si>
  <si>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</si>
  <si>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</si>
  <si>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</si>
  <si>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</si>
  <si>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</si>
  <si>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</si>
  <si>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</si>
  <si>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</si>
  <si>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</si>
  <si>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</si>
  <si>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</si>
  <si>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</si>
  <si>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</si>
  <si>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</si>
  <si>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</si>
  <si>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</si>
  <si>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</si>
  <si>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</si>
  <si>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</si>
  <si>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</si>
  <si>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</si>
  <si>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</si>
  <si>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</si>
  <si>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</si>
  <si>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</si>
  <si>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</si>
  <si>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</si>
  <si>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</si>
  <si>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</si>
  <si>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</si>
  <si>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</si>
  <si>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</si>
  <si>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</si>
  <si>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</si>
  <si>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</si>
  <si>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</si>
  <si>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</si>
  <si>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</si>
  <si>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</si>
  <si>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</si>
  <si>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</si>
  <si>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</si>
  <si>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</si>
  <si>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</si>
  <si>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</si>
  <si>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</si>
  <si>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</si>
  <si>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</si>
  <si>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</si>
  <si>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</si>
  <si>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</si>
  <si>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</si>
  <si>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</si>
  <si>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</si>
  <si>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</si>
  <si>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</si>
  <si>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</si>
  <si>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</si>
  <si>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</si>
  <si>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</si>
  <si>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</si>
  <si>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</si>
  <si>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</si>
  <si>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</si>
  <si>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</si>
  <si>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</si>
  <si>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</si>
  <si>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</si>
  <si>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</si>
  <si>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</si>
  <si>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</si>
  <si>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</si>
  <si>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</si>
  <si>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</si>
  <si>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</si>
  <si>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</si>
  <si>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</si>
  <si>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</si>
  <si>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</si>
  <si>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</si>
  <si>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</si>
  <si>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</si>
  <si>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</si>
  <si>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</si>
  <si>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</si>
  <si>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</si>
  <si>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</si>
  <si>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</si>
  <si>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</si>
  <si>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</si>
  <si>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</si>
  <si>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</si>
  <si>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</si>
  <si>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</si>
  <si>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</si>
  <si>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</si>
  <si>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</si>
  <si>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</si>
  <si>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</si>
  <si>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</si>
  <si>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</si>
  <si>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</si>
  <si>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</si>
  <si>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</si>
  <si>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</si>
  <si>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</si>
  <si>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</si>
  <si>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</si>
  <si>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</si>
  <si>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</si>
  <si>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</si>
  <si>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</si>
  <si>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</si>
  <si>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</si>
  <si>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</si>
  <si>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</si>
  <si>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</si>
  <si>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</si>
  <si>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</si>
  <si>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</si>
  <si>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</si>
  <si>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</si>
  <si>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</si>
  <si>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</si>
  <si>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</si>
  <si>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</si>
  <si>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</si>
  <si>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</si>
  <si>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</si>
  <si>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</si>
  <si>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</si>
  <si>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</si>
  <si>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</si>
  <si>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</si>
  <si>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</si>
  <si>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</si>
  <si>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</si>
  <si>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</si>
  <si>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</si>
  <si>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</si>
  <si>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</si>
  <si>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</si>
  <si>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</si>
  <si>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</si>
  <si>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</si>
  <si>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</si>
  <si>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</si>
  <si>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</si>
  <si>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</si>
  <si>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</si>
  <si>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</si>
  <si>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</si>
  <si>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</si>
  <si>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</si>
  <si>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</si>
  <si>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</si>
  <si>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</si>
  <si>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</si>
  <si>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</si>
  <si>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</si>
  <si>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</si>
  <si>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</si>
  <si>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</si>
  <si>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</si>
  <si>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</si>
  <si>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</si>
  <si>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</si>
  <si>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</si>
  <si>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</si>
  <si>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</si>
  <si>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</si>
  <si>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</si>
  <si>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</si>
  <si>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</si>
  <si>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</si>
  <si>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</si>
  <si>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</si>
  <si>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</si>
  <si>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</si>
  <si>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</si>
  <si>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</si>
  <si>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</si>
  <si>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</si>
  <si>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</si>
  <si>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</si>
  <si>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</si>
  <si>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</si>
  <si>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</si>
  <si>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</si>
  <si>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</si>
  <si>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</si>
  <si>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</si>
  <si>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</si>
  <si>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</si>
  <si>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</si>
  <si>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</si>
  <si>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</si>
  <si>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</si>
  <si>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</si>
  <si>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</si>
  <si>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</si>
  <si>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</si>
  <si>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</si>
  <si>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</si>
  <si>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</si>
  <si>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</si>
  <si>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</si>
  <si>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</si>
  <si>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</si>
  <si>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</si>
  <si>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</si>
  <si>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</si>
  <si>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</si>
  <si>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</si>
  <si>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</si>
  <si>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</si>
  <si>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</si>
  <si>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</si>
  <si>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</si>
  <si>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</si>
  <si>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</si>
  <si>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</si>
  <si>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</si>
  <si>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</si>
  <si>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</si>
  <si>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</si>
  <si>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</si>
  <si>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</si>
  <si>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</si>
  <si>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</si>
  <si>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</si>
  <si>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</si>
  <si>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</si>
  <si>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</si>
  <si>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</si>
  <si>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</si>
  <si>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</si>
  <si>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</si>
  <si>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</si>
  <si>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</si>
  <si>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</si>
  <si>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</si>
  <si>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</si>
  <si>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</si>
  <si>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</si>
  <si>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</si>
  <si>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</si>
  <si>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</si>
  <si>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</si>
  <si>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</si>
  <si>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</si>
  <si>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</si>
  <si>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</si>
  <si>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</si>
  <si>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</si>
  <si>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</si>
  <si>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</si>
  <si>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</si>
  <si>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</si>
  <si>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</si>
  <si>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</si>
  <si>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</si>
  <si>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</si>
  <si>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</si>
  <si>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</si>
  <si>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</si>
  <si>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</si>
  <si>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</si>
  <si>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</si>
  <si>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</si>
  <si>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</si>
  <si>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</si>
  <si>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</si>
  <si>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</si>
  <si>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</si>
  <si>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</si>
  <si>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</si>
  <si>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</si>
  <si>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</si>
  <si>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</si>
  <si>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</si>
  <si>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</si>
  <si>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</si>
  <si>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</si>
  <si>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</si>
  <si>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</si>
  <si>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</si>
  <si>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</si>
  <si>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</si>
  <si>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</si>
  <si>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</si>
  <si>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</si>
  <si>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</si>
  <si>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</si>
  <si>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</si>
  <si>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</si>
  <si>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</si>
  <si>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</si>
  <si>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</si>
  <si>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</si>
  <si>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</si>
  <si>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</si>
  <si>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</si>
  <si>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</si>
  <si>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</si>
  <si>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</si>
  <si>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</si>
  <si>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</si>
  <si>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</si>
  <si>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</si>
  <si>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</si>
  <si>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</si>
  <si>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</si>
  <si>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</si>
  <si>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</si>
  <si>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</si>
  <si>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</si>
  <si>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</si>
  <si>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</si>
  <si>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</si>
  <si>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</si>
  <si>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</si>
  <si>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</si>
  <si>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</si>
  <si>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</si>
  <si>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</si>
  <si>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</si>
  <si>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</si>
  <si>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</si>
  <si>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</si>
  <si>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</si>
  <si>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</si>
  <si>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</si>
  <si>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</si>
  <si>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</si>
  <si>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</si>
  <si>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</si>
  <si>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</si>
  <si>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</si>
  <si>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</si>
  <si>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</si>
  <si>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</si>
  <si>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</si>
  <si>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</si>
  <si>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</si>
  <si>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</si>
  <si>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</si>
  <si>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</si>
  <si>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</si>
  <si>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</si>
  <si>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</si>
  <si>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</si>
  <si>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</si>
  <si>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</si>
  <si>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</si>
  <si>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</si>
  <si>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</si>
  <si>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</si>
  <si>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</si>
  <si>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</si>
  <si>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</si>
  <si>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</si>
  <si>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</si>
  <si>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</si>
  <si>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</si>
  <si>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</si>
  <si>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</si>
  <si>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</si>
  <si>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</si>
  <si>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</si>
  <si>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</si>
  <si>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</si>
  <si>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</si>
  <si>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</si>
  <si>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</si>
  <si>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</si>
  <si>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</si>
  <si>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</si>
  <si>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</si>
  <si>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</si>
  <si>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</si>
  <si>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</si>
  <si>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</si>
  <si>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</si>
  <si>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</si>
  <si>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</si>
  <si>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</si>
  <si>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</si>
  <si>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</si>
  <si>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</si>
  <si>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</si>
  <si>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</si>
  <si>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</si>
  <si>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</si>
  <si>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</si>
  <si>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</si>
  <si>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</si>
  <si>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</si>
  <si>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</si>
  <si>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</si>
  <si>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</si>
  <si>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</si>
  <si>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</si>
  <si>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</si>
  <si>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</si>
  <si>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</si>
  <si>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</si>
  <si>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</si>
  <si>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</si>
  <si>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</si>
  <si>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</si>
  <si>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</si>
  <si>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</si>
  <si>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</si>
  <si>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</si>
  <si>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</si>
  <si>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</si>
  <si>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</si>
  <si>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</si>
  <si>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</si>
  <si>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</si>
  <si>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</si>
  <si>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</si>
  <si>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</si>
  <si>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</si>
  <si>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</si>
  <si>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</si>
  <si>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</si>
  <si>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</si>
  <si>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</si>
  <si>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</si>
  <si>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</si>
  <si>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</si>
  <si>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</si>
  <si>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</si>
  <si>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</si>
  <si>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</si>
  <si>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</si>
  <si>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</si>
  <si>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</si>
  <si>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</si>
  <si>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</si>
  <si>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</si>
  <si>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</si>
  <si>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</si>
  <si>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</si>
  <si>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</si>
  <si>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</si>
  <si>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</si>
  <si>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</si>
  <si>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</si>
  <si>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</si>
  <si>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</si>
  <si>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</si>
  <si>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</si>
  <si>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</si>
  <si>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</si>
  <si>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</si>
  <si>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</si>
  <si>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</si>
  <si>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</si>
  <si>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</si>
  <si>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</si>
  <si>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</si>
  <si>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</si>
  <si>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</si>
  <si>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</si>
  <si>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</si>
  <si>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</si>
  <si>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</si>
  <si>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</si>
  <si>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</si>
  <si>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</si>
  <si>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</si>
  <si>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</si>
  <si>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</si>
  <si>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</si>
  <si>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</si>
  <si>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</si>
  <si>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</si>
  <si>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</si>
  <si>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</si>
  <si>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</si>
  <si>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</si>
  <si>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</si>
  <si>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</si>
  <si>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</si>
  <si>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</si>
  <si>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</si>
  <si>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</si>
  <si>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</si>
  <si>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</si>
  <si>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</si>
  <si>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</si>
  <si>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</si>
  <si>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</si>
  <si>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</si>
  <si>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</si>
  <si>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</si>
  <si>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</si>
  <si>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</si>
  <si>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</si>
  <si>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</si>
  <si>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</si>
  <si>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</si>
  <si>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</si>
  <si>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</si>
  <si>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</si>
  <si>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</si>
  <si>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</si>
  <si>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</si>
  <si>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</si>
  <si>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</si>
  <si>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</si>
  <si>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</si>
  <si>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</si>
  <si>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</si>
  <si>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</si>
  <si>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</si>
  <si>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</si>
  <si>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</si>
  <si>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</si>
  <si>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</si>
  <si>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</si>
  <si>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</si>
  <si>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</si>
  <si>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</si>
  <si>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</si>
  <si>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</si>
  <si>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</si>
  <si>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</si>
  <si>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</si>
  <si>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</si>
  <si>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</si>
  <si>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</si>
  <si>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</si>
  <si>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</si>
  <si>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</si>
  <si>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</si>
  <si>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</si>
  <si>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</si>
  <si>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</si>
  <si>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</si>
  <si>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</si>
  <si>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</si>
  <si>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</si>
  <si>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</si>
  <si>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</si>
  <si>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</si>
  <si>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</si>
  <si>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</si>
  <si>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</si>
  <si>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</si>
  <si>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</si>
  <si>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</si>
  <si>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</si>
  <si>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</si>
  <si>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</si>
  <si>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</si>
  <si>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</si>
  <si>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</si>
  <si>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</si>
  <si>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</si>
  <si>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</si>
  <si>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</si>
  <si>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</si>
  <si>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</si>
  <si>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</si>
  <si>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</si>
  <si>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</si>
  <si>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</si>
  <si>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</si>
  <si>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</si>
  <si>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</si>
  <si>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</si>
  <si>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</si>
  <si>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</si>
  <si>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</si>
  <si>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</si>
  <si>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</si>
  <si>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</si>
  <si>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</si>
  <si>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</si>
  <si>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</si>
  <si>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</si>
  <si>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</si>
  <si>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</si>
  <si>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</si>
  <si>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</si>
  <si>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</si>
  <si>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</si>
  <si>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</si>
  <si>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</si>
  <si>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</si>
  <si>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</si>
  <si>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</si>
  <si>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</si>
  <si>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</si>
  <si>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</si>
  <si>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</si>
  <si>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</si>
  <si>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</si>
  <si>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</si>
  <si>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</si>
  <si>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</si>
  <si>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</si>
  <si>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</si>
  <si>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</si>
  <si>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</si>
  <si>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</si>
  <si>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</si>
  <si>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</si>
  <si>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</si>
  <si>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</si>
  <si>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</si>
  <si>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</si>
  <si>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</si>
  <si>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</si>
  <si>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</si>
  <si>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</si>
  <si>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</si>
  <si>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</si>
  <si>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</si>
  <si>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</si>
  <si>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</si>
  <si>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</si>
  <si>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</si>
  <si>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</si>
  <si>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</si>
  <si>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</si>
  <si>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</si>
  <si>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</si>
  <si>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</si>
  <si>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</si>
  <si>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</si>
  <si>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</si>
  <si>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</si>
  <si>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</si>
  <si>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</si>
  <si>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</si>
  <si>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</si>
  <si>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</si>
  <si>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</si>
  <si>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</si>
  <si>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</si>
  <si>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</si>
  <si>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</si>
  <si>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</si>
  <si>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</si>
  <si>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</si>
  <si>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</si>
  <si>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</si>
  <si>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</si>
  <si>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</si>
  <si>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</si>
  <si>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</si>
  <si>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</si>
  <si>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</si>
  <si>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</si>
  <si>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</si>
  <si>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</si>
  <si>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</si>
  <si>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</si>
  <si>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</si>
  <si>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</si>
  <si>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</si>
  <si>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</si>
  <si>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</si>
  <si>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</si>
  <si>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</si>
  <si>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</si>
  <si>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</si>
  <si>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</si>
  <si>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</si>
  <si>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</si>
  <si>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</si>
  <si>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</si>
  <si>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</si>
  <si>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</si>
  <si>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</si>
  <si>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</si>
  <si>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</si>
  <si>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</si>
  <si>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</si>
  <si>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</si>
  <si>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</si>
  <si>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</si>
  <si>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</si>
  <si>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</si>
  <si>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</si>
  <si>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</si>
  <si>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</si>
  <si>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</si>
  <si>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</si>
  <si>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</si>
  <si>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</si>
  <si>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</si>
  <si>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</si>
  <si>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</si>
  <si>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</si>
  <si>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</si>
  <si>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</si>
  <si>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</si>
  <si>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</si>
  <si>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</si>
  <si>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</si>
  <si>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</si>
  <si>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</si>
  <si>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</si>
  <si>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</si>
  <si>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</si>
  <si>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</si>
  <si>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</si>
  <si>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</si>
  <si>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</si>
  <si>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</si>
  <si>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</si>
  <si>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</si>
  <si>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</si>
  <si>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</si>
  <si>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</si>
  <si>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</si>
  <si>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1608 5th Avenue</t>
  </si>
  <si>
    <t>Sterling</t>
  </si>
  <si>
    <t>wacc.net</t>
  </si>
  <si>
    <t>Wipfli LLP</t>
  </si>
  <si>
    <t>Matthew Schueler</t>
  </si>
  <si>
    <t>403 East Third</t>
  </si>
  <si>
    <t>Illinois</t>
  </si>
  <si>
    <t>815-626-1277</t>
  </si>
  <si>
    <t>066-004023</t>
  </si>
  <si>
    <t>mschueler@wipfli.com</t>
  </si>
  <si>
    <t>Dr. R. Tad Everett</t>
  </si>
  <si>
    <t>teverett@sps5.org</t>
  </si>
  <si>
    <t>815-626-5050</t>
  </si>
  <si>
    <t>815-622-4156</t>
  </si>
  <si>
    <t xml:space="preserve">  Fund 10, Other Food Service Income, account 1690 - Food Service program sales</t>
  </si>
  <si>
    <t xml:space="preserve">  Fund 10 Other Revenue from Local sources, Account 1999 - Miscellaneous Income and Operation Fees</t>
  </si>
  <si>
    <t>Fund 10, Line 83 Function 4190 - Cosmetology Services</t>
  </si>
  <si>
    <t>Instruction - CTE Program</t>
  </si>
  <si>
    <t>Own Harrell</t>
  </si>
  <si>
    <t>Instruction - CEO program</t>
  </si>
  <si>
    <t>Sauk Valley Community College</t>
  </si>
  <si>
    <t>Whiteside</t>
  </si>
  <si>
    <t>815-399-7700</t>
  </si>
  <si>
    <t xml:space="preserve">  Whiteside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</si>
</sst>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8"/>
      <color rgb="FF000000"/>
      <name val="Tahoma"/>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 fillId="0" borderId="0" xfId="3"/>
    <xf numFmtId="0" fontId="0"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16" borderId="155" xfId="19" applyNumberFormat="1" applyFont="1" applyFill="1" applyBorder="1" applyAlignment="1" applyProtection="1">
      <alignment horizontal="righ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426294</xdr:colOff>
      <xdr:row>47</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12694" cy="7648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125" zoomScaleNormal="12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42578125" style="26" customWidth="1"/>
    <col min="7" max="7" width="8.28515625" style="26" customWidth="1"/>
    <col min="8" max="8" width="8.7109375" style="26" customWidth="1"/>
    <col min="9" max="9" width="1.42578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100">
        <v>47098005046</v>
      </c>
      <c r="B13" s="2101"/>
      <c r="C13" s="2101"/>
      <c r="D13" s="2101"/>
      <c r="E13" s="2101"/>
      <c r="F13" s="2101"/>
      <c r="G13" s="2101"/>
      <c r="H13" s="2102"/>
      <c r="I13" s="31"/>
      <c r="J13" s="30"/>
      <c r="K13" s="28"/>
      <c r="L13" s="30"/>
      <c r="M13" s="30"/>
      <c r="N13" s="30"/>
      <c r="O13" s="30"/>
      <c r="P13" s="30"/>
      <c r="Q13" s="30"/>
      <c r="R13" s="30"/>
      <c r="S13" s="30"/>
      <c r="T13" s="2106" t="s">
        <v>2055</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2073</v>
      </c>
      <c r="B15" s="2104"/>
      <c r="C15" s="2104"/>
      <c r="D15" s="2104"/>
      <c r="E15" s="2104"/>
      <c r="F15" s="2104"/>
      <c r="G15" s="2104"/>
      <c r="H15" s="2105"/>
      <c r="T15" s="2110" t="s">
        <v>2056</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2075</v>
      </c>
      <c r="B17" s="2074"/>
      <c r="C17" s="2074"/>
      <c r="D17" s="2074"/>
      <c r="E17" s="2074"/>
      <c r="F17" s="2074"/>
      <c r="G17" s="2074"/>
      <c r="H17" s="2099"/>
      <c r="T17" s="2117" t="s">
        <v>2057</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2052</v>
      </c>
      <c r="B19" s="2059"/>
      <c r="C19" s="2059"/>
      <c r="D19" s="2059"/>
      <c r="E19" s="2059"/>
      <c r="F19" s="2059"/>
      <c r="G19" s="2059"/>
      <c r="H19" s="2039"/>
      <c r="I19" s="30"/>
      <c r="J19" s="96"/>
      <c r="K19" s="40"/>
      <c r="L19" s="38"/>
      <c r="M19" s="109" t="s">
        <v>312</v>
      </c>
      <c r="P19" s="27"/>
      <c r="Q19" s="27"/>
      <c r="R19" s="27"/>
      <c r="S19" s="31"/>
      <c r="T19" s="2103" t="s">
        <v>2053</v>
      </c>
      <c r="U19" s="2038"/>
      <c r="V19" s="2038"/>
      <c r="W19" s="2039"/>
      <c r="X19" s="2115" t="s">
        <v>2058</v>
      </c>
      <c r="Y19" s="2116"/>
      <c r="Z19" s="2113">
        <v>61081</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2053</v>
      </c>
      <c r="B21" s="2038"/>
      <c r="C21" s="2038"/>
      <c r="D21" s="2038"/>
      <c r="E21" s="2038"/>
      <c r="F21" s="2038"/>
      <c r="G21" s="2038"/>
      <c r="H21" s="2039"/>
      <c r="I21" s="2093" t="s">
        <v>673</v>
      </c>
      <c r="J21" s="2088"/>
      <c r="K21" s="2088"/>
      <c r="L21" s="2088"/>
      <c r="M21" s="2088"/>
      <c r="N21" s="2088"/>
      <c r="O21" s="2088"/>
      <c r="P21" s="2088"/>
      <c r="Q21" s="2088"/>
      <c r="R21" s="2088"/>
      <c r="S21" s="2094"/>
      <c r="T21" s="2128" t="s">
        <v>2059</v>
      </c>
      <c r="U21" s="2129"/>
      <c r="V21" s="2129"/>
      <c r="W21" s="2129"/>
      <c r="X21" s="2134" t="s">
        <v>2074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2054</v>
      </c>
      <c r="B23" s="2091"/>
      <c r="C23" s="2091"/>
      <c r="D23" s="2091"/>
      <c r="E23" s="2091"/>
      <c r="F23" s="2091"/>
      <c r="G23" s="2091"/>
      <c r="H23" s="2092"/>
      <c r="T23" s="2073" t="s">
        <v>2060</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61081</v>
      </c>
      <c r="B25" s="2038"/>
      <c r="C25" s="2038"/>
      <c r="D25" s="2038"/>
      <c r="E25" s="2038"/>
      <c r="F25" s="2038"/>
      <c r="G25" s="2038"/>
      <c r="H25" s="2039"/>
      <c r="I25" s="110"/>
      <c r="J25" s="2062"/>
      <c r="K25" s="2062"/>
      <c r="L25" s="2062"/>
      <c r="M25" s="2062"/>
      <c r="N25" s="2062"/>
      <c r="O25" s="2062"/>
      <c r="P25" s="2062"/>
      <c r="Q25" s="2062"/>
      <c r="R25" s="2062"/>
      <c r="S25" s="2063"/>
      <c r="T25" s="2124" t="s">
        <v>2061</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2064</v>
      </c>
      <c r="B42" s="2057"/>
      <c r="C42" s="2058"/>
      <c r="D42" s="2056" t="s">
        <v>2065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5" zoomScaleNormal="125" workbookViewId="0">
      <pane ySplit="2" topLeftCell="A174" activePane="bottomLeft" state="frozen"/>
      <selection activeCell="X22" sqref="X22"/>
      <selection pane="bottomLeft" activeCell="X22" sqref="X22"/>
    </sheetView>
  </sheetViews>
  <sheetFormatPr defaultColWidth="9.140625" defaultRowHeight="12.75" x14ac:dyDescent="0.2"/>
  <cols>
    <col min="1" max="1" width="48.42578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42578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v>9150</v>
      </c>
    </row>
    <row r="13" spans="1:14" x14ac:dyDescent="0.2">
      <c r="A13" s="1274" t="s">
        <v>718</v>
      </c>
      <c r="B13" s="503">
        <v>1400</v>
      </c>
      <c r="C13" s="1573">
        <f>183037+192315+254026</f>
        <v>629378</v>
      </c>
      <c r="D13" s="1573">
        <f>51041+55077+89478</f>
        <v>195596</v>
      </c>
      <c r="E13" s="1573">
        <f>34726+15364</f>
        <v>50090</v>
      </c>
      <c r="F13" s="1573">
        <f>58305+1295+27179</f>
        <v>86779</v>
      </c>
      <c r="G13" s="1573">
        <f>19400</f>
        <v>19400</v>
      </c>
      <c r="H13" s="1573"/>
      <c r="I13" s="1574">
        <f>4534+4209</f>
        <v>8743</v>
      </c>
      <c r="J13" s="1574"/>
      <c r="K13" s="1672">
        <f t="shared" si="0"/>
        <v>989986</v>
      </c>
      <c r="L13" s="1573">
        <v>1101332</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95" customHeight="1" x14ac:dyDescent="0.2">
      <c r="A24" s="1275" t="s">
        <v>737</v>
      </c>
      <c r="B24" s="494" t="s">
        <v>724</v>
      </c>
      <c r="C24" s="1582"/>
      <c r="D24" s="1582"/>
      <c r="E24" s="1582"/>
      <c r="F24" s="1582"/>
      <c r="G24" s="1582"/>
      <c r="H24" s="1579"/>
      <c r="I24" s="1673"/>
      <c r="J24" s="1582"/>
      <c r="K24" s="1672">
        <f t="shared" si="0"/>
        <v>0</v>
      </c>
      <c r="L24" s="1577"/>
    </row>
    <row r="25" spans="1:12" ht="12.9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95" customHeight="1" thickBot="1" x14ac:dyDescent="0.25">
      <c r="A33" s="1380" t="s">
        <v>1649</v>
      </c>
      <c r="B33" s="1381" t="s">
        <v>566</v>
      </c>
      <c r="C33" s="1674">
        <f>SUM(C5:C32)</f>
        <v>629378</v>
      </c>
      <c r="D33" s="1674">
        <f t="shared" ref="D33:L33" si="1">SUM(D5:D32)</f>
        <v>195596</v>
      </c>
      <c r="E33" s="1674">
        <f t="shared" si="1"/>
        <v>50090</v>
      </c>
      <c r="F33" s="1674">
        <f t="shared" si="1"/>
        <v>86779</v>
      </c>
      <c r="G33" s="1674">
        <f t="shared" si="1"/>
        <v>19400</v>
      </c>
      <c r="H33" s="1674">
        <f t="shared" si="1"/>
        <v>0</v>
      </c>
      <c r="I33" s="1674">
        <f t="shared" si="1"/>
        <v>8743</v>
      </c>
      <c r="J33" s="1674">
        <f t="shared" si="1"/>
        <v>0</v>
      </c>
      <c r="K33" s="1674">
        <f t="shared" si="1"/>
        <v>989986</v>
      </c>
      <c r="L33" s="1674">
        <f t="shared" si="1"/>
        <v>1110482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55850</v>
      </c>
      <c r="D37" s="1573">
        <v>18581</v>
      </c>
      <c r="E37" s="1573">
        <v>39466</v>
      </c>
      <c r="F37" s="1573">
        <v>539</v>
      </c>
      <c r="G37" s="1573"/>
      <c r="H37" s="1573"/>
      <c r="I37" s="1574"/>
      <c r="J37" s="1574"/>
      <c r="K37" s="1672">
        <f t="shared" si="2"/>
        <v>114436</v>
      </c>
      <c r="L37" s="1573">
        <v>103152</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95" customHeight="1" thickBot="1" x14ac:dyDescent="0.25">
      <c r="A42" s="1380" t="s">
        <v>556</v>
      </c>
      <c r="B42" s="1381" t="s">
        <v>711</v>
      </c>
      <c r="C42" s="1674">
        <f>SUM(C36:C41)</f>
        <v>55850</v>
      </c>
      <c r="D42" s="1674">
        <f t="shared" ref="D42:L42" si="3">SUM(D36:D41)</f>
        <v>18581</v>
      </c>
      <c r="E42" s="1674">
        <f t="shared" si="3"/>
        <v>39466</v>
      </c>
      <c r="F42" s="1674">
        <f t="shared" si="3"/>
        <v>539</v>
      </c>
      <c r="G42" s="1674">
        <f t="shared" si="3"/>
        <v>0</v>
      </c>
      <c r="H42" s="1674">
        <f t="shared" si="3"/>
        <v>0</v>
      </c>
      <c r="I42" s="1674">
        <f t="shared" si="3"/>
        <v>0</v>
      </c>
      <c r="J42" s="1674">
        <f t="shared" si="3"/>
        <v>0</v>
      </c>
      <c r="K42" s="1674">
        <f t="shared" si="3"/>
        <v>114436</v>
      </c>
      <c r="L42" s="1674">
        <f t="shared" si="3"/>
        <v>103152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44077</v>
      </c>
      <c r="D44" s="1586">
        <v>33338</v>
      </c>
      <c r="E44" s="1586">
        <v>10185</v>
      </c>
      <c r="F44" s="1586">
        <v>261</v>
      </c>
      <c r="G44" s="1586"/>
      <c r="H44" s="1586"/>
      <c r="I44" s="1574"/>
      <c r="J44" s="1574"/>
      <c r="K44" s="1678">
        <f>SUM(C44:J44)</f>
        <v>87861</v>
      </c>
      <c r="L44" s="1586">
        <v>80602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95" customHeight="1" thickBot="1" x14ac:dyDescent="0.25">
      <c r="A47" s="1380" t="s">
        <v>557</v>
      </c>
      <c r="B47" s="1381" t="s">
        <v>32</v>
      </c>
      <c r="C47" s="1674">
        <f>SUM(C44:C46)</f>
        <v>44077</v>
      </c>
      <c r="D47" s="1674">
        <f t="shared" ref="D47:K47" si="4">SUM(D44:D46)</f>
        <v>33338</v>
      </c>
      <c r="E47" s="1674">
        <f t="shared" si="4"/>
        <v>10185</v>
      </c>
      <c r="F47" s="1674">
        <f t="shared" si="4"/>
        <v>261</v>
      </c>
      <c r="G47" s="1674">
        <f t="shared" si="4"/>
        <v>0</v>
      </c>
      <c r="H47" s="1674">
        <f t="shared" si="4"/>
        <v>0</v>
      </c>
      <c r="I47" s="1674">
        <f t="shared" si="4"/>
        <v>0</v>
      </c>
      <c r="J47" s="1674">
        <f t="shared" si="4"/>
        <v>0</v>
      </c>
      <c r="K47" s="1674">
        <f t="shared" si="4"/>
        <v>87861</v>
      </c>
      <c r="L47" s="1674">
        <f>SUM(L44:L46)</f>
        <v>80602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4732+30862</f>
        <v>35594</v>
      </c>
      <c r="D49" s="1586">
        <f>884+5865</f>
        <v>6749</v>
      </c>
      <c r="E49" s="1586">
        <f>1468+78829</f>
        <v>80297</v>
      </c>
      <c r="F49" s="1586">
        <f>3337</f>
        <v>3337</v>
      </c>
      <c r="G49" s="1586"/>
      <c r="H49" s="1586">
        <v>5118</v>
      </c>
      <c r="I49" s="1574"/>
      <c r="J49" s="1574"/>
      <c r="K49" s="1678">
        <f>SUM(C49:J49)</f>
        <v>131095</v>
      </c>
      <c r="L49" s="1586">
        <v>146263</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95" customHeight="1" thickBot="1" x14ac:dyDescent="0.25">
      <c r="A53" s="1380" t="s">
        <v>712</v>
      </c>
      <c r="B53" s="1381" t="s">
        <v>33</v>
      </c>
      <c r="C53" s="1674">
        <f>SUM(C49:C52)</f>
        <v>35594</v>
      </c>
      <c r="D53" s="1674">
        <f t="shared" ref="D53:L53" si="5">SUM(D49:D52)</f>
        <v>6749</v>
      </c>
      <c r="E53" s="1674">
        <f t="shared" si="5"/>
        <v>80297</v>
      </c>
      <c r="F53" s="1674">
        <f t="shared" si="5"/>
        <v>3337</v>
      </c>
      <c r="G53" s="1674">
        <f t="shared" si="5"/>
        <v>0</v>
      </c>
      <c r="H53" s="1674">
        <f t="shared" si="5"/>
        <v>5118</v>
      </c>
      <c r="I53" s="1674">
        <f t="shared" si="5"/>
        <v>0</v>
      </c>
      <c r="J53" s="1674">
        <f t="shared" si="5"/>
        <v>0</v>
      </c>
      <c r="K53" s="1674">
        <f t="shared" si="5"/>
        <v>131095</v>
      </c>
      <c r="L53" s="1674">
        <f t="shared" si="5"/>
        <v>146263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118258</v>
      </c>
      <c r="D55" s="1586">
        <v>28061</v>
      </c>
      <c r="E55" s="1586"/>
      <c r="F55" s="1586">
        <v>285</v>
      </c>
      <c r="G55" s="1586"/>
      <c r="H55" s="1586">
        <v>791</v>
      </c>
      <c r="I55" s="1574"/>
      <c r="J55" s="1574"/>
      <c r="K55" s="1678">
        <f>SUM(C55:J55)</f>
        <v>147395</v>
      </c>
      <c r="L55" s="1586">
        <v>149044</v>
      </c>
    </row>
    <row r="56" spans="1:14" ht="12.95" customHeight="1" x14ac:dyDescent="0.2">
      <c r="A56" s="1278" t="s">
        <v>373</v>
      </c>
      <c r="B56" s="512">
        <v>2490</v>
      </c>
      <c r="C56" s="1573"/>
      <c r="D56" s="1573"/>
      <c r="E56" s="1573"/>
      <c r="F56" s="1573"/>
      <c r="G56" s="1573"/>
      <c r="H56" s="1573"/>
      <c r="I56" s="1574"/>
      <c r="J56" s="1574"/>
      <c r="K56" s="1678">
        <f>SUM(C56:J56)</f>
        <v>0</v>
      </c>
      <c r="L56" s="1573"/>
    </row>
    <row r="57" spans="1:14" s="321" customFormat="1" ht="12.95" customHeight="1" thickBot="1" x14ac:dyDescent="0.25">
      <c r="A57" s="1380" t="s">
        <v>261</v>
      </c>
      <c r="B57" s="1382" t="s">
        <v>34</v>
      </c>
      <c r="C57" s="1679">
        <f>SUM(C55:C56)</f>
        <v>118258</v>
      </c>
      <c r="D57" s="1679">
        <f t="shared" ref="D57:K57" si="6">SUM(D55:D56)</f>
        <v>28061</v>
      </c>
      <c r="E57" s="1679">
        <f t="shared" si="6"/>
        <v>0</v>
      </c>
      <c r="F57" s="1679">
        <f t="shared" si="6"/>
        <v>285</v>
      </c>
      <c r="G57" s="1679">
        <f t="shared" si="6"/>
        <v>0</v>
      </c>
      <c r="H57" s="1679">
        <f t="shared" si="6"/>
        <v>791</v>
      </c>
      <c r="I57" s="1679">
        <f t="shared" si="6"/>
        <v>0</v>
      </c>
      <c r="J57" s="1679">
        <f t="shared" si="6"/>
        <v>0</v>
      </c>
      <c r="K57" s="1679">
        <f t="shared" si="6"/>
        <v>147395</v>
      </c>
      <c r="L57" s="1674">
        <f>SUM(L55:L56)</f>
        <v>149044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v>271</v>
      </c>
      <c r="F59" s="1586"/>
      <c r="G59" s="1586"/>
      <c r="H59" s="1586"/>
      <c r="I59" s="1574"/>
      <c r="J59" s="1574"/>
      <c r="K59" s="1678">
        <f t="shared" ref="K59:K64" si="7">SUM(C59:J59)</f>
        <v>271</v>
      </c>
      <c r="L59" s="1586">
        <v>2300</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95" customHeight="1" thickBot="1" x14ac:dyDescent="0.25">
      <c r="A65" s="1380" t="s">
        <v>714</v>
      </c>
      <c r="B65" s="1381" t="s">
        <v>35</v>
      </c>
      <c r="C65" s="1674">
        <f>SUM(C59:C64)</f>
        <v>0</v>
      </c>
      <c r="D65" s="1674">
        <f t="shared" ref="D65:L65" si="8">SUM(D59:D64)</f>
        <v>0</v>
      </c>
      <c r="E65" s="1674">
        <f t="shared" si="8"/>
        <v>271</v>
      </c>
      <c r="F65" s="1674">
        <f t="shared" si="8"/>
        <v>0</v>
      </c>
      <c r="G65" s="1674">
        <f t="shared" si="8"/>
        <v>0</v>
      </c>
      <c r="H65" s="1674">
        <f t="shared" si="8"/>
        <v>0</v>
      </c>
      <c r="I65" s="1674">
        <f t="shared" si="8"/>
        <v>0</v>
      </c>
      <c r="J65" s="1674">
        <f t="shared" si="8"/>
        <v>0</v>
      </c>
      <c r="K65" s="1674">
        <f t="shared" si="8"/>
        <v>271</v>
      </c>
      <c r="L65" s="1674">
        <f t="shared" si="8"/>
        <v>2300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9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95" customHeight="1" thickTop="1" thickBot="1" x14ac:dyDescent="0.25">
      <c r="A74" s="1380" t="s">
        <v>806</v>
      </c>
      <c r="B74" s="1384">
        <v>2000</v>
      </c>
      <c r="C74" s="1681">
        <f>SUM(C42,C47,C53,C57,C65,C72,C73)</f>
        <v>253779</v>
      </c>
      <c r="D74" s="1681">
        <f t="shared" ref="D74:K74" si="10">SUM(D42,D47,D53,D57,D65,D72,D73)</f>
        <v>86729</v>
      </c>
      <c r="E74" s="1681">
        <f t="shared" si="10"/>
        <v>130219</v>
      </c>
      <c r="F74" s="1681">
        <f t="shared" si="10"/>
        <v>4422</v>
      </c>
      <c r="G74" s="1681">
        <f t="shared" si="10"/>
        <v>0</v>
      </c>
      <c r="H74" s="1681">
        <f t="shared" si="10"/>
        <v>5909</v>
      </c>
      <c r="I74" s="1681">
        <f t="shared" si="10"/>
        <v>0</v>
      </c>
      <c r="J74" s="1681">
        <f t="shared" si="10"/>
        <v>0</v>
      </c>
      <c r="K74" s="1681">
        <f t="shared" si="10"/>
        <v>481058</v>
      </c>
      <c r="L74" s="1681">
        <f>SUM(L42,L47,L53,L57,L65,L72,L73)</f>
        <v>481361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183975</v>
      </c>
      <c r="I81" s="1582"/>
      <c r="J81" s="1582"/>
      <c r="K81" s="1672">
        <f t="shared" si="11"/>
        <v>183975</v>
      </c>
      <c r="L81" s="1573">
        <v>183975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29900</v>
      </c>
      <c r="I83" s="1582"/>
      <c r="J83" s="1582"/>
      <c r="K83" s="1672">
        <f t="shared" si="11"/>
        <v>29900</v>
      </c>
      <c r="L83" s="1573">
        <v>32400</v>
      </c>
    </row>
    <row r="84" spans="1:12" ht="13.5" thickBot="1" x14ac:dyDescent="0.25">
      <c r="A84" s="1380" t="s">
        <v>1468</v>
      </c>
      <c r="B84" s="1385">
        <v>4100</v>
      </c>
      <c r="C84" s="1673"/>
      <c r="D84" s="1673"/>
      <c r="E84" s="1674">
        <f>SUM(E78:E83)</f>
        <v>0</v>
      </c>
      <c r="F84" s="1673"/>
      <c r="G84" s="1673"/>
      <c r="H84" s="1674">
        <f>SUM(H78:H83)</f>
        <v>213875</v>
      </c>
      <c r="I84" s="1582"/>
      <c r="J84" s="1582"/>
      <c r="K84" s="1674">
        <f>SUM(K78:K83)</f>
        <v>213875</v>
      </c>
      <c r="L84" s="1674">
        <f>SUM(L78:L83)</f>
        <v>216375</v>
      </c>
    </row>
    <row r="85" spans="1:12" ht="12.95" customHeight="1" thickTop="1" thickBot="1" x14ac:dyDescent="0.25">
      <c r="A85" s="1281" t="s">
        <v>253</v>
      </c>
      <c r="B85" s="517">
        <v>4210</v>
      </c>
      <c r="C85" s="1673"/>
      <c r="D85" s="1673"/>
      <c r="E85" s="1683"/>
      <c r="F85" s="1673"/>
      <c r="G85" s="1673"/>
      <c r="H85" s="1630"/>
      <c r="I85" s="1582"/>
      <c r="J85" s="1582"/>
      <c r="K85" s="1681">
        <f>H85</f>
        <v>0</v>
      </c>
      <c r="L85" s="1626"/>
    </row>
    <row r="86" spans="1:12" ht="12.9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95" customHeight="1" thickTop="1" thickBot="1" x14ac:dyDescent="0.25">
      <c r="A88" s="1283" t="s">
        <v>760</v>
      </c>
      <c r="B88" s="519">
        <v>4240</v>
      </c>
      <c r="C88" s="1673"/>
      <c r="D88" s="1673"/>
      <c r="E88" s="1684"/>
      <c r="F88" s="1673"/>
      <c r="G88" s="1673"/>
      <c r="H88" s="1574"/>
      <c r="I88" s="1582"/>
      <c r="J88" s="1582"/>
      <c r="K88" s="1681">
        <f t="shared" si="12"/>
        <v>0</v>
      </c>
      <c r="L88" s="1626"/>
    </row>
    <row r="89" spans="1:12" ht="12.95" customHeight="1" thickTop="1" thickBot="1" x14ac:dyDescent="0.25">
      <c r="A89" s="1283" t="s">
        <v>696</v>
      </c>
      <c r="B89" s="519">
        <v>4270</v>
      </c>
      <c r="C89" s="1673"/>
      <c r="D89" s="1673"/>
      <c r="E89" s="1684"/>
      <c r="F89" s="1673"/>
      <c r="G89" s="1673"/>
      <c r="H89" s="1574"/>
      <c r="I89" s="1582"/>
      <c r="J89" s="1582"/>
      <c r="K89" s="1681">
        <f t="shared" si="12"/>
        <v>0</v>
      </c>
      <c r="L89" s="1626"/>
    </row>
    <row r="90" spans="1:12" ht="12.95" customHeight="1" thickTop="1" thickBot="1" x14ac:dyDescent="0.25">
      <c r="A90" s="1283" t="s">
        <v>681</v>
      </c>
      <c r="B90" s="519">
        <v>4280</v>
      </c>
      <c r="C90" s="1673"/>
      <c r="D90" s="1673"/>
      <c r="E90" s="1684"/>
      <c r="F90" s="1673"/>
      <c r="G90" s="1673"/>
      <c r="H90" s="1574"/>
      <c r="I90" s="1582"/>
      <c r="J90" s="1582"/>
      <c r="K90" s="1681">
        <f t="shared" si="12"/>
        <v>0</v>
      </c>
      <c r="L90" s="1626"/>
    </row>
    <row r="91" spans="1:12" ht="12.9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9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9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9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95" customHeight="1" thickTop="1" thickBot="1" x14ac:dyDescent="0.25">
      <c r="A102" s="1380" t="s">
        <v>1470</v>
      </c>
      <c r="B102" s="1385">
        <v>4000</v>
      </c>
      <c r="C102" s="1673"/>
      <c r="D102" s="1673"/>
      <c r="E102" s="1681">
        <f>SUM(E84,E92,E100,E101)</f>
        <v>0</v>
      </c>
      <c r="F102" s="1673"/>
      <c r="G102" s="1673"/>
      <c r="H102" s="1681">
        <f>SUM(H84,H92,H100,H101)</f>
        <v>213875</v>
      </c>
      <c r="I102" s="1582"/>
      <c r="J102" s="1582"/>
      <c r="K102" s="1681">
        <f>SUM(K84,K92,K100,K101)</f>
        <v>213875</v>
      </c>
      <c r="L102" s="1681">
        <f>SUM(L84,L92,L100,L101)</f>
        <v>216375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9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9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9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9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95" customHeight="1" thickTop="1" thickBot="1" x14ac:dyDescent="0.25">
      <c r="A114" s="1380" t="s">
        <v>48</v>
      </c>
      <c r="B114" s="1388"/>
      <c r="C114" s="1674">
        <f>SUM(C33,C74,C75,C102,C112,C113)</f>
        <v>883157</v>
      </c>
      <c r="D114" s="1674">
        <f t="shared" ref="D114:K114" si="13">SUM(D33,D74,D75,D102,D112,D113)</f>
        <v>282325</v>
      </c>
      <c r="E114" s="1674">
        <f t="shared" si="13"/>
        <v>180309</v>
      </c>
      <c r="F114" s="1674">
        <f t="shared" si="13"/>
        <v>91201</v>
      </c>
      <c r="G114" s="1674">
        <f t="shared" si="13"/>
        <v>19400</v>
      </c>
      <c r="H114" s="1674">
        <f>SUM(H33,H74,H75,H102,H112,H113)</f>
        <v>219784</v>
      </c>
      <c r="I114" s="1674">
        <f t="shared" si="13"/>
        <v>8743</v>
      </c>
      <c r="J114" s="1674">
        <f t="shared" si="13"/>
        <v>0</v>
      </c>
      <c r="K114" s="1674">
        <f t="shared" si="13"/>
        <v>1684919</v>
      </c>
      <c r="L114" s="1674">
        <f>SUM(L33,L74,L75,L102,L112,L113)</f>
        <v>1808218</v>
      </c>
    </row>
    <row r="115" spans="1:14" ht="13.5" thickTop="1" x14ac:dyDescent="0.2">
      <c r="A115" s="2261" t="s">
        <v>989</v>
      </c>
      <c r="B115" s="2262"/>
      <c r="C115" s="1675"/>
      <c r="D115" s="1675"/>
      <c r="E115" s="1675"/>
      <c r="F115" s="1675"/>
      <c r="G115" s="1675"/>
      <c r="H115" s="1675"/>
      <c r="I115" s="1675"/>
      <c r="J115" s="1675"/>
      <c r="K115" s="1689">
        <f>'Revenues 9-14'!C268-'Expenditures 15-22'!K114</f>
        <v>89984</v>
      </c>
      <c r="L115" s="1675"/>
    </row>
    <row r="116" spans="1:14" s="175" customFormat="1" ht="9.1999999999999993"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9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2500</v>
      </c>
    </row>
    <row r="124" spans="1:14" ht="14.25" thickTop="1" thickBot="1" x14ac:dyDescent="0.25">
      <c r="A124" s="1274" t="s">
        <v>195</v>
      </c>
      <c r="B124" s="503">
        <v>2540</v>
      </c>
      <c r="C124" s="1573">
        <v>63844</v>
      </c>
      <c r="D124" s="1573">
        <v>37065</v>
      </c>
      <c r="E124" s="1573">
        <v>77908</v>
      </c>
      <c r="F124" s="1573">
        <v>14623</v>
      </c>
      <c r="G124" s="1573">
        <v>6858</v>
      </c>
      <c r="H124" s="1573"/>
      <c r="I124" s="1574">
        <v>27501</v>
      </c>
      <c r="J124" s="1574"/>
      <c r="K124" s="1674">
        <f>SUM(C124:J124)</f>
        <v>227799</v>
      </c>
      <c r="L124" s="1573">
        <v>218378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95" customHeight="1" thickTop="1" thickBot="1" x14ac:dyDescent="0.25">
      <c r="A127" s="1380" t="s">
        <v>714</v>
      </c>
      <c r="B127" s="1381" t="s">
        <v>35</v>
      </c>
      <c r="C127" s="1674">
        <f>SUM(C122:C126)</f>
        <v>63844</v>
      </c>
      <c r="D127" s="1674">
        <f t="shared" ref="D127:L127" si="14">SUM(D122:D126)</f>
        <v>37065</v>
      </c>
      <c r="E127" s="1674">
        <f t="shared" si="14"/>
        <v>77908</v>
      </c>
      <c r="F127" s="1674">
        <f t="shared" si="14"/>
        <v>14623</v>
      </c>
      <c r="G127" s="1674">
        <f t="shared" si="14"/>
        <v>6858</v>
      </c>
      <c r="H127" s="1674">
        <f t="shared" si="14"/>
        <v>0</v>
      </c>
      <c r="I127" s="1674">
        <f t="shared" si="14"/>
        <v>27501</v>
      </c>
      <c r="J127" s="1674">
        <f t="shared" si="14"/>
        <v>0</v>
      </c>
      <c r="K127" s="1674">
        <f t="shared" si="14"/>
        <v>227799</v>
      </c>
      <c r="L127" s="1674">
        <f t="shared" si="14"/>
        <v>220878</v>
      </c>
    </row>
    <row r="128" spans="1:14" ht="12.95" customHeight="1" thickTop="1" x14ac:dyDescent="0.2">
      <c r="A128" s="1281" t="s">
        <v>973</v>
      </c>
      <c r="B128" s="531" t="s">
        <v>570</v>
      </c>
      <c r="C128" s="1695"/>
      <c r="D128" s="1695"/>
      <c r="E128" s="1695"/>
      <c r="F128" s="1695"/>
      <c r="G128" s="1695"/>
      <c r="H128" s="1695"/>
      <c r="I128" s="1630"/>
      <c r="J128" s="1630"/>
      <c r="K128" s="1696">
        <f>SUM(C128:J128)</f>
        <v>0</v>
      </c>
      <c r="L128" s="1695"/>
    </row>
    <row r="129" spans="1:14" ht="12.95" customHeight="1" thickBot="1" x14ac:dyDescent="0.25">
      <c r="A129" s="1389" t="s">
        <v>806</v>
      </c>
      <c r="B129" s="1390" t="s">
        <v>565</v>
      </c>
      <c r="C129" s="1681">
        <f>SUM(C120,C127,C128)</f>
        <v>63844</v>
      </c>
      <c r="D129" s="1681">
        <f t="shared" ref="D129:L129" si="15">SUM(D120,D127,D128)</f>
        <v>37065</v>
      </c>
      <c r="E129" s="1681">
        <f t="shared" si="15"/>
        <v>77908</v>
      </c>
      <c r="F129" s="1681">
        <f t="shared" si="15"/>
        <v>14623</v>
      </c>
      <c r="G129" s="1681">
        <f t="shared" si="15"/>
        <v>6858</v>
      </c>
      <c r="H129" s="1681">
        <f t="shared" si="15"/>
        <v>0</v>
      </c>
      <c r="I129" s="1681">
        <f t="shared" si="15"/>
        <v>27501</v>
      </c>
      <c r="J129" s="1681">
        <f t="shared" si="15"/>
        <v>0</v>
      </c>
      <c r="K129" s="1681">
        <f t="shared" si="15"/>
        <v>227799</v>
      </c>
      <c r="L129" s="1681">
        <f t="shared" si="15"/>
        <v>220878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9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9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9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9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95" customHeight="1" x14ac:dyDescent="0.2">
      <c r="A146" s="1274" t="s">
        <v>615</v>
      </c>
      <c r="B146" s="503" t="s">
        <v>614</v>
      </c>
      <c r="C146" s="1673"/>
      <c r="D146" s="1673"/>
      <c r="E146" s="1673"/>
      <c r="F146" s="1673"/>
      <c r="G146" s="1673"/>
      <c r="H146" s="1573"/>
      <c r="I146" s="1575"/>
      <c r="J146" s="1673"/>
      <c r="K146" s="1678">
        <f>SUM(H146)</f>
        <v>0</v>
      </c>
      <c r="L146" s="1573"/>
    </row>
    <row r="147" spans="1:14" ht="12.9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9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95" customHeight="1" thickTop="1" thickBot="1" x14ac:dyDescent="0.25">
      <c r="A151" s="2278" t="s">
        <v>616</v>
      </c>
      <c r="B151" s="2258"/>
      <c r="C151" s="1674">
        <f>SUM(C129,C130,C139,C149,C150)</f>
        <v>63844</v>
      </c>
      <c r="D151" s="1674">
        <f t="shared" ref="D151:K151" si="16">SUM(D129,D130,D139,D149,D150)</f>
        <v>37065</v>
      </c>
      <c r="E151" s="1674">
        <f t="shared" si="16"/>
        <v>77908</v>
      </c>
      <c r="F151" s="1674">
        <f t="shared" si="16"/>
        <v>14623</v>
      </c>
      <c r="G151" s="1674">
        <f t="shared" si="16"/>
        <v>6858</v>
      </c>
      <c r="H151" s="1674">
        <f t="shared" si="16"/>
        <v>0</v>
      </c>
      <c r="I151" s="1674">
        <f t="shared" si="16"/>
        <v>27501</v>
      </c>
      <c r="J151" s="1674">
        <f t="shared" si="16"/>
        <v>0</v>
      </c>
      <c r="K151" s="1674">
        <f t="shared" si="16"/>
        <v>227799</v>
      </c>
      <c r="L151" s="1674">
        <f>SUM(L129,L130,L139,L149,L150)</f>
        <v>220878</v>
      </c>
    </row>
    <row r="152" spans="1:14" ht="12.95" customHeight="1" thickTop="1" x14ac:dyDescent="0.2">
      <c r="A152" s="2281" t="s">
        <v>1168</v>
      </c>
      <c r="B152" s="2282"/>
      <c r="C152" s="1675"/>
      <c r="D152" s="1675"/>
      <c r="E152" s="1675"/>
      <c r="F152" s="1675"/>
      <c r="G152" s="1675"/>
      <c r="H152" s="1675"/>
      <c r="I152" s="1675"/>
      <c r="J152" s="1673"/>
      <c r="K152" s="1689">
        <f>'Revenues 9-14'!D268-'Expenditures 15-22'!K151</f>
        <v>-30792</v>
      </c>
      <c r="L152" s="1675"/>
    </row>
    <row r="153" spans="1:14" s="540" customFormat="1" ht="9.1999999999999993"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9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9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9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9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1999999999999993"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9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95" customHeight="1" x14ac:dyDescent="0.2">
      <c r="A182" s="1274" t="s">
        <v>947</v>
      </c>
      <c r="B182" s="503">
        <v>2550</v>
      </c>
      <c r="C182" s="1573">
        <v>5225</v>
      </c>
      <c r="D182" s="1573">
        <v>698</v>
      </c>
      <c r="E182" s="1573">
        <v>445</v>
      </c>
      <c r="F182" s="1573">
        <v>418</v>
      </c>
      <c r="G182" s="1573"/>
      <c r="H182" s="1573"/>
      <c r="I182" s="1574"/>
      <c r="J182" s="1574"/>
      <c r="K182" s="1672">
        <f>SUM(C182:J182)</f>
        <v>6786</v>
      </c>
      <c r="L182" s="1573">
        <v>8100</v>
      </c>
    </row>
    <row r="183" spans="1:14" ht="12.95" customHeight="1" thickBot="1" x14ac:dyDescent="0.25">
      <c r="A183" s="1279" t="s">
        <v>973</v>
      </c>
      <c r="B183" s="551">
        <v>2900</v>
      </c>
      <c r="C183" s="1649"/>
      <c r="D183" s="1649"/>
      <c r="E183" s="1649"/>
      <c r="F183" s="1649"/>
      <c r="G183" s="1649"/>
      <c r="H183" s="1649"/>
      <c r="I183" s="1628"/>
      <c r="J183" s="1628"/>
      <c r="K183" s="1681">
        <f>SUM(C183:J183)</f>
        <v>0</v>
      </c>
      <c r="L183" s="1649"/>
    </row>
    <row r="184" spans="1:14" ht="12.95" customHeight="1" thickTop="1" thickBot="1" x14ac:dyDescent="0.25">
      <c r="A184" s="1393" t="s">
        <v>806</v>
      </c>
      <c r="B184" s="1381" t="s">
        <v>565</v>
      </c>
      <c r="C184" s="1681">
        <f>SUM(C180,C182,C183)</f>
        <v>5225</v>
      </c>
      <c r="D184" s="1681">
        <f t="shared" ref="D184:J184" si="17">SUM(D180,D182,D183)</f>
        <v>698</v>
      </c>
      <c r="E184" s="1681">
        <f t="shared" si="17"/>
        <v>445</v>
      </c>
      <c r="F184" s="1681">
        <f t="shared" si="17"/>
        <v>418</v>
      </c>
      <c r="G184" s="1681">
        <f t="shared" si="17"/>
        <v>0</v>
      </c>
      <c r="H184" s="1681">
        <f t="shared" si="17"/>
        <v>0</v>
      </c>
      <c r="I184" s="1681">
        <f t="shared" si="17"/>
        <v>0</v>
      </c>
      <c r="J184" s="1681">
        <f t="shared" si="17"/>
        <v>0</v>
      </c>
      <c r="K184" s="1681">
        <f>SUM(K180,K182,K183)</f>
        <v>6786</v>
      </c>
      <c r="L184" s="1681">
        <f>SUM(L180, L182:L183)</f>
        <v>8100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9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9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9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9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95" customHeight="1" thickTop="1" thickBot="1" x14ac:dyDescent="0.25">
      <c r="A210" s="1394" t="s">
        <v>275</v>
      </c>
      <c r="B210" s="1395"/>
      <c r="C210" s="1674">
        <f>SUM(C184,C185)</f>
        <v>5225</v>
      </c>
      <c r="D210" s="1674">
        <f>SUM(D184,D185)</f>
        <v>698</v>
      </c>
      <c r="E210" s="1674">
        <f>SUM(E184,E185,E196)</f>
        <v>445</v>
      </c>
      <c r="F210" s="1674">
        <f>SUM(F184,F185)</f>
        <v>418</v>
      </c>
      <c r="G210" s="1674">
        <f>SUM(G184,G185)</f>
        <v>0</v>
      </c>
      <c r="H210" s="1674">
        <f>SUM(H184,H185,H196,H208,H209)</f>
        <v>0</v>
      </c>
      <c r="I210" s="1674">
        <f>SUM(I184,I185)</f>
        <v>0</v>
      </c>
      <c r="J210" s="1674">
        <f>SUM(J184,J185)</f>
        <v>0</v>
      </c>
      <c r="K210" s="1672">
        <f>SUM(K184,K185,K196,K208,K209)</f>
        <v>6786</v>
      </c>
      <c r="L210" s="1674">
        <f>SUM(L184,L185,L196,L208,L209)</f>
        <v>8100</v>
      </c>
    </row>
    <row r="211" spans="1:14" ht="13.5" thickTop="1" x14ac:dyDescent="0.2">
      <c r="A211" s="2261" t="s">
        <v>989</v>
      </c>
      <c r="B211" s="2262"/>
      <c r="C211" s="1675"/>
      <c r="D211" s="1675"/>
      <c r="E211" s="1675"/>
      <c r="F211" s="1675"/>
      <c r="G211" s="1675"/>
      <c r="H211" s="1675"/>
      <c r="I211" s="1673"/>
      <c r="J211" s="1673"/>
      <c r="K211" s="1689">
        <f>'Revenues 9-14'!F268-'Expenditures 15-22'!K210</f>
        <v>5195</v>
      </c>
      <c r="L211" s="1675"/>
    </row>
    <row r="212" spans="1:14" s="540" customFormat="1" ht="9.1999999999999993"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9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9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9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9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9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9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9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9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9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9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9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9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1999999999999993"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9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95" customHeight="1" x14ac:dyDescent="0.2">
      <c r="A309" s="1278" t="s">
        <v>693</v>
      </c>
      <c r="B309" s="512">
        <v>4190</v>
      </c>
      <c r="C309" s="1673"/>
      <c r="D309" s="1673"/>
      <c r="E309" s="1574"/>
      <c r="F309" s="1673"/>
      <c r="G309" s="1673"/>
      <c r="H309" s="1574"/>
      <c r="I309" s="1582"/>
      <c r="J309" s="1673"/>
      <c r="K309" s="1672">
        <f>SUM(E309,H309)</f>
        <v>0</v>
      </c>
      <c r="L309" s="1573"/>
    </row>
    <row r="310" spans="1:14" ht="12.9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9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1999999999999993"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1999999999999993"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9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9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9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9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9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9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9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9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9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95" customHeight="1" thickTop="1" x14ac:dyDescent="0.2">
      <c r="A351" s="1280" t="s">
        <v>973</v>
      </c>
      <c r="B351" s="521" t="s">
        <v>570</v>
      </c>
      <c r="C351" s="1586"/>
      <c r="D351" s="1586"/>
      <c r="E351" s="1586"/>
      <c r="F351" s="1586"/>
      <c r="G351" s="1586"/>
      <c r="H351" s="1586"/>
      <c r="I351" s="1583"/>
      <c r="J351" s="1583"/>
      <c r="K351" s="1715">
        <f>SUM(C351:J351)</f>
        <v>0</v>
      </c>
      <c r="L351" s="1586"/>
    </row>
    <row r="352" spans="1:14" ht="12.9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95" customHeight="1" x14ac:dyDescent="0.2">
      <c r="A355" s="1283" t="s">
        <v>1825</v>
      </c>
      <c r="B355" s="562" t="s">
        <v>1818</v>
      </c>
      <c r="C355" s="1673"/>
      <c r="D355" s="1673"/>
      <c r="E355" s="1673"/>
      <c r="F355" s="1673"/>
      <c r="G355" s="1673"/>
      <c r="H355" s="1574"/>
      <c r="I355" s="1716"/>
      <c r="J355" s="1673"/>
      <c r="K355" s="1607">
        <f>H355</f>
        <v>0</v>
      </c>
      <c r="L355" s="1574"/>
    </row>
    <row r="356" spans="1:14" ht="12.95" customHeight="1" x14ac:dyDescent="0.2">
      <c r="A356" s="1469" t="s">
        <v>693</v>
      </c>
      <c r="B356" s="557" t="s">
        <v>554</v>
      </c>
      <c r="C356" s="1673"/>
      <c r="D356" s="1673"/>
      <c r="E356" s="1673"/>
      <c r="F356" s="1673"/>
      <c r="G356" s="1673"/>
      <c r="H356" s="1584"/>
      <c r="I356" s="1716"/>
      <c r="J356" s="1673"/>
      <c r="K356" s="1600">
        <f>H356</f>
        <v>0</v>
      </c>
      <c r="L356" s="1584"/>
    </row>
    <row r="357" spans="1:14" ht="12.9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95" customHeight="1" x14ac:dyDescent="0.2">
      <c r="A361" s="1275" t="s">
        <v>615</v>
      </c>
      <c r="B361" s="494" t="s">
        <v>614</v>
      </c>
      <c r="C361" s="1673"/>
      <c r="D361" s="1673"/>
      <c r="E361" s="1673"/>
      <c r="F361" s="1673"/>
      <c r="G361" s="1673"/>
      <c r="H361" s="1574"/>
      <c r="I361" s="1673"/>
      <c r="J361" s="1673"/>
      <c r="K361" s="1672">
        <f>SUM(C361:J361)</f>
        <v>0</v>
      </c>
      <c r="L361" s="1573"/>
    </row>
    <row r="362" spans="1:14" ht="12.9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9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9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BUDGET TO ACTUAL
FOR THE YEAR ENDING JUNE 30, 2020&amp;R&amp;8Page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X22" sqref="X2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X22" sqref="X2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9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95" customHeight="1" thickBot="1" x14ac:dyDescent="0.25">
      <c r="A6" s="587" t="s">
        <v>64</v>
      </c>
      <c r="B6" s="588"/>
      <c r="C6" s="1733"/>
      <c r="D6" s="1664"/>
      <c r="E6" s="1733"/>
      <c r="F6" s="1732">
        <f t="shared" ref="F6:F14" si="0">SUM(C6+D6)-E6</f>
        <v>0</v>
      </c>
    </row>
    <row r="7" spans="1:7" ht="12.95" customHeight="1" thickTop="1" thickBot="1" x14ac:dyDescent="0.25">
      <c r="A7" s="587" t="s">
        <v>6</v>
      </c>
      <c r="B7" s="588"/>
      <c r="C7" s="1733"/>
      <c r="D7" s="1664"/>
      <c r="E7" s="1733"/>
      <c r="F7" s="1732">
        <f t="shared" si="0"/>
        <v>0</v>
      </c>
    </row>
    <row r="8" spans="1:7" ht="12.95" customHeight="1" thickTop="1" thickBot="1" x14ac:dyDescent="0.25">
      <c r="A8" s="587" t="s">
        <v>505</v>
      </c>
      <c r="B8" s="588"/>
      <c r="C8" s="1733"/>
      <c r="D8" s="1664"/>
      <c r="E8" s="1733"/>
      <c r="F8" s="1732">
        <f t="shared" si="0"/>
        <v>0</v>
      </c>
    </row>
    <row r="9" spans="1:7" ht="12.95" customHeight="1" thickTop="1" thickBot="1" x14ac:dyDescent="0.25">
      <c r="A9" s="587" t="s">
        <v>506</v>
      </c>
      <c r="B9" s="588"/>
      <c r="C9" s="1733"/>
      <c r="D9" s="1664"/>
      <c r="E9" s="1733"/>
      <c r="F9" s="1732">
        <f t="shared" si="0"/>
        <v>0</v>
      </c>
    </row>
    <row r="10" spans="1:7" ht="12.95" customHeight="1" thickTop="1" thickBot="1" x14ac:dyDescent="0.25">
      <c r="A10" s="587" t="s">
        <v>507</v>
      </c>
      <c r="B10" s="588"/>
      <c r="C10" s="1733"/>
      <c r="D10" s="1664"/>
      <c r="E10" s="1733"/>
      <c r="F10" s="1732">
        <f t="shared" si="0"/>
        <v>0</v>
      </c>
    </row>
    <row r="11" spans="1:7" ht="12.95" customHeight="1" thickTop="1" thickBot="1" x14ac:dyDescent="0.25">
      <c r="A11" s="587" t="s">
        <v>338</v>
      </c>
      <c r="B11" s="588"/>
      <c r="C11" s="1733"/>
      <c r="D11" s="1664"/>
      <c r="E11" s="1733"/>
      <c r="F11" s="1732">
        <f t="shared" si="0"/>
        <v>0</v>
      </c>
    </row>
    <row r="12" spans="1:7" ht="12.95" customHeight="1" thickTop="1" thickBot="1" x14ac:dyDescent="0.25">
      <c r="A12" s="587" t="s">
        <v>1147</v>
      </c>
      <c r="B12" s="588"/>
      <c r="C12" s="1733"/>
      <c r="D12" s="1664"/>
      <c r="E12" s="1733"/>
      <c r="F12" s="1732">
        <f t="shared" si="0"/>
        <v>0</v>
      </c>
    </row>
    <row r="13" spans="1:7" ht="12.95" customHeight="1" thickTop="1" thickBot="1" x14ac:dyDescent="0.25">
      <c r="A13" s="587" t="s">
        <v>385</v>
      </c>
      <c r="B13" s="588"/>
      <c r="C13" s="1733"/>
      <c r="D13" s="1664"/>
      <c r="E13" s="1733"/>
      <c r="F13" s="1732">
        <f t="shared" si="0"/>
        <v>0</v>
      </c>
    </row>
    <row r="14" spans="1:7" ht="12.9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95" customHeight="1" thickBot="1" x14ac:dyDescent="0.25">
      <c r="A17" s="2296" t="s">
        <v>64</v>
      </c>
      <c r="B17" s="2297"/>
      <c r="C17" s="1733"/>
      <c r="D17" s="1664"/>
      <c r="E17" s="1733"/>
      <c r="F17" s="1732">
        <f>SUM(C17+D17)-E17</f>
        <v>0</v>
      </c>
    </row>
    <row r="18" spans="1:11" ht="12.95" customHeight="1" thickTop="1" thickBot="1" x14ac:dyDescent="0.25">
      <c r="A18" s="2296" t="s">
        <v>6</v>
      </c>
      <c r="B18" s="2297"/>
      <c r="C18" s="1733"/>
      <c r="D18" s="1664"/>
      <c r="E18" s="1733"/>
      <c r="F18" s="1732">
        <f>SUM(C18+D18)-E18</f>
        <v>0</v>
      </c>
    </row>
    <row r="19" spans="1:11" ht="12.95" customHeight="1" thickTop="1" thickBot="1" x14ac:dyDescent="0.25">
      <c r="A19" s="2296" t="s">
        <v>385</v>
      </c>
      <c r="B19" s="2297"/>
      <c r="C19" s="1733"/>
      <c r="D19" s="1664"/>
      <c r="E19" s="1733"/>
      <c r="F19" s="1732">
        <f>SUM(C19+D19)-E19</f>
        <v>0</v>
      </c>
    </row>
    <row r="20" spans="1:11" ht="12.9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34" colorId="8" zoomScale="110" zoomScaleNormal="110" workbookViewId="0">
      <selection activeCell="X22" sqref="X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42578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95" customHeight="1" x14ac:dyDescent="0.2">
      <c r="A47" s="661"/>
      <c r="B47" s="662" t="s">
        <v>1657</v>
      </c>
      <c r="E47" s="662"/>
      <c r="K47" s="664"/>
    </row>
    <row r="48" spans="1:11" ht="12.9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X22" sqref="X22"/>
    </sheetView>
  </sheetViews>
  <sheetFormatPr defaultColWidth="9.140625" defaultRowHeight="12.75" x14ac:dyDescent="0.2"/>
  <cols>
    <col min="1" max="1" width="28.7109375" style="648" customWidth="1"/>
    <col min="2" max="2" width="5.7109375" style="421" customWidth="1"/>
    <col min="3" max="6" width="12.7109375" style="421" customWidth="1"/>
    <col min="7" max="7" width="6.42578125" style="421" customWidth="1"/>
    <col min="8" max="8" width="14.140625" style="421" customWidth="1"/>
    <col min="9" max="9" width="12.7109375" style="421" customWidth="1"/>
    <col min="10" max="10" width="16.7109375" style="421" customWidth="1"/>
    <col min="11" max="11" width="15.42578125" style="421" customWidth="1"/>
    <col min="12" max="12" width="13.71093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2616908</v>
      </c>
      <c r="D8" s="1771"/>
      <c r="E8" s="1771"/>
      <c r="F8" s="1765">
        <f>(C8+D8)-E8</f>
        <v>2616908</v>
      </c>
      <c r="G8" s="681">
        <v>50</v>
      </c>
      <c r="H8" s="619">
        <v>1412774</v>
      </c>
      <c r="I8" s="619">
        <v>37632</v>
      </c>
      <c r="J8" s="619"/>
      <c r="K8" s="1442">
        <f>(H8+I8)-J8</f>
        <v>1450406</v>
      </c>
      <c r="L8" s="1442">
        <f>F8-K8</f>
        <v>1166502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30700</v>
      </c>
      <c r="D10" s="1772"/>
      <c r="E10" s="1772"/>
      <c r="F10" s="1773">
        <f>(C10+D10)-E10</f>
        <v>30700</v>
      </c>
      <c r="G10" s="681">
        <v>20</v>
      </c>
      <c r="H10" s="683">
        <v>1407</v>
      </c>
      <c r="I10" s="683">
        <v>1535</v>
      </c>
      <c r="J10" s="683"/>
      <c r="K10" s="1442">
        <f>(H10+I10)-J10</f>
        <v>2942</v>
      </c>
      <c r="L10" s="1442">
        <f>F10-K10</f>
        <v>27758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314719</v>
      </c>
      <c r="D12" s="1771">
        <v>26258</v>
      </c>
      <c r="E12" s="1771"/>
      <c r="F12" s="1765">
        <f>(C12+D12)-E12</f>
        <v>340977</v>
      </c>
      <c r="G12" s="681">
        <v>10</v>
      </c>
      <c r="H12" s="619">
        <v>66034</v>
      </c>
      <c r="I12" s="619">
        <v>28188</v>
      </c>
      <c r="J12" s="619"/>
      <c r="K12" s="1442">
        <f>(H12+I12)-J12</f>
        <v>94222</v>
      </c>
      <c r="L12" s="1442">
        <f>F12-K12</f>
        <v>246755</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2962327</v>
      </c>
      <c r="D16" s="1765">
        <f>SUM(D3,D5:D6,D8:D10,D12:D15)</f>
        <v>26258</v>
      </c>
      <c r="E16" s="1765">
        <f>SUM(E3,E5:E6,E8:E10,E12:E15)</f>
        <v>0</v>
      </c>
      <c r="F16" s="1765">
        <f>SUM(F3,F5:F6,F8:F10,F12:F15)</f>
        <v>2988585</v>
      </c>
      <c r="G16" s="681"/>
      <c r="H16" s="1435">
        <f>SUM(H3,H6,H8:H10,H12:H14,)</f>
        <v>1480215</v>
      </c>
      <c r="I16" s="1435">
        <f>SUM(I3,I6,I8:I10,I12:I14,)</f>
        <v>67355</v>
      </c>
      <c r="J16" s="1435">
        <f>SUM(J3,J6,J8:J10,J12:J14,)</f>
        <v>0</v>
      </c>
      <c r="K16" s="1435">
        <f>(H16+I16)-J16</f>
        <v>1547570</v>
      </c>
      <c r="L16" s="1435">
        <f>F16-K16</f>
        <v>1441015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36244</v>
      </c>
      <c r="G17" s="676">
        <v>10</v>
      </c>
      <c r="H17" s="621"/>
      <c r="I17" s="1442">
        <f>F17/G17</f>
        <v>3624.4</v>
      </c>
      <c r="J17" s="621"/>
      <c r="K17" s="638"/>
      <c r="L17" s="638"/>
    </row>
    <row r="18" spans="1:12" ht="14.25" thickTop="1" thickBot="1" x14ac:dyDescent="0.25">
      <c r="A18" s="1440" t="s">
        <v>680</v>
      </c>
      <c r="B18" s="1441"/>
      <c r="C18" s="623"/>
      <c r="D18" s="623"/>
      <c r="E18" s="623"/>
      <c r="F18" s="686"/>
      <c r="G18" s="687"/>
      <c r="H18" s="624"/>
      <c r="I18" s="1435">
        <f>SUM(I16,I17)</f>
        <v>70979.399999999994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74"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X22" sqref="X22"/>
    </sheetView>
  </sheetViews>
  <sheetFormatPr defaultColWidth="8.7109375" defaultRowHeight="11.25" x14ac:dyDescent="0.2"/>
  <cols>
    <col min="1" max="1" width="22.140625" style="692" customWidth="1"/>
    <col min="2" max="2" width="31.7109375" style="692" customWidth="1"/>
    <col min="3" max="3" width="6.7109375" style="699" customWidth="1"/>
    <col min="4" max="4" width="55.7109375" style="692" customWidth="1"/>
    <col min="5" max="5" width="3.140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1684919</v>
      </c>
      <c r="G8" s="701"/>
    </row>
    <row r="9" spans="1:9" x14ac:dyDescent="0.2">
      <c r="A9" s="705" t="s">
        <v>457</v>
      </c>
      <c r="B9" s="706" t="s">
        <v>1848</v>
      </c>
      <c r="C9" s="707"/>
      <c r="D9" s="705" t="s">
        <v>498</v>
      </c>
      <c r="E9" s="704"/>
      <c r="F9" s="1775">
        <f>'Expenditures 15-22'!K151</f>
        <v>227799</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6786</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1919504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213875</v>
      </c>
      <c r="G53" s="701"/>
    </row>
    <row r="54" spans="1:7" x14ac:dyDescent="0.2">
      <c r="A54" s="705" t="s">
        <v>456</v>
      </c>
      <c r="B54" s="705" t="s">
        <v>1459</v>
      </c>
      <c r="C54" s="724" t="s">
        <v>975</v>
      </c>
      <c r="D54" s="720" t="s">
        <v>1086</v>
      </c>
      <c r="E54" s="704"/>
      <c r="F54" s="1782">
        <f>'Expenditures 15-22'!G114</f>
        <v>19400</v>
      </c>
      <c r="G54" s="701"/>
    </row>
    <row r="55" spans="1:7" x14ac:dyDescent="0.2">
      <c r="A55" s="705" t="s">
        <v>456</v>
      </c>
      <c r="B55" s="705" t="s">
        <v>1460</v>
      </c>
      <c r="C55" s="724" t="s">
        <v>975</v>
      </c>
      <c r="D55" s="720" t="s">
        <v>288</v>
      </c>
      <c r="E55" s="704"/>
      <c r="F55" s="1782">
        <f>'Expenditures 15-22'!I114</f>
        <v>8743</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6858</v>
      </c>
      <c r="G58" s="701"/>
    </row>
    <row r="59" spans="1:7" x14ac:dyDescent="0.2">
      <c r="A59" s="728" t="s">
        <v>457</v>
      </c>
      <c r="B59" s="692" t="s">
        <v>1855</v>
      </c>
      <c r="C59" s="729" t="s">
        <v>975</v>
      </c>
      <c r="D59" s="692" t="s">
        <v>288</v>
      </c>
      <c r="F59" s="1785">
        <f>'Expenditures 15-22'!I151</f>
        <v>27501</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276377</v>
      </c>
      <c r="G77" s="701"/>
    </row>
    <row r="78" spans="1:9" s="728" customFormat="1" ht="12" customHeight="1" thickTop="1" thickBot="1" x14ac:dyDescent="0.25">
      <c r="A78" s="1450"/>
      <c r="B78" s="1448"/>
      <c r="C78" s="1445"/>
      <c r="D78" s="1449" t="s">
        <v>2012</v>
      </c>
      <c r="E78" s="1447"/>
      <c r="F78" s="1788">
        <f>(F14-F77)</f>
        <v>1643127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640</v>
      </c>
      <c r="G95" s="745"/>
    </row>
    <row r="96" spans="1:7" x14ac:dyDescent="0.2">
      <c r="A96" s="741" t="s">
        <v>139</v>
      </c>
      <c r="B96" s="741" t="s">
        <v>174</v>
      </c>
      <c r="C96" s="743">
        <v>1700</v>
      </c>
      <c r="D96" s="751" t="str">
        <f>'Revenues 9-14'!A82</f>
        <v>Total District/School Activity Income</v>
      </c>
      <c r="E96" s="739"/>
      <c r="F96" s="1793">
        <f>SUM('Revenues 9-14'!C82,'Revenues 9-14'!D82)</f>
        <v>12337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18750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176583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718439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11465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246719</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1184933</v>
      </c>
    </row>
    <row r="176" spans="1:7" ht="12" customHeight="1" x14ac:dyDescent="0.2">
      <c r="A176" s="1443"/>
      <c r="B176" s="1453"/>
      <c r="C176" s="1454"/>
      <c r="D176" s="1455" t="s">
        <v>2014</v>
      </c>
      <c r="E176" s="1456"/>
      <c r="F176" s="1793">
        <f>'PCTC-OEPP 27-28'!F78-F175</f>
        <v>458194</v>
      </c>
    </row>
    <row r="177" spans="1:9" ht="12" customHeight="1" x14ac:dyDescent="0.2">
      <c r="A177" s="1443"/>
      <c r="B177" s="1453"/>
      <c r="C177" s="1454"/>
      <c r="D177" s="1455" t="s">
        <v>1794</v>
      </c>
      <c r="E177" s="1456"/>
      <c r="F177" s="1793">
        <f>'Cap Outlay Deprec 26'!I18</f>
        <v>70979.399999999994</v>
      </c>
    </row>
    <row r="178" spans="1:9" ht="12" customHeight="1" x14ac:dyDescent="0.2">
      <c r="A178" s="1443"/>
      <c r="B178" s="1453"/>
      <c r="C178" s="1454"/>
      <c r="D178" s="1455" t="s">
        <v>2015</v>
      </c>
      <c r="E178" s="1456"/>
      <c r="F178" s="1793">
        <f>F176+F177</f>
        <v>529173.4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X22" sqref="X22"/>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42578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0"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2069</v>
      </c>
      <c r="B18" s="1907">
        <v>101000300</v>
      </c>
      <c r="C18" s="2035" t="s">
        <v>2070</v>
      </c>
      <c r="D18" s="1885">
        <v>11667</v>
      </c>
      <c r="E18" s="1905">
        <f>IF(D18&lt;25000,D18,"25,000")</f>
        <v>11667</v>
      </c>
      <c r="F18" s="1905" t="str">
        <f t="shared" ref="F18:F37" si="0">IF(D18&gt;=25000,(D18-E18),"0")</f>
        <v>0</v>
      </c>
      <c r="G18" s="1886"/>
    </row>
    <row r="19" spans="1:7" x14ac:dyDescent="0.25">
      <c r="A19" s="2034" t="s">
        <v>2071</v>
      </c>
      <c r="B19" s="1907">
        <v>101000300</v>
      </c>
      <c r="C19" s="2035" t="s">
        <v>2072</v>
      </c>
      <c r="D19" s="1885">
        <v>23900</v>
      </c>
      <c r="E19" s="2036">
        <f>IF(D19&lt;25000,D19,"25,000")</f>
        <v>23900</v>
      </c>
      <c r="F19" s="1905" t="str">
        <f t="shared" si="0"/>
        <v>0</v>
      </c>
    </row>
    <row r="20" spans="1:7" x14ac:dyDescent="0.25">
      <c r="A20" s="1887"/>
      <c r="B20" s="1907"/>
      <c r="C20" s="1884"/>
      <c r="D20" s="1885"/>
      <c r="E20" s="1905">
        <f t="shared" ref="E20:E37" si="1">IF(D20&lt;25000,D20,"25,000")</f>
        <v>0</v>
      </c>
      <c r="F20" s="1905" t="str">
        <f t="shared" si="0"/>
        <v>0</v>
      </c>
    </row>
    <row r="21" spans="1:7" x14ac:dyDescent="0.25">
      <c r="A21" s="1887"/>
      <c r="B21" s="1907"/>
      <c r="C21" s="1884"/>
      <c r="D21" s="1885"/>
      <c r="E21" s="1905">
        <f t="shared" si="1"/>
        <v>0</v>
      </c>
      <c r="F21" s="1905" t="str">
        <f t="shared" si="0"/>
        <v>0</v>
      </c>
    </row>
    <row r="22" spans="1:7" x14ac:dyDescent="0.25">
      <c r="A22" s="1887"/>
      <c r="B22" s="1907"/>
      <c r="C22" s="1884"/>
      <c r="D22" s="1885"/>
      <c r="E22" s="1905">
        <f t="shared" si="1"/>
        <v>0</v>
      </c>
      <c r="F22" s="1905" t="str">
        <f t="shared" si="0"/>
        <v>0</v>
      </c>
    </row>
    <row r="23" spans="1:7" x14ac:dyDescent="0.25">
      <c r="A23" s="1887"/>
      <c r="B23" s="1907"/>
      <c r="C23" s="1884"/>
      <c r="D23" s="1885"/>
      <c r="E23" s="1905">
        <f t="shared" si="1"/>
        <v>0</v>
      </c>
      <c r="F23" s="1905" t="str">
        <f t="shared" si="0"/>
        <v>0</v>
      </c>
    </row>
    <row r="24" spans="1:7" x14ac:dyDescent="0.25">
      <c r="A24" s="1887"/>
      <c r="B24" s="1907"/>
      <c r="C24" s="1884"/>
      <c r="D24" s="1885"/>
      <c r="E24" s="1905">
        <f t="shared" si="1"/>
        <v>0</v>
      </c>
      <c r="F24" s="1905" t="str">
        <f t="shared" si="0"/>
        <v>0</v>
      </c>
    </row>
    <row r="25" spans="1:7" x14ac:dyDescent="0.25">
      <c r="A25" s="1887"/>
      <c r="B25" s="1907"/>
      <c r="C25" s="1884"/>
      <c r="D25" s="1885"/>
      <c r="E25" s="1905">
        <f t="shared" si="1"/>
        <v>0</v>
      </c>
      <c r="F25" s="1905" t="str">
        <f t="shared" si="0"/>
        <v>0</v>
      </c>
    </row>
    <row r="26" spans="1:7" x14ac:dyDescent="0.25">
      <c r="A26" s="1887"/>
      <c r="B26" s="1907"/>
      <c r="C26" s="1884"/>
      <c r="D26" s="1885"/>
      <c r="E26" s="1905">
        <f t="shared" si="1"/>
        <v>0</v>
      </c>
      <c r="F26" s="1905" t="str">
        <f t="shared" si="0"/>
        <v>0</v>
      </c>
    </row>
    <row r="27" spans="1:7" x14ac:dyDescent="0.25">
      <c r="A27" s="1887"/>
      <c r="B27" s="1907"/>
      <c r="C27" s="1888"/>
      <c r="D27" s="1885"/>
      <c r="E27" s="1905">
        <f t="shared" si="1"/>
        <v>0</v>
      </c>
      <c r="F27" s="1905" t="str">
        <f t="shared" si="0"/>
        <v>0</v>
      </c>
    </row>
    <row r="28" spans="1:7" x14ac:dyDescent="0.25">
      <c r="A28" s="1887"/>
      <c r="B28" s="1907"/>
      <c r="C28" s="1888"/>
      <c r="D28" s="1885"/>
      <c r="E28" s="1905">
        <f t="shared" si="1"/>
        <v>0</v>
      </c>
      <c r="F28" s="1905" t="str">
        <f t="shared" si="0"/>
        <v>0</v>
      </c>
    </row>
    <row r="29" spans="1:7" x14ac:dyDescent="0.25">
      <c r="A29" s="1887"/>
      <c r="B29" s="1907"/>
      <c r="C29" s="1888"/>
      <c r="D29" s="1885"/>
      <c r="E29" s="1905">
        <f t="shared" si="1"/>
        <v>0</v>
      </c>
      <c r="F29" s="1905" t="str">
        <f t="shared" si="0"/>
        <v>0</v>
      </c>
    </row>
    <row r="30" spans="1:7" x14ac:dyDescent="0.25">
      <c r="A30" s="1887"/>
      <c r="B30" s="1907"/>
      <c r="C30" s="1888"/>
      <c r="D30" s="1885"/>
      <c r="E30" s="1905">
        <f t="shared" si="1"/>
        <v>0</v>
      </c>
      <c r="F30" s="1905" t="str">
        <f t="shared" si="0"/>
        <v>0</v>
      </c>
    </row>
    <row r="31" spans="1:7" x14ac:dyDescent="0.25">
      <c r="A31" s="1887"/>
      <c r="B31" s="1907"/>
      <c r="C31" s="1888"/>
      <c r="D31" s="1885"/>
      <c r="E31" s="1905">
        <f t="shared" si="1"/>
        <v>0</v>
      </c>
      <c r="F31" s="1905" t="str">
        <f t="shared" si="0"/>
        <v>0</v>
      </c>
    </row>
    <row r="32" spans="1:7" x14ac:dyDescent="0.25">
      <c r="A32" s="1887"/>
      <c r="B32" s="1907"/>
      <c r="C32" s="1888"/>
      <c r="D32" s="1885"/>
      <c r="E32" s="1905">
        <f t="shared" si="1"/>
        <v>0</v>
      </c>
      <c r="F32" s="1905" t="str">
        <f t="shared" si="0"/>
        <v>0</v>
      </c>
    </row>
    <row r="33" spans="1:6" x14ac:dyDescent="0.25">
      <c r="A33" s="1887"/>
      <c r="B33" s="1907"/>
      <c r="C33" s="1888"/>
      <c r="D33" s="1885"/>
      <c r="E33" s="1905">
        <f t="shared" si="1"/>
        <v>0</v>
      </c>
      <c r="F33" s="1905" t="str">
        <f t="shared" si="0"/>
        <v>0</v>
      </c>
    </row>
    <row r="34" spans="1:6" x14ac:dyDescent="0.25">
      <c r="A34" s="1887"/>
      <c r="B34" s="1907"/>
      <c r="C34" s="1888"/>
      <c r="D34" s="1885"/>
      <c r="E34" s="1905">
        <f t="shared" si="1"/>
        <v>0</v>
      </c>
      <c r="F34" s="1905" t="str">
        <f t="shared" si="0"/>
        <v>0</v>
      </c>
    </row>
    <row r="35" spans="1:6" x14ac:dyDescent="0.25">
      <c r="A35" s="1887"/>
      <c r="B35" s="1907"/>
      <c r="C35" s="1888"/>
      <c r="D35" s="1885"/>
      <c r="E35" s="1905">
        <f t="shared" si="1"/>
        <v>0</v>
      </c>
      <c r="F35" s="1905" t="str">
        <f t="shared" si="0"/>
        <v>0</v>
      </c>
    </row>
    <row r="36" spans="1:6" x14ac:dyDescent="0.25">
      <c r="A36" s="1887"/>
      <c r="B36" s="1907"/>
      <c r="C36" s="1888"/>
      <c r="D36" s="1885"/>
      <c r="E36" s="1905">
        <f t="shared" si="1"/>
        <v>0</v>
      </c>
      <c r="F36" s="1905" t="str">
        <f t="shared" si="0"/>
        <v>0</v>
      </c>
    </row>
    <row r="37" spans="1:6" x14ac:dyDescent="0.25">
      <c r="A37" s="1887"/>
      <c r="B37" s="1907"/>
      <c r="C37" s="1888"/>
      <c r="D37" s="1885"/>
      <c r="E37" s="1905">
        <f t="shared" si="1"/>
        <v>0</v>
      </c>
      <c r="F37" s="1905" t="str">
        <f t="shared" si="0"/>
        <v>0</v>
      </c>
    </row>
    <row r="38" spans="1:6" x14ac:dyDescent="0.25">
      <c r="A38" s="1889" t="s">
        <v>155</v>
      </c>
      <c r="B38" s="1908"/>
      <c r="C38" s="1890"/>
      <c r="D38" s="1891">
        <f>SUM(D18:D37)</f>
        <v>35567</v>
      </c>
      <c r="E38" s="1892">
        <f>SUM(E18:E37)</f>
        <v>35567</v>
      </c>
      <c r="F38" s="1893">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X22" sqref="X22"/>
    </sheetView>
  </sheetViews>
  <sheetFormatPr defaultColWidth="9.140625" defaultRowHeight="12.75" x14ac:dyDescent="0.2"/>
  <cols>
    <col min="1" max="1" width="8.140625" style="307" customWidth="1"/>
    <col min="2" max="2" width="46.71093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42578125" style="307" customWidth="1"/>
    <col min="15" max="16384" width="9.140625" style="307"/>
  </cols>
  <sheetData>
    <row r="1" spans="1:13" ht="27.2"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961843</v>
      </c>
      <c r="F19" s="1802"/>
      <c r="G19" s="1804">
        <f>'Expenditures 15-22'!K33-SUM('Expenditures 15-22'!G33,'Expenditures 15-22'!I33)+'Expenditures 15-22'!D229</f>
        <v>961843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114436</v>
      </c>
      <c r="F21" s="1805"/>
      <c r="G21" s="1808">
        <f>'Expenditures 15-22'!K42-SUM('Expenditures 15-22'!G42,'Expenditures 15-22'!I42)+'Expenditures 15-22'!K120-SUM('Expenditures 15-22'!G120,'Expenditures 15-22'!I120)+'Expenditures 15-22'!K180-SUM('Expenditures 15-22'!G180,'Expenditures 15-22'!I180)+'Expenditures 15-22'!D238</f>
        <v>114436</v>
      </c>
      <c r="H21" s="817"/>
      <c r="I21" s="157"/>
    </row>
    <row r="22" spans="1:9" s="542" customFormat="1" ht="12" customHeight="1" x14ac:dyDescent="0.2">
      <c r="A22" s="824" t="s">
        <v>560</v>
      </c>
      <c r="B22" s="825"/>
      <c r="C22" s="823">
        <v>2200</v>
      </c>
      <c r="D22" s="1805"/>
      <c r="E22" s="1807">
        <f>'Expenditures 15-22'!K47-SUM('Expenditures 15-22'!G47,'Expenditures 15-22'!I47)+'Expenditures 15-22'!D243</f>
        <v>87861</v>
      </c>
      <c r="F22" s="1805"/>
      <c r="G22" s="1808">
        <f>'Expenditures 15-22'!K47-SUM('Expenditures 15-22'!G47,'Expenditures 15-22'!I47)+'Expenditures 15-22'!D243</f>
        <v>87861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131095</v>
      </c>
      <c r="F23" s="1805"/>
      <c r="G23" s="1807">
        <f>'Expenditures 15-22'!K53-SUM('Expenditures 15-22'!G53,'Expenditures 15-22'!I53)+'Expenditures 15-22'!D257+'Expenditures 15-22'!K330-SUM('Expenditures 15-22'!G330,'Expenditures 15-22'!I330)</f>
        <v>131095</v>
      </c>
      <c r="H23" s="817"/>
      <c r="I23" s="157"/>
    </row>
    <row r="24" spans="1:9" s="542" customFormat="1" ht="12" customHeight="1" x14ac:dyDescent="0.2">
      <c r="A24" s="824" t="s">
        <v>562</v>
      </c>
      <c r="B24" s="825"/>
      <c r="C24" s="823">
        <v>2400</v>
      </c>
      <c r="D24" s="1805"/>
      <c r="E24" s="1807">
        <f>'Expenditures 15-22'!K57-SUM('Expenditures 15-22'!G57,'Expenditures 15-22'!I57)+'Expenditures 15-22'!D261</f>
        <v>147395</v>
      </c>
      <c r="F24" s="1805"/>
      <c r="G24" s="1808">
        <f>'Expenditures 15-22'!K57-SUM('Expenditures 15-22'!G57,'Expenditures 15-22'!I57)+'Expenditures 15-22'!D261</f>
        <v>147395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271</v>
      </c>
      <c r="E26" s="1807">
        <f>'Expenditures 15-22'!K122-SUM('Expenditures 15-22'!G122,'Expenditures 15-22'!I122)+E7</f>
        <v>0</v>
      </c>
      <c r="F26" s="1807">
        <f>'Expenditures 15-22'!K59-SUM('Expenditures 15-22'!G59,'Expenditures 15-22'!I59)+'Expenditures 15-22'!D263-E7</f>
        <v>271</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193440</v>
      </c>
      <c r="F28" s="1809">
        <f>'Expenditures 15-22'!K61-SUM('Expenditures 15-22'!G61,'Expenditures 15-22'!I61)+'Expenditures 15-22'!K124-SUM('Expenditures 15-22'!G124,'Expenditures 15-22'!I124)+'Expenditures 15-22'!D266-E9</f>
        <v>193440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6786</v>
      </c>
      <c r="F29" s="1805"/>
      <c r="G29" s="1808">
        <f>'Expenditures 15-22'!K62-SUM('Expenditures 15-22'!G62,'Expenditures 15-22'!I62)+'Expenditures 15-22'!K125-SUM('Expenditures 15-22'!G125,'Expenditures 15-22'!I125)+'Expenditures 15-22'!K182-SUM('Expenditures 15-22'!G182,'Expenditures 15-22'!I182)+'Expenditures 15-22'!D267</f>
        <v>6786</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29'!F38</f>
        <v>0</v>
      </c>
      <c r="F40" s="1805"/>
      <c r="G40" s="1809">
        <f>-'Contracts Paid in CY 29'!F38</f>
        <v>0</v>
      </c>
    </row>
    <row r="41" spans="1:7" ht="12" customHeight="1" x14ac:dyDescent="0.2">
      <c r="A41" s="828" t="s">
        <v>155</v>
      </c>
      <c r="B41" s="829"/>
      <c r="C41" s="830"/>
      <c r="D41" s="1809">
        <f>SUM(D19:D39)</f>
        <v>271</v>
      </c>
      <c r="E41" s="1809">
        <f>SUM(E19:E40)</f>
        <v>1642856</v>
      </c>
      <c r="F41" s="1809">
        <f>SUM(F19:F39)</f>
        <v>193711</v>
      </c>
      <c r="G41" s="1809">
        <f>SUM(G19:G40)</f>
        <v>1449416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271</v>
      </c>
      <c r="F43" s="1458" t="s">
        <v>470</v>
      </c>
      <c r="G43" s="1810">
        <f>F41</f>
        <v>193711</v>
      </c>
    </row>
    <row r="44" spans="1:7" ht="12" customHeight="1" x14ac:dyDescent="0.2">
      <c r="A44" s="817"/>
      <c r="B44" s="157"/>
      <c r="C44" s="831"/>
      <c r="D44" s="1458" t="s">
        <v>471</v>
      </c>
      <c r="E44" s="1810">
        <f>E41</f>
        <v>1642856</v>
      </c>
      <c r="F44" s="1458" t="s">
        <v>471</v>
      </c>
      <c r="G44" s="1810">
        <f>G41</f>
        <v>1449416</v>
      </c>
    </row>
    <row r="45" spans="1:7" ht="12" customHeight="1" x14ac:dyDescent="0.2">
      <c r="A45" s="817"/>
      <c r="B45" s="157"/>
      <c r="C45" s="157"/>
      <c r="D45" s="1459" t="s">
        <v>999</v>
      </c>
      <c r="E45" s="1811">
        <f>(E43/E44)</f>
        <v>1.6495663649157322E-4</v>
      </c>
      <c r="F45" s="1459" t="s">
        <v>999</v>
      </c>
      <c r="G45" s="1811">
        <f>(G43/G44)</f>
        <v>0.13364762083487419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X22" sqref="X22"/>
    </sheetView>
  </sheetViews>
  <sheetFormatPr defaultColWidth="9.140625" defaultRowHeight="12.75" x14ac:dyDescent="0.2"/>
  <cols>
    <col min="1" max="1" width="54.42578125" style="1505" customWidth="1"/>
    <col min="2" max="2" width="4.140625" style="1505" customWidth="1"/>
    <col min="3" max="4" width="9.7109375" style="1477" customWidth="1"/>
    <col min="5" max="5" width="12.42578125" style="1506" customWidth="1"/>
    <col min="6" max="6" width="67.42578125" style="1477" customWidth="1"/>
    <col min="7" max="7" width="9.140625" style="1477" customWidth="1"/>
    <col min="8" max="8" width="5.42578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Whiteside Reg Voc System</v>
      </c>
      <c r="D6" s="2415"/>
      <c r="E6" s="2415"/>
      <c r="F6" s="1482"/>
      <c r="G6" s="1507"/>
      <c r="L6" s="1507"/>
      <c r="M6" s="1855"/>
      <c r="N6" s="1855"/>
      <c r="O6" s="1855"/>
    </row>
    <row r="7" spans="1:15" ht="11.25" customHeight="1" thickBot="1" x14ac:dyDescent="0.3">
      <c r="A7" s="1480"/>
      <c r="B7" s="1481"/>
      <c r="C7" s="2416">
        <f>COVER!A13</f>
        <v>47098005046</v>
      </c>
      <c r="D7" s="2416"/>
      <c r="E7" s="241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X22" sqref="X22"/>
    </sheetView>
  </sheetViews>
  <sheetFormatPr defaultColWidth="9.140625" defaultRowHeight="12.75" x14ac:dyDescent="0.2"/>
  <cols>
    <col min="1" max="1" width="2.7109375" style="1918" customWidth="1"/>
    <col min="2" max="2" width="3" style="1918" customWidth="1"/>
    <col min="3" max="3" width="48.42578125" style="1918" customWidth="1"/>
    <col min="4" max="4" width="7.42578125" style="1918" customWidth="1"/>
    <col min="5" max="5" width="11.28515625" style="1918" customWidth="1"/>
    <col min="6" max="6" width="10.7109375" style="1918" customWidth="1"/>
    <col min="7" max="8" width="9.140625" style="1918"/>
    <col min="9" max="9" width="11.140625" style="1918" customWidth="1"/>
    <col min="10" max="10" width="10.71093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2002</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7"/>
      <c r="C6" s="1377"/>
      <c r="D6" s="1377"/>
      <c r="E6" s="1378"/>
      <c r="F6" s="1919"/>
      <c r="G6" s="1920"/>
      <c r="H6" s="838"/>
      <c r="I6" s="1921" t="s">
        <v>1021</v>
      </c>
      <c r="J6" s="2437" t="str">
        <f>COVER!A17</f>
        <v xml:space="preserve">  Whiteside Reg Voc System</v>
      </c>
      <c r="K6" s="2437"/>
      <c r="L6" s="2451"/>
      <c r="M6" s="838"/>
      <c r="N6" s="1995"/>
    </row>
    <row r="7" spans="1:14" x14ac:dyDescent="0.2">
      <c r="A7" s="2452" t="s">
        <v>864</v>
      </c>
      <c r="B7" s="2453"/>
      <c r="C7" s="2453"/>
      <c r="D7" s="2453"/>
      <c r="E7" s="2454"/>
      <c r="F7" s="839"/>
      <c r="G7" s="838"/>
      <c r="H7" s="838"/>
      <c r="I7" s="1921" t="s">
        <v>369</v>
      </c>
      <c r="J7" s="2439">
        <f>COVER!A13</f>
        <v>47098005046</v>
      </c>
      <c r="K7" s="2439"/>
      <c r="L7" s="2439"/>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2018</v>
      </c>
      <c r="F9" s="1857"/>
      <c r="G9" s="1857"/>
      <c r="H9" s="1857"/>
      <c r="I9" s="1926" t="s">
        <v>2019</v>
      </c>
      <c r="J9" s="1857"/>
      <c r="K9" s="1857"/>
      <c r="L9" s="1858"/>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55" t="s">
        <v>478</v>
      </c>
      <c r="B11" s="2456"/>
      <c r="C11" s="2457"/>
      <c r="D11" s="1934" t="s">
        <v>866</v>
      </c>
      <c r="E11" s="1934" t="s">
        <v>64</v>
      </c>
      <c r="F11" s="1934" t="s">
        <v>6</v>
      </c>
      <c r="G11" s="1935" t="s">
        <v>2020</v>
      </c>
      <c r="H11" s="1936" t="s">
        <v>155</v>
      </c>
      <c r="I11" s="1934" t="s">
        <v>64</v>
      </c>
      <c r="J11" s="1934" t="s">
        <v>6</v>
      </c>
      <c r="K11" s="1935" t="s">
        <v>2001</v>
      </c>
      <c r="L11" s="1936" t="s">
        <v>155</v>
      </c>
      <c r="M11" s="838"/>
      <c r="N11" s="1995"/>
    </row>
    <row r="12" spans="1:14" x14ac:dyDescent="0.2">
      <c r="A12" s="2000">
        <v>1</v>
      </c>
      <c r="B12" s="1937" t="s">
        <v>813</v>
      </c>
      <c r="C12" s="842"/>
      <c r="D12" s="1938">
        <v>2320</v>
      </c>
      <c r="E12" s="1941">
        <f>'Expenditures 15-22'!K50</f>
        <v>0</v>
      </c>
      <c r="F12" s="1939"/>
      <c r="G12" s="1965">
        <f>G68</f>
        <v>0</v>
      </c>
      <c r="H12" s="1941">
        <f t="shared" ref="H12:H18" si="0">SUM(E12:G12)</f>
        <v>0</v>
      </c>
      <c r="I12" s="1940"/>
      <c r="J12" s="1939"/>
      <c r="K12" s="1940"/>
      <c r="L12" s="1941">
        <f t="shared" ref="L12:L18" si="1">SUM(I12:K12)</f>
        <v>0</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1059</v>
      </c>
      <c r="C15" s="842"/>
      <c r="D15" s="1938">
        <v>2510</v>
      </c>
      <c r="E15" s="1941">
        <f>'Expenditures 15-22'!K59</f>
        <v>271</v>
      </c>
      <c r="F15" s="1941">
        <f>'Expenditures 15-22'!K122</f>
        <v>0</v>
      </c>
      <c r="G15" s="1965">
        <f>J68</f>
        <v>0</v>
      </c>
      <c r="H15" s="1941">
        <f t="shared" si="0"/>
        <v>271</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58" t="s">
        <v>7</v>
      </c>
      <c r="C18" s="2459"/>
      <c r="D18" s="2460"/>
      <c r="E18" s="1943"/>
      <c r="F18" s="1943"/>
      <c r="G18" s="1940"/>
      <c r="H18" s="1944">
        <f t="shared" si="0"/>
        <v>0</v>
      </c>
      <c r="I18" s="1940"/>
      <c r="J18" s="1940"/>
      <c r="K18" s="1940"/>
      <c r="L18" s="1941">
        <f t="shared" si="1"/>
        <v>0</v>
      </c>
      <c r="M18" s="838"/>
      <c r="N18" s="1995"/>
    </row>
    <row r="19" spans="1:14" ht="13.5" thickBot="1" x14ac:dyDescent="0.25">
      <c r="A19" s="2000">
        <v>8</v>
      </c>
      <c r="B19" s="1945" t="s">
        <v>1151</v>
      </c>
      <c r="C19" s="838"/>
      <c r="D19" s="1946"/>
      <c r="E19" s="1947">
        <f t="shared" ref="E19:L19" si="2">SUM(E12:E17)-E18</f>
        <v>271</v>
      </c>
      <c r="F19" s="1947">
        <f t="shared" si="2"/>
        <v>0</v>
      </c>
      <c r="G19" s="1947">
        <f t="shared" ref="G19" si="3">SUM(G12:G17)-G18</f>
        <v>0</v>
      </c>
      <c r="H19" s="1947">
        <f t="shared" si="2"/>
        <v>271</v>
      </c>
      <c r="I19" s="1947">
        <f t="shared" si="2"/>
        <v>0</v>
      </c>
      <c r="J19" s="1947">
        <f t="shared" si="2"/>
        <v>0</v>
      </c>
      <c r="K19" s="1947">
        <f t="shared" si="2"/>
        <v>0</v>
      </c>
      <c r="L19" s="1947">
        <f t="shared" si="2"/>
        <v>0</v>
      </c>
      <c r="M19" s="838"/>
      <c r="N19" s="1995"/>
    </row>
    <row r="20" spans="1:14" ht="13.5" thickTop="1" x14ac:dyDescent="0.2">
      <c r="A20" s="2000">
        <v>9</v>
      </c>
      <c r="B20" s="2461" t="s">
        <v>2021</v>
      </c>
      <c r="C20" s="2461"/>
      <c r="D20" s="2462"/>
      <c r="E20" s="1948"/>
      <c r="F20" s="1948"/>
      <c r="G20" s="1948"/>
      <c r="H20" s="1948"/>
      <c r="I20" s="1948"/>
      <c r="J20" s="1948"/>
      <c r="K20" s="1948"/>
      <c r="L20" s="1949" t="str">
        <f>IF(AND(H19&gt;0,L19&gt;0),(((L19-H19)/H19)),"Enter Budget Data")</f>
        <v>Enter Budget Data</v>
      </c>
      <c r="M20" s="838"/>
      <c r="N20" s="1995"/>
    </row>
    <row r="21" spans="1:14" x14ac:dyDescent="0.2">
      <c r="A21" s="2002" t="s">
        <v>194</v>
      </c>
      <c r="B21" s="2003" t="s">
        <v>2046</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2022</v>
      </c>
      <c r="B24" s="2007"/>
      <c r="C24" s="2008"/>
      <c r="D24" s="2008"/>
      <c r="E24" s="2008"/>
      <c r="F24" s="2008"/>
      <c r="G24" s="2008"/>
      <c r="H24" s="2008"/>
      <c r="I24" s="2008"/>
      <c r="J24" s="2008"/>
      <c r="K24" s="2008"/>
      <c r="L24" s="838"/>
      <c r="M24" s="838"/>
      <c r="N24" s="1995"/>
    </row>
    <row r="25" spans="1:14" x14ac:dyDescent="0.2">
      <c r="A25" s="2006" t="s">
        <v>2023</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63"/>
      <c r="D27" s="2463"/>
      <c r="E27" s="843"/>
      <c r="F27" s="2464"/>
      <c r="G27" s="2464"/>
      <c r="H27" s="2464"/>
      <c r="I27" s="838"/>
      <c r="J27" s="838"/>
      <c r="K27" s="838"/>
      <c r="L27" s="838"/>
      <c r="M27" s="838"/>
      <c r="N27" s="1995"/>
    </row>
    <row r="28" spans="1:14" x14ac:dyDescent="0.2">
      <c r="A28" s="1994"/>
      <c r="B28" s="2004"/>
      <c r="C28" s="1954" t="s">
        <v>1026</v>
      </c>
      <c r="D28" s="844"/>
      <c r="E28" s="1955"/>
      <c r="F28" s="2465" t="s">
        <v>1492</v>
      </c>
      <c r="G28" s="2465"/>
      <c r="H28" s="2465"/>
      <c r="I28" s="838"/>
      <c r="J28" s="838"/>
      <c r="K28" s="838"/>
      <c r="L28" s="838"/>
      <c r="M28" s="838"/>
      <c r="N28" s="1995"/>
    </row>
    <row r="29" spans="1:14" x14ac:dyDescent="0.2">
      <c r="A29" s="1994"/>
      <c r="B29" s="2004"/>
      <c r="C29" s="2466"/>
      <c r="D29" s="2466"/>
      <c r="E29" s="845"/>
      <c r="F29" s="2466"/>
      <c r="G29" s="2466"/>
      <c r="H29" s="2466"/>
      <c r="I29" s="838"/>
      <c r="J29" s="838"/>
      <c r="K29" s="838"/>
      <c r="L29" s="838"/>
      <c r="M29" s="838"/>
      <c r="N29" s="1995"/>
    </row>
    <row r="30" spans="1:14" x14ac:dyDescent="0.2">
      <c r="A30" s="1994"/>
      <c r="B30" s="2004"/>
      <c r="C30" s="1957" t="s">
        <v>1544</v>
      </c>
      <c r="D30" s="838"/>
      <c r="E30" s="1956"/>
      <c r="F30" s="2450" t="s">
        <v>1493</v>
      </c>
      <c r="G30" s="2450"/>
      <c r="H30" s="2450"/>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27" t="s">
        <v>2024</v>
      </c>
      <c r="D34" s="2428"/>
      <c r="E34" s="2428"/>
      <c r="F34" s="2428"/>
      <c r="G34" s="2428"/>
      <c r="H34" s="2428"/>
      <c r="I34" s="2428"/>
      <c r="J34" s="2428"/>
      <c r="K34" s="2013"/>
      <c r="L34" s="838"/>
      <c r="M34" s="838"/>
      <c r="N34" s="1995"/>
    </row>
    <row r="35" spans="1:14" x14ac:dyDescent="0.2">
      <c r="A35" s="1994"/>
      <c r="B35" s="838"/>
      <c r="C35" s="2428"/>
      <c r="D35" s="2428"/>
      <c r="E35" s="2428"/>
      <c r="F35" s="2428"/>
      <c r="G35" s="2428"/>
      <c r="H35" s="2428"/>
      <c r="I35" s="2428"/>
      <c r="J35" s="2428"/>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27" t="s">
        <v>2025</v>
      </c>
      <c r="D37" s="2428"/>
      <c r="E37" s="2428"/>
      <c r="F37" s="2428"/>
      <c r="G37" s="2428"/>
      <c r="H37" s="2428"/>
      <c r="I37" s="2428"/>
      <c r="J37" s="2428"/>
      <c r="K37" s="2013"/>
      <c r="L37" s="2015"/>
      <c r="M37" s="838"/>
      <c r="N37" s="1995"/>
    </row>
    <row r="38" spans="1:14" x14ac:dyDescent="0.2">
      <c r="A38" s="1994"/>
      <c r="B38" s="838"/>
      <c r="C38" s="2428"/>
      <c r="D38" s="2428"/>
      <c r="E38" s="2428"/>
      <c r="F38" s="2428"/>
      <c r="G38" s="2428"/>
      <c r="H38" s="2428"/>
      <c r="I38" s="2428"/>
      <c r="J38" s="2428"/>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29" t="s">
        <v>2026</v>
      </c>
      <c r="D40" s="2430"/>
      <c r="E40" s="2430"/>
      <c r="F40" s="2430"/>
      <c r="G40" s="2430"/>
      <c r="H40" s="2430"/>
      <c r="I40" s="2430"/>
      <c r="J40" s="2430"/>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79"/>
      <c r="B44" s="1980"/>
      <c r="C44" s="1980"/>
      <c r="D44" s="1980"/>
      <c r="E44" s="1980"/>
      <c r="F44" s="1980"/>
      <c r="G44" s="1980"/>
      <c r="H44" s="1980"/>
      <c r="I44" s="1980"/>
      <c r="J44" s="1980"/>
      <c r="K44" s="1980"/>
      <c r="L44" s="1980"/>
      <c r="M44" s="1980"/>
      <c r="N44" s="1981"/>
    </row>
    <row r="45" spans="1:14" x14ac:dyDescent="0.2">
      <c r="A45" s="1979" t="s">
        <v>2028</v>
      </c>
      <c r="B45" s="1980"/>
      <c r="C45" s="1980"/>
      <c r="D45" s="1980"/>
      <c r="E45" s="1980"/>
      <c r="F45" s="1980"/>
      <c r="G45" s="1980"/>
      <c r="H45" s="1980"/>
      <c r="I45" s="1980"/>
      <c r="J45" s="1980"/>
      <c r="K45" s="1980"/>
      <c r="L45" s="1980"/>
      <c r="M45" s="1980"/>
      <c r="N45" s="1981"/>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2045</v>
      </c>
      <c r="B49" s="2021"/>
      <c r="C49" s="2021"/>
      <c r="D49" s="2022"/>
      <c r="E49" s="2022"/>
      <c r="F49" s="2022"/>
      <c r="G49" s="2022"/>
      <c r="H49" s="2022"/>
      <c r="I49" s="2022"/>
      <c r="J49" s="2022"/>
      <c r="K49" s="2022"/>
      <c r="L49" s="2022"/>
      <c r="M49" s="2022"/>
      <c r="N49" s="2023"/>
    </row>
    <row r="50" spans="1:14" ht="15" x14ac:dyDescent="0.25">
      <c r="A50" s="2025" t="s">
        <v>2044</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37" t="str">
        <f>J6</f>
        <v xml:space="preserve">  Whiteside Reg Voc System</v>
      </c>
      <c r="M52" s="2437"/>
      <c r="N52" s="2438"/>
    </row>
    <row r="53" spans="1:14" x14ac:dyDescent="0.2">
      <c r="A53" s="1979"/>
      <c r="B53" s="1980"/>
      <c r="C53" s="1980"/>
      <c r="D53" s="1980"/>
      <c r="E53" s="1980"/>
      <c r="F53" s="1980"/>
      <c r="G53" s="1980"/>
      <c r="H53" s="1980"/>
      <c r="I53" s="1980"/>
      <c r="J53" s="1980"/>
      <c r="K53" s="1921" t="s">
        <v>369</v>
      </c>
      <c r="L53" s="2439">
        <f>J7</f>
        <v>47098005046</v>
      </c>
      <c r="M53" s="2439"/>
      <c r="N53" s="2440"/>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41"/>
      <c r="B55" s="2442"/>
      <c r="C55" s="2442"/>
      <c r="D55" s="1967"/>
      <c r="E55" s="1967"/>
      <c r="F55" s="1967"/>
      <c r="G55" s="2443" t="s">
        <v>2030</v>
      </c>
      <c r="H55" s="2443"/>
      <c r="I55" s="2443"/>
      <c r="J55" s="2443"/>
      <c r="K55" s="2443"/>
      <c r="L55" s="2443"/>
      <c r="M55" s="2443"/>
      <c r="N55" s="2444"/>
    </row>
    <row r="56" spans="1:14" ht="63.75" x14ac:dyDescent="0.2">
      <c r="A56" s="2445" t="s">
        <v>2031</v>
      </c>
      <c r="B56" s="2446"/>
      <c r="C56" s="2447"/>
      <c r="D56" s="1961" t="s">
        <v>2032</v>
      </c>
      <c r="E56" s="1961" t="s">
        <v>2033</v>
      </c>
      <c r="F56" s="1968"/>
      <c r="G56" s="1961" t="s">
        <v>2034</v>
      </c>
      <c r="H56" s="1961" t="s">
        <v>2035</v>
      </c>
      <c r="I56" s="1961" t="s">
        <v>2036</v>
      </c>
      <c r="J56" s="1961" t="s">
        <v>2037</v>
      </c>
      <c r="K56" s="1961" t="s">
        <v>2038</v>
      </c>
      <c r="L56" s="1961" t="s">
        <v>2039</v>
      </c>
      <c r="M56" s="1961" t="s">
        <v>2040</v>
      </c>
      <c r="N56" s="1962" t="s">
        <v>2047</v>
      </c>
    </row>
    <row r="57" spans="1:14" ht="24.75" customHeight="1" x14ac:dyDescent="0.2">
      <c r="A57" s="2448" t="s">
        <v>296</v>
      </c>
      <c r="B57" s="2449"/>
      <c r="C57" s="2449"/>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25" t="s">
        <v>2041</v>
      </c>
      <c r="B58" s="2426"/>
      <c r="C58" s="2426"/>
      <c r="D58" s="1964">
        <v>2362</v>
      </c>
      <c r="E58" s="1974">
        <f>'Expenditures 15-22'!K320</f>
        <v>0</v>
      </c>
      <c r="F58" s="1969"/>
      <c r="G58" s="2028"/>
      <c r="H58" s="2029"/>
      <c r="I58" s="2029"/>
      <c r="J58" s="2029"/>
      <c r="K58" s="2029"/>
      <c r="L58" s="2029"/>
      <c r="M58" s="2029"/>
      <c r="N58" s="1972">
        <f>IF((SUM(G58:M58))=E58,SUM(G58:M58),"Column N does not agree with Column E")</f>
        <v>0</v>
      </c>
    </row>
    <row r="59" spans="1:14" ht="24.75" customHeight="1" x14ac:dyDescent="0.2">
      <c r="A59" s="2419" t="s">
        <v>297</v>
      </c>
      <c r="B59" s="2420"/>
      <c r="C59" s="2420"/>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19" t="s">
        <v>236</v>
      </c>
      <c r="B60" s="2420"/>
      <c r="C60" s="2420"/>
      <c r="D60" s="1964">
        <v>2364</v>
      </c>
      <c r="E60" s="1974">
        <f>'Expenditures 15-22'!K322</f>
        <v>0</v>
      </c>
      <c r="F60" s="1969"/>
      <c r="G60" s="2028"/>
      <c r="H60" s="2029"/>
      <c r="I60" s="2029"/>
      <c r="J60" s="2029"/>
      <c r="K60" s="2029"/>
      <c r="L60" s="2029"/>
      <c r="M60" s="2029"/>
      <c r="N60" s="1972">
        <f t="shared" ref="N60:N67" si="4">IF((SUM(G60:M60))=E60,SUM(G60:M60),"Column N does not agree with Column E")</f>
        <v>0</v>
      </c>
    </row>
    <row r="61" spans="1:14" ht="24.75" customHeight="1" x14ac:dyDescent="0.2">
      <c r="A61" s="2419" t="s">
        <v>697</v>
      </c>
      <c r="B61" s="2420"/>
      <c r="C61" s="2420"/>
      <c r="D61" s="1964">
        <v>2365</v>
      </c>
      <c r="E61" s="1974">
        <f>'Expenditures 15-22'!K323</f>
        <v>0</v>
      </c>
      <c r="F61" s="1969"/>
      <c r="G61" s="2028"/>
      <c r="H61" s="2029"/>
      <c r="I61" s="2029"/>
      <c r="J61" s="2029"/>
      <c r="K61" s="2029"/>
      <c r="L61" s="2029"/>
      <c r="M61" s="2029"/>
      <c r="N61" s="1972">
        <f t="shared" si="4"/>
        <v>0</v>
      </c>
    </row>
    <row r="62" spans="1:14" ht="24" customHeight="1" x14ac:dyDescent="0.2">
      <c r="A62" s="2419" t="s">
        <v>237</v>
      </c>
      <c r="B62" s="2420"/>
      <c r="C62" s="2420"/>
      <c r="D62" s="1964">
        <v>2366</v>
      </c>
      <c r="E62" s="1974">
        <f>'Expenditures 15-22'!K324</f>
        <v>0</v>
      </c>
      <c r="F62" s="1969"/>
      <c r="G62" s="2028"/>
      <c r="H62" s="2029"/>
      <c r="I62" s="2029"/>
      <c r="J62" s="2029"/>
      <c r="K62" s="2029"/>
      <c r="L62" s="2029"/>
      <c r="M62" s="2029"/>
      <c r="N62" s="1972">
        <f t="shared" si="4"/>
        <v>0</v>
      </c>
    </row>
    <row r="63" spans="1:14" ht="24" customHeight="1" x14ac:dyDescent="0.2">
      <c r="A63" s="2425" t="s">
        <v>1022</v>
      </c>
      <c r="B63" s="2426"/>
      <c r="C63" s="2426"/>
      <c r="D63" s="1964">
        <v>2367</v>
      </c>
      <c r="E63" s="1974">
        <f>'Expenditures 15-22'!K325</f>
        <v>0</v>
      </c>
      <c r="F63" s="1969"/>
      <c r="G63" s="2028"/>
      <c r="H63" s="2029"/>
      <c r="I63" s="2029"/>
      <c r="J63" s="2029"/>
      <c r="K63" s="2029"/>
      <c r="L63" s="2029"/>
      <c r="M63" s="2029"/>
      <c r="N63" s="1972">
        <f t="shared" si="4"/>
        <v>0</v>
      </c>
    </row>
    <row r="64" spans="1:14" ht="24" customHeight="1" x14ac:dyDescent="0.2">
      <c r="A64" s="2419" t="s">
        <v>1023</v>
      </c>
      <c r="B64" s="2420"/>
      <c r="C64" s="2420"/>
      <c r="D64" s="1964">
        <v>2368</v>
      </c>
      <c r="E64" s="1974">
        <f>'Expenditures 15-22'!K326</f>
        <v>0</v>
      </c>
      <c r="F64" s="1969"/>
      <c r="G64" s="2028"/>
      <c r="H64" s="2029"/>
      <c r="I64" s="2029"/>
      <c r="J64" s="2029"/>
      <c r="K64" s="2029"/>
      <c r="L64" s="2029"/>
      <c r="M64" s="2029"/>
      <c r="N64" s="1972">
        <f t="shared" si="4"/>
        <v>0</v>
      </c>
    </row>
    <row r="65" spans="1:14" ht="24" customHeight="1" x14ac:dyDescent="0.2">
      <c r="A65" s="2419" t="s">
        <v>965</v>
      </c>
      <c r="B65" s="2420"/>
      <c r="C65" s="2420"/>
      <c r="D65" s="1964">
        <v>2369</v>
      </c>
      <c r="E65" s="1974">
        <f>'Expenditures 15-22'!K327</f>
        <v>0</v>
      </c>
      <c r="F65" s="1969"/>
      <c r="G65" s="2028"/>
      <c r="H65" s="2029"/>
      <c r="I65" s="2029"/>
      <c r="J65" s="2029"/>
      <c r="K65" s="2029"/>
      <c r="L65" s="2029"/>
      <c r="M65" s="2029"/>
      <c r="N65" s="1972">
        <f t="shared" si="4"/>
        <v>0</v>
      </c>
    </row>
    <row r="66" spans="1:14" ht="24" customHeight="1" x14ac:dyDescent="0.2">
      <c r="A66" s="2419" t="s">
        <v>469</v>
      </c>
      <c r="B66" s="2420"/>
      <c r="C66" s="2420"/>
      <c r="D66" s="1964">
        <v>2371</v>
      </c>
      <c r="E66" s="1974">
        <f>'Expenditures 15-22'!K328</f>
        <v>0</v>
      </c>
      <c r="F66" s="1969"/>
      <c r="G66" s="2028"/>
      <c r="H66" s="2029"/>
      <c r="I66" s="2029"/>
      <c r="J66" s="2029"/>
      <c r="K66" s="2029"/>
      <c r="L66" s="2029"/>
      <c r="M66" s="2029"/>
      <c r="N66" s="1972">
        <f t="shared" si="4"/>
        <v>0</v>
      </c>
    </row>
    <row r="67" spans="1:14" ht="24.75" customHeight="1" x14ac:dyDescent="0.2">
      <c r="A67" s="2421" t="s">
        <v>2042</v>
      </c>
      <c r="B67" s="2422"/>
      <c r="C67" s="2422"/>
      <c r="D67" s="1966">
        <v>2372</v>
      </c>
      <c r="E67" s="1975">
        <f>'Expenditures 15-22'!K329</f>
        <v>0</v>
      </c>
      <c r="F67" s="1969"/>
      <c r="G67" s="2030"/>
      <c r="H67" s="2031"/>
      <c r="I67" s="2031"/>
      <c r="J67" s="2031"/>
      <c r="K67" s="2031"/>
      <c r="L67" s="2031"/>
      <c r="M67" s="2031"/>
      <c r="N67" s="1972">
        <f t="shared" si="4"/>
        <v>0</v>
      </c>
    </row>
    <row r="68" spans="1:14" x14ac:dyDescent="0.2">
      <c r="A68" s="2423" t="s">
        <v>1151</v>
      </c>
      <c r="B68" s="2424"/>
      <c r="C68" s="2424"/>
      <c r="D68" s="1967"/>
      <c r="E68" s="1971">
        <f>SUM(E57:E67)</f>
        <v>0</v>
      </c>
      <c r="F68" s="1970"/>
      <c r="G68" s="1971">
        <f t="shared" ref="G68:N68" si="5">SUM(G57:G67)</f>
        <v>0</v>
      </c>
      <c r="H68" s="1971">
        <f t="shared" si="5"/>
        <v>0</v>
      </c>
      <c r="I68" s="1971">
        <f t="shared" si="5"/>
        <v>0</v>
      </c>
      <c r="J68" s="1971">
        <f t="shared" si="5"/>
        <v>0</v>
      </c>
      <c r="K68" s="1971">
        <f t="shared" si="5"/>
        <v>0</v>
      </c>
      <c r="L68" s="1971">
        <f t="shared" si="5"/>
        <v>0</v>
      </c>
      <c r="M68" s="1971">
        <f t="shared" si="5"/>
        <v>0</v>
      </c>
      <c r="N68" s="1985">
        <f t="shared" si="5"/>
        <v>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2043</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2" sqref="X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42578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9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1999999999999993"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37" zoomScale="110" zoomScaleNormal="110" workbookViewId="0">
      <selection activeCell="X22" sqref="X2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2" t="s">
        <v>2066</v>
      </c>
    </row>
    <row r="6" spans="1:2" x14ac:dyDescent="0.2">
      <c r="A6" s="847">
        <v>2</v>
      </c>
      <c r="B6" s="2032" t="s">
        <v>2067</v>
      </c>
    </row>
    <row r="7" spans="1:2" x14ac:dyDescent="0.2">
      <c r="A7" s="847">
        <v>3</v>
      </c>
      <c r="B7" s="2033" t="s">
        <v>2068</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Whiteside Reg Voc System</v>
      </c>
    </row>
    <row r="65" spans="2:2" x14ac:dyDescent="0.2">
      <c r="B65" s="849">
        <f>COVER!A13</f>
        <v>47098005046</v>
      </c>
    </row>
  </sheetData>
  <phoneticPr fontId="15" type="noConversion"/>
  <pageMargins left="0.2" right="0.2" top="1.17" bottom="0.75" header="0.19" footer="0.16"/>
  <pageSetup scale="78"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2" sqref="X22"/>
    </sheetView>
  </sheetViews>
  <sheetFormatPr defaultColWidth="8.71093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1382</v>
      </c>
    </row>
    <row r="13" spans="1:4" s="19" customFormat="1" ht="12.95" customHeight="1" x14ac:dyDescent="0.2">
      <c r="B13" s="18" t="s">
        <v>909</v>
      </c>
      <c r="C13" s="16" t="s">
        <v>1117</v>
      </c>
    </row>
    <row r="14" spans="1:4" ht="21.75" customHeight="1" x14ac:dyDescent="0.2">
      <c r="B14" s="18" t="s">
        <v>910</v>
      </c>
      <c r="C14" s="16" t="s">
        <v>838</v>
      </c>
    </row>
    <row r="15" spans="1:4" ht="12.95" customHeight="1" x14ac:dyDescent="0.2">
      <c r="B15" s="139" t="s">
        <v>1314</v>
      </c>
      <c r="C15" s="138" t="s">
        <v>1315</v>
      </c>
    </row>
    <row r="16" spans="1:4" ht="12.95" customHeight="1" x14ac:dyDescent="0.2">
      <c r="C16" s="138" t="s">
        <v>1316</v>
      </c>
    </row>
    <row r="17" spans="3:3" ht="12.9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71093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2"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2" sqref="X22"/>
    </sheetView>
  </sheetViews>
  <sheetFormatPr defaultColWidth="9.140625" defaultRowHeight="12.75" x14ac:dyDescent="0.2"/>
  <cols>
    <col min="1" max="1" width="33.7109375" style="294" customWidth="1"/>
    <col min="2" max="6" width="16.7109375" style="294" customWidth="1"/>
    <col min="7" max="16384" width="9.140625" style="294"/>
  </cols>
  <sheetData>
    <row r="1" spans="1:8" ht="48.95" customHeight="1" x14ac:dyDescent="0.2">
      <c r="A1" s="2468" t="s">
        <v>1669</v>
      </c>
      <c r="B1" s="2469"/>
      <c r="C1" s="2469"/>
      <c r="D1" s="2469"/>
      <c r="E1" s="2469"/>
      <c r="F1" s="2470"/>
    </row>
    <row r="2" spans="1:8" ht="45.2"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1774903</v>
      </c>
      <c r="C8" s="1813">
        <f>'Acct Summary 7-8'!D8</f>
        <v>197007</v>
      </c>
      <c r="D8" s="1813">
        <f>'Acct Summary 7-8'!F8</f>
        <v>11981</v>
      </c>
      <c r="E8" s="1813">
        <f>'Acct Summary 7-8'!I8</f>
        <v>0</v>
      </c>
      <c r="F8" s="1813">
        <f>SUM(B8:E8)</f>
        <v>1983891</v>
      </c>
    </row>
    <row r="9" spans="1:8" s="858" customFormat="1" ht="14.25" customHeight="1" thickBot="1" x14ac:dyDescent="0.25">
      <c r="A9" s="857" t="s">
        <v>1353</v>
      </c>
      <c r="B9" s="1814">
        <f>'Acct Summary 7-8'!C17</f>
        <v>1684919</v>
      </c>
      <c r="C9" s="1814">
        <f>'Acct Summary 7-8'!D17</f>
        <v>227799</v>
      </c>
      <c r="D9" s="1814">
        <f>'Acct Summary 7-8'!F17</f>
        <v>6786</v>
      </c>
      <c r="E9" s="1813"/>
      <c r="F9" s="1813">
        <f>SUM(B9:E9)</f>
        <v>1919504</v>
      </c>
    </row>
    <row r="10" spans="1:8" s="858" customFormat="1" ht="14.25" thickTop="1" thickBot="1" x14ac:dyDescent="0.25">
      <c r="A10" s="859" t="s">
        <v>1354</v>
      </c>
      <c r="B10" s="1815">
        <f>(B8-B9)</f>
        <v>89984</v>
      </c>
      <c r="C10" s="1815">
        <f>(C8-C9)</f>
        <v>-30792</v>
      </c>
      <c r="D10" s="1815">
        <f>(D8-D9)</f>
        <v>5195</v>
      </c>
      <c r="E10" s="1814">
        <f>(E8-E9)</f>
        <v>0</v>
      </c>
      <c r="F10" s="1816">
        <f>SUM(F8-F9)</f>
        <v>64387</v>
      </c>
    </row>
    <row r="11" spans="1:8" s="858" customFormat="1" ht="14.25" thickTop="1" thickBot="1" x14ac:dyDescent="0.25">
      <c r="A11" s="860" t="s">
        <v>1903</v>
      </c>
      <c r="B11" s="1817">
        <f>'Acct Summary 7-8'!C81</f>
        <v>760576</v>
      </c>
      <c r="C11" s="1817">
        <f>'Acct Summary 7-8'!D81</f>
        <v>89983</v>
      </c>
      <c r="D11" s="1817">
        <f>'Acct Summary 7-8'!F81</f>
        <v>40909</v>
      </c>
      <c r="E11" s="1817">
        <f>'Acct Summary 7-8'!I81</f>
        <v>0</v>
      </c>
      <c r="F11" s="1818">
        <f>SUM(B11:E11)</f>
        <v>891468</v>
      </c>
    </row>
    <row r="12" spans="1:8" ht="16.7"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4"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95" customHeight="1" x14ac:dyDescent="0.2">
      <c r="A17" s="935" t="s">
        <v>1672</v>
      </c>
      <c r="B17" s="936"/>
      <c r="C17" s="937"/>
      <c r="D17" s="938"/>
    </row>
    <row r="18" spans="1:10" s="542" customFormat="1" ht="12.9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9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9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9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ColWidth="8.7109375"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47098005046</v>
      </c>
      <c r="E2" s="1542">
        <v>2020</v>
      </c>
      <c r="F2" s="1542">
        <v>1</v>
      </c>
      <c r="G2" s="1898">
        <v>101000300</v>
      </c>
    </row>
    <row r="3" spans="1:7" ht="15" x14ac:dyDescent="0.25">
      <c r="A3" t="s">
        <v>950</v>
      </c>
      <c r="B3" s="135" t="str">
        <f>COVER!A15</f>
        <v>Whiteside</v>
      </c>
      <c r="E3" s="1830" t="s">
        <v>1971</v>
      </c>
      <c r="F3" s="1830" t="s">
        <v>1970</v>
      </c>
      <c r="G3" s="1898">
        <v>101000400</v>
      </c>
    </row>
    <row r="4" spans="1:7" ht="15" x14ac:dyDescent="0.25">
      <c r="A4" t="s">
        <v>1000</v>
      </c>
      <c r="B4" s="135" t="str">
        <f>COVER!A17</f>
        <v xml:space="preserve">  Whiteside Reg Voc System</v>
      </c>
      <c r="E4" s="1828">
        <v>44119</v>
      </c>
      <c r="F4" s="1829">
        <v>44151</v>
      </c>
      <c r="G4" s="1898">
        <v>101000600</v>
      </c>
    </row>
    <row r="5" spans="1:7" ht="15" x14ac:dyDescent="0.25">
      <c r="A5" t="s">
        <v>699</v>
      </c>
      <c r="B5" s="135" t="str">
        <f>COVER!A38</f>
        <v>Dr. R. Tad Everett</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066-004023</v>
      </c>
      <c r="G15" s="1898">
        <v>402100400</v>
      </c>
    </row>
    <row r="16" spans="1:7" ht="15" x14ac:dyDescent="0.25">
      <c r="A16" t="s">
        <v>419</v>
      </c>
      <c r="B16" s="135" t="str">
        <f>COVER!T13</f>
        <v>Wipfli LLP</v>
      </c>
      <c r="G16" s="1898">
        <v>402100600</v>
      </c>
    </row>
    <row r="17" spans="1:7" ht="15" x14ac:dyDescent="0.25">
      <c r="A17" t="s">
        <v>878</v>
      </c>
      <c r="B17" s="135" t="str">
        <f>COVER!T15</f>
        <v>Matthew Schueler</v>
      </c>
      <c r="G17" s="1898">
        <v>402100800</v>
      </c>
    </row>
    <row r="18" spans="1:7" ht="15" x14ac:dyDescent="0.25">
      <c r="A18" t="s">
        <v>1140</v>
      </c>
      <c r="B18" s="135" t="str">
        <f>COVER!T17</f>
        <v>403 East Third</v>
      </c>
      <c r="G18" s="1898">
        <v>102200300</v>
      </c>
    </row>
    <row r="19" spans="1:7" ht="15" x14ac:dyDescent="0.25">
      <c r="A19" t="s">
        <v>880</v>
      </c>
      <c r="B19" s="135" t="str">
        <f>COVER!T25</f>
        <v>mschueler@wipfli.com</v>
      </c>
      <c r="G19" s="1898">
        <v>102200400</v>
      </c>
    </row>
    <row r="20" spans="1:7" ht="15" x14ac:dyDescent="0.25">
      <c r="A20" t="s">
        <v>881</v>
      </c>
      <c r="B20" s="135" t="str">
        <f>COVER!T19</f>
        <v>Sterling</v>
      </c>
      <c r="G20" s="1898">
        <v>102200600</v>
      </c>
    </row>
    <row r="21" spans="1:7" ht="15" x14ac:dyDescent="0.25">
      <c r="A21" t="s">
        <v>476</v>
      </c>
      <c r="B21" s="135" t="str">
        <f>COVER!X19</f>
        <v>Illinois</v>
      </c>
      <c r="G21" s="1898">
        <v>102200800</v>
      </c>
    </row>
    <row r="22" spans="1:7" ht="15" x14ac:dyDescent="0.25">
      <c r="A22" t="s">
        <v>882</v>
      </c>
      <c r="B22" s="135">
        <f>COVER!Z19</f>
        <v>61081</v>
      </c>
      <c r="G22" s="1898">
        <v>102300300</v>
      </c>
    </row>
    <row r="23" spans="1:7" ht="15" x14ac:dyDescent="0.25">
      <c r="A23" t="s">
        <v>1142</v>
      </c>
      <c r="B23" s="135" t="str">
        <f>COVER!T21</f>
        <v>815-626-1277</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21017</v>
      </c>
      <c r="D72" s="2" t="str">
        <f t="shared" si="0"/>
        <v>Error?</v>
      </c>
      <c r="G72" s="1898">
        <v>102560600</v>
      </c>
    </row>
    <row r="73" spans="1:7" ht="15" x14ac:dyDescent="0.25">
      <c r="A73" s="5">
        <v>12</v>
      </c>
      <c r="B73" s="1832">
        <f>'Assets-Liab 5-6'!C5</f>
        <v>742067</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851702</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19989</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91126</v>
      </c>
      <c r="C91" s="2" t="s">
        <v>569</v>
      </c>
      <c r="D91" s="2" t="str">
        <f t="shared" si="0"/>
        <v>Error?</v>
      </c>
      <c r="G91" s="1898">
        <v>102640400</v>
      </c>
    </row>
    <row r="92" spans="1:7" ht="15" x14ac:dyDescent="0.25">
      <c r="A92" s="5">
        <v>31</v>
      </c>
      <c r="B92" s="1832">
        <f>'Assets-Liab 5-6'!C39</f>
        <v>726708</v>
      </c>
      <c r="D92" s="2" t="str">
        <f t="shared" si="0"/>
        <v>Error?</v>
      </c>
      <c r="G92" s="1898">
        <v>102640600</v>
      </c>
    </row>
    <row r="93" spans="1:7" ht="15" x14ac:dyDescent="0.25">
      <c r="A93" s="5">
        <v>32</v>
      </c>
      <c r="B93" s="1832">
        <f>'Assets-Liab 5-6'!C41</f>
        <v>851702</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92924</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93624</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3641</v>
      </c>
      <c r="C122" s="2" t="s">
        <v>569</v>
      </c>
      <c r="D122" s="2" t="str">
        <f t="shared" si="0"/>
        <v>Error?</v>
      </c>
      <c r="G122" s="1898">
        <v>203000300</v>
      </c>
    </row>
    <row r="123" spans="1:7" ht="15" x14ac:dyDescent="0.25">
      <c r="A123" s="5">
        <v>62</v>
      </c>
      <c r="B123" s="1832">
        <f>'Assets-Liab 5-6'!D39</f>
        <v>89983</v>
      </c>
      <c r="D123" s="2" t="str">
        <f t="shared" si="0"/>
        <v>Error?</v>
      </c>
      <c r="G123" s="1898">
        <v>203000400</v>
      </c>
    </row>
    <row r="124" spans="1:7" ht="15" x14ac:dyDescent="0.25">
      <c r="A124" s="5">
        <v>63</v>
      </c>
      <c r="B124" s="1832">
        <f>'Assets-Liab 5-6'!D41</f>
        <v>93624</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38616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41593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100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684</v>
      </c>
      <c r="C169" s="2" t="s">
        <v>569</v>
      </c>
      <c r="D169" s="2" t="str">
        <f t="shared" si="1"/>
        <v>Error?</v>
      </c>
    </row>
    <row r="170" spans="1:4" x14ac:dyDescent="0.2">
      <c r="A170" s="5">
        <v>109</v>
      </c>
      <c r="B170" s="1832">
        <f>'Assets-Liab 5-6'!F39</f>
        <v>40909</v>
      </c>
      <c r="D170" s="2" t="str">
        <f t="shared" si="1"/>
        <v>Error?</v>
      </c>
    </row>
    <row r="171" spans="1:4" x14ac:dyDescent="0.2">
      <c r="A171" s="5">
        <v>110</v>
      </c>
      <c r="B171" s="1832">
        <f>'Assets-Liab 5-6'!F41</f>
        <v>41593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1166502</v>
      </c>
      <c r="D274" s="2" t="str">
        <f t="shared" si="3"/>
        <v>Error?</v>
      </c>
    </row>
    <row r="275" spans="1:4" x14ac:dyDescent="0.2">
      <c r="A275" s="5">
        <v>214</v>
      </c>
      <c r="B275" s="1832">
        <f>'Assets-Liab 5-6'!M18</f>
        <v>27758</v>
      </c>
      <c r="D275" s="2" t="str">
        <f t="shared" si="3"/>
        <v>Error?</v>
      </c>
    </row>
    <row r="276" spans="1:4" x14ac:dyDescent="0.2">
      <c r="A276" s="5">
        <v>215</v>
      </c>
      <c r="B276" s="1832">
        <f>'Assets-Liab 5-6'!M19</f>
        <v>246755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1441015</v>
      </c>
      <c r="C279" s="2" t="s">
        <v>569</v>
      </c>
      <c r="D279" s="2" t="str">
        <f t="shared" si="3"/>
        <v>Error?</v>
      </c>
    </row>
    <row r="280" spans="1:4" x14ac:dyDescent="0.2">
      <c r="A280" s="5">
        <v>219</v>
      </c>
      <c r="B280" s="1832">
        <f>'Assets-Liab 5-6'!M40</f>
        <v>1441015</v>
      </c>
      <c r="D280" s="2" t="str">
        <f t="shared" si="3"/>
        <v>Error?</v>
      </c>
    </row>
    <row r="281" spans="1:4" x14ac:dyDescent="0.2">
      <c r="A281" s="5">
        <v>220</v>
      </c>
      <c r="B281" s="1832">
        <f>'Assets-Liab 5-6'!M41</f>
        <v>1441015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629378</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629378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55850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55850</v>
      </c>
      <c r="C727" s="2" t="s">
        <v>569</v>
      </c>
      <c r="D727" s="2" t="str">
        <f t="shared" si="10"/>
        <v>Error?</v>
      </c>
    </row>
    <row r="728" spans="1:4" x14ac:dyDescent="0.2">
      <c r="A728" s="5">
        <v>667</v>
      </c>
      <c r="B728" s="1832">
        <f>'Expenditures 15-22'!C44</f>
        <v>44077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44077</v>
      </c>
      <c r="C731" s="2" t="s">
        <v>569</v>
      </c>
      <c r="D731" s="2" t="str">
        <f t="shared" si="10"/>
        <v>Error?</v>
      </c>
    </row>
    <row r="732" spans="1:4" x14ac:dyDescent="0.2">
      <c r="A732" s="5">
        <v>671</v>
      </c>
      <c r="B732" s="1832">
        <f>'Expenditures 15-22'!C49</f>
        <v>35594</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35594</v>
      </c>
      <c r="C734" s="2" t="s">
        <v>569</v>
      </c>
      <c r="D734" s="2" t="str">
        <f t="shared" si="10"/>
        <v>Error?</v>
      </c>
    </row>
    <row r="735" spans="1:4" x14ac:dyDescent="0.2">
      <c r="A735" s="5">
        <v>674</v>
      </c>
      <c r="B735" s="1832">
        <f>'Expenditures 15-22'!C55</f>
        <v>118258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118258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253779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883157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195596</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195596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18581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18581</v>
      </c>
      <c r="C785" s="2" t="s">
        <v>569</v>
      </c>
      <c r="D785" s="2" t="str">
        <f t="shared" si="11"/>
        <v>Error?</v>
      </c>
    </row>
    <row r="786" spans="1:4" x14ac:dyDescent="0.2">
      <c r="A786" s="5">
        <v>725</v>
      </c>
      <c r="B786" s="1832">
        <f>'Expenditures 15-22'!D44</f>
        <v>33338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33338</v>
      </c>
      <c r="C789" s="2" t="s">
        <v>569</v>
      </c>
      <c r="D789" s="2" t="str">
        <f t="shared" si="11"/>
        <v>Error?</v>
      </c>
    </row>
    <row r="790" spans="1:4" x14ac:dyDescent="0.2">
      <c r="A790" s="5">
        <v>729</v>
      </c>
      <c r="B790" s="1832">
        <f>'Expenditures 15-22'!D49</f>
        <v>6749</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6749</v>
      </c>
      <c r="C792" s="2" t="s">
        <v>569</v>
      </c>
      <c r="D792" s="2" t="str">
        <f t="shared" si="11"/>
        <v>Error?</v>
      </c>
    </row>
    <row r="793" spans="1:4" x14ac:dyDescent="0.2">
      <c r="A793" s="5">
        <v>732</v>
      </c>
      <c r="B793" s="1832">
        <f>'Expenditures 15-22'!D55</f>
        <v>28061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28061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86729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282325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50090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50090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39466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39466</v>
      </c>
      <c r="C843" s="2" t="s">
        <v>569</v>
      </c>
      <c r="D843" s="2" t="str">
        <f t="shared" si="12"/>
        <v>Error?</v>
      </c>
    </row>
    <row r="844" spans="1:4" x14ac:dyDescent="0.2">
      <c r="A844" s="5">
        <v>783</v>
      </c>
      <c r="B844" s="1832">
        <f>'Expenditures 15-22'!E44</f>
        <v>10185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10185</v>
      </c>
      <c r="C847" s="2" t="s">
        <v>569</v>
      </c>
      <c r="D847" s="2" t="str">
        <f t="shared" si="12"/>
        <v>Error?</v>
      </c>
    </row>
    <row r="848" spans="1:4" x14ac:dyDescent="0.2">
      <c r="A848" s="5">
        <v>787</v>
      </c>
      <c r="B848" s="1832">
        <f>'Expenditures 15-22'!E49</f>
        <v>80297</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80297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271</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130219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180309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86779</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86779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539</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539</v>
      </c>
      <c r="C901" s="2" t="s">
        <v>569</v>
      </c>
      <c r="D901" s="2" t="str">
        <f t="shared" si="13"/>
        <v>Error?</v>
      </c>
    </row>
    <row r="902" spans="1:4" x14ac:dyDescent="0.2">
      <c r="A902" s="5">
        <v>841</v>
      </c>
      <c r="B902" s="1832">
        <f>'Expenditures 15-22'!F44</f>
        <v>261</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261</v>
      </c>
      <c r="C905" s="2" t="s">
        <v>569</v>
      </c>
      <c r="D905" s="2" t="str">
        <f t="shared" si="13"/>
        <v>Error?</v>
      </c>
    </row>
    <row r="906" spans="1:4" x14ac:dyDescent="0.2">
      <c r="A906" s="5">
        <v>845</v>
      </c>
      <c r="B906" s="1832">
        <f>'Expenditures 15-22'!F49</f>
        <v>3337</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3337</v>
      </c>
      <c r="C908" s="2" t="s">
        <v>569</v>
      </c>
      <c r="D908" s="2" t="str">
        <f t="shared" si="13"/>
        <v>Error?</v>
      </c>
    </row>
    <row r="909" spans="1:4" x14ac:dyDescent="0.2">
      <c r="A909" s="5">
        <v>848</v>
      </c>
      <c r="B909" s="1832">
        <f>'Expenditures 15-22'!F55</f>
        <v>285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285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4422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91201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19400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19400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19400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5118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5118</v>
      </c>
      <c r="C1024" s="2" t="s">
        <v>569</v>
      </c>
      <c r="D1024" s="2" t="str">
        <f t="shared" si="15"/>
        <v>Error?</v>
      </c>
    </row>
    <row r="1025" spans="1:4" x14ac:dyDescent="0.2">
      <c r="A1025" s="5">
        <v>964</v>
      </c>
      <c r="B1025" s="1832">
        <f>'Expenditures 15-22'!H55</f>
        <v>791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791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5909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213875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219784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989986</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989986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114436</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114436</v>
      </c>
      <c r="C1115" s="2" t="s">
        <v>569</v>
      </c>
      <c r="D1115" s="2" t="str">
        <f t="shared" si="16"/>
        <v>Error?</v>
      </c>
    </row>
    <row r="1116" spans="1:4" x14ac:dyDescent="0.2">
      <c r="A1116" s="5">
        <v>1055</v>
      </c>
      <c r="B1116" s="1832">
        <f>'Expenditures 15-22'!K44</f>
        <v>87861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87861</v>
      </c>
      <c r="C1119" s="2" t="s">
        <v>569</v>
      </c>
      <c r="D1119" s="2" t="str">
        <f t="shared" si="16"/>
        <v>Error?</v>
      </c>
    </row>
    <row r="1120" spans="1:4" x14ac:dyDescent="0.2">
      <c r="A1120" s="5">
        <v>1059</v>
      </c>
      <c r="B1120" s="1832">
        <f>'Expenditures 15-22'!K49</f>
        <v>131095</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131095</v>
      </c>
      <c r="C1122" s="2" t="s">
        <v>569</v>
      </c>
      <c r="D1122" s="2" t="str">
        <f t="shared" si="16"/>
        <v>Error?</v>
      </c>
    </row>
    <row r="1123" spans="1:4" x14ac:dyDescent="0.2">
      <c r="A1123" s="5">
        <v>1062</v>
      </c>
      <c r="B1123" s="1832">
        <f>'Expenditures 15-22'!K55</f>
        <v>147395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147395</v>
      </c>
      <c r="C1125" s="2" t="s">
        <v>569</v>
      </c>
      <c r="D1125" s="2" t="str">
        <f t="shared" si="16"/>
        <v>Error?</v>
      </c>
    </row>
    <row r="1126" spans="1:4" x14ac:dyDescent="0.2">
      <c r="A1126" s="5">
        <v>1065</v>
      </c>
      <c r="B1126" s="1832">
        <f>'Expenditures 15-22'!K59</f>
        <v>271</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481058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213875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1684919</v>
      </c>
      <c r="C1152" s="2" t="s">
        <v>569</v>
      </c>
      <c r="D1152" s="2" t="str">
        <f t="shared" si="17"/>
        <v>Error?</v>
      </c>
    </row>
    <row r="1153" spans="1:4" x14ac:dyDescent="0.2">
      <c r="A1153" s="5">
        <v>1092</v>
      </c>
      <c r="B1153" s="1832">
        <f>'Expenditures 15-22'!K115</f>
        <v>89984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63844</v>
      </c>
      <c r="D1221" s="2" t="str">
        <f t="shared" si="18"/>
        <v>Error?</v>
      </c>
    </row>
    <row r="1222" spans="1:4" x14ac:dyDescent="0.2">
      <c r="A1222" s="10">
        <v>1161</v>
      </c>
      <c r="B1222" s="1832"/>
      <c r="D1222" s="2" t="str">
        <f t="shared" si="18"/>
        <v>OK</v>
      </c>
    </row>
    <row r="1223" spans="1:4" x14ac:dyDescent="0.2">
      <c r="A1223" s="5">
        <v>1162</v>
      </c>
      <c r="B1223" s="1832">
        <f>'Expenditures 15-22'!C127</f>
        <v>63844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63844</v>
      </c>
      <c r="C1225" s="2" t="s">
        <v>569</v>
      </c>
      <c r="D1225" s="2" t="str">
        <f t="shared" si="18"/>
        <v>Error?</v>
      </c>
    </row>
    <row r="1226" spans="1:4" x14ac:dyDescent="0.2">
      <c r="A1226" s="5">
        <v>1165</v>
      </c>
      <c r="B1226" s="1832">
        <f>'Expenditures 15-22'!C151</f>
        <v>63844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37065</v>
      </c>
      <c r="D1229" s="2" t="str">
        <f t="shared" si="18"/>
        <v>Error?</v>
      </c>
    </row>
    <row r="1230" spans="1:4" x14ac:dyDescent="0.2">
      <c r="A1230" s="10">
        <v>1169</v>
      </c>
      <c r="B1230" s="1832"/>
      <c r="D1230" s="2" t="str">
        <f t="shared" si="18"/>
        <v>OK</v>
      </c>
    </row>
    <row r="1231" spans="1:4" x14ac:dyDescent="0.2">
      <c r="A1231" s="5">
        <v>1170</v>
      </c>
      <c r="B1231" s="1832">
        <f>'Expenditures 15-22'!D127</f>
        <v>37065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37065</v>
      </c>
      <c r="C1233" s="2" t="s">
        <v>569</v>
      </c>
      <c r="D1233" s="2" t="str">
        <f t="shared" si="18"/>
        <v>Error?</v>
      </c>
    </row>
    <row r="1234" spans="1:4" x14ac:dyDescent="0.2">
      <c r="A1234" s="5">
        <v>1173</v>
      </c>
      <c r="B1234" s="1832">
        <f>'Expenditures 15-22'!D151</f>
        <v>37065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77908</v>
      </c>
      <c r="D1237" s="2" t="str">
        <f t="shared" si="18"/>
        <v>Error?</v>
      </c>
    </row>
    <row r="1238" spans="1:4" x14ac:dyDescent="0.2">
      <c r="A1238" s="10">
        <v>1177</v>
      </c>
      <c r="B1238" s="1832"/>
      <c r="D1238" s="2" t="str">
        <f t="shared" si="18"/>
        <v>OK</v>
      </c>
    </row>
    <row r="1239" spans="1:4" x14ac:dyDescent="0.2">
      <c r="A1239" s="5">
        <v>1178</v>
      </c>
      <c r="B1239" s="1832">
        <f>'Expenditures 15-22'!E127</f>
        <v>77908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77908</v>
      </c>
      <c r="C1241" s="2" t="s">
        <v>569</v>
      </c>
      <c r="D1241" s="2" t="str">
        <f t="shared" si="18"/>
        <v>Error?</v>
      </c>
    </row>
    <row r="1242" spans="1:4" x14ac:dyDescent="0.2">
      <c r="A1242" s="5">
        <v>1181</v>
      </c>
      <c r="B1242" s="1832">
        <f>'Expenditures 15-22'!E151</f>
        <v>77908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14623</v>
      </c>
      <c r="D1245" s="2" t="str">
        <f t="shared" si="18"/>
        <v>Error?</v>
      </c>
    </row>
    <row r="1246" spans="1:4" x14ac:dyDescent="0.2">
      <c r="A1246" s="10">
        <v>1185</v>
      </c>
      <c r="B1246" s="1832"/>
      <c r="D1246" s="2" t="str">
        <f t="shared" si="18"/>
        <v>OK</v>
      </c>
    </row>
    <row r="1247" spans="1:4" x14ac:dyDescent="0.2">
      <c r="A1247" s="5">
        <v>1186</v>
      </c>
      <c r="B1247" s="1832">
        <f>'Expenditures 15-22'!F127</f>
        <v>14623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14623</v>
      </c>
      <c r="C1249" s="2" t="s">
        <v>569</v>
      </c>
      <c r="D1249" s="2" t="str">
        <f t="shared" si="18"/>
        <v>Error?</v>
      </c>
    </row>
    <row r="1250" spans="1:4" x14ac:dyDescent="0.2">
      <c r="A1250" s="5">
        <v>1189</v>
      </c>
      <c r="B1250" s="1832">
        <f>'Expenditures 15-22'!F151</f>
        <v>14623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6858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6858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6858</v>
      </c>
      <c r="C1258" s="2" t="s">
        <v>569</v>
      </c>
      <c r="D1258" s="2" t="str">
        <f t="shared" si="18"/>
        <v>Error?</v>
      </c>
    </row>
    <row r="1259" spans="1:4" x14ac:dyDescent="0.2">
      <c r="A1259" s="5">
        <v>1198</v>
      </c>
      <c r="B1259" s="1832">
        <f>'Expenditures 15-22'!G151</f>
        <v>6858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227799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227799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227799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227799</v>
      </c>
      <c r="C1288" s="2" t="s">
        <v>569</v>
      </c>
      <c r="D1288" s="2" t="str">
        <f t="shared" si="19"/>
        <v>Error?</v>
      </c>
    </row>
    <row r="1289" spans="1:4" x14ac:dyDescent="0.2">
      <c r="A1289" s="5">
        <v>1228</v>
      </c>
      <c r="B1289" s="1832">
        <f>'Expenditures 15-22'!K152</f>
        <v>-30792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5225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5225</v>
      </c>
      <c r="C1339" s="2" t="s">
        <v>569</v>
      </c>
      <c r="D1339" s="2" t="str">
        <f t="shared" si="19"/>
        <v>Error?</v>
      </c>
    </row>
    <row r="1340" spans="1:4" x14ac:dyDescent="0.2">
      <c r="A1340" s="5">
        <v>1279</v>
      </c>
      <c r="B1340" s="1832">
        <f>'Expenditures 15-22'!C210</f>
        <v>5225</v>
      </c>
      <c r="C1340" s="2" t="s">
        <v>569</v>
      </c>
      <c r="D1340" s="2" t="str">
        <f t="shared" si="19"/>
        <v>Error?</v>
      </c>
    </row>
    <row r="1341" spans="1:4" x14ac:dyDescent="0.2">
      <c r="A1341" s="5">
        <v>1280</v>
      </c>
      <c r="B1341" s="1832">
        <f>'Expenditures 15-22'!D182</f>
        <v>698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698</v>
      </c>
      <c r="C1345" s="2" t="s">
        <v>569</v>
      </c>
      <c r="D1345" s="2" t="str">
        <f t="shared" si="20"/>
        <v>Error?</v>
      </c>
    </row>
    <row r="1346" spans="1:4" x14ac:dyDescent="0.2">
      <c r="A1346" s="5">
        <v>1285</v>
      </c>
      <c r="B1346" s="1832">
        <f>'Expenditures 15-22'!D210</f>
        <v>698</v>
      </c>
      <c r="C1346" s="2" t="s">
        <v>569</v>
      </c>
      <c r="D1346" s="2" t="str">
        <f t="shared" si="20"/>
        <v>Error?</v>
      </c>
    </row>
    <row r="1347" spans="1:4" x14ac:dyDescent="0.2">
      <c r="A1347" s="5">
        <v>1286</v>
      </c>
      <c r="B1347" s="1832">
        <f>'Expenditures 15-22'!E182</f>
        <v>445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445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445</v>
      </c>
      <c r="C1353" s="2" t="s">
        <v>569</v>
      </c>
      <c r="D1353" s="2" t="str">
        <f t="shared" si="20"/>
        <v>Error?</v>
      </c>
    </row>
    <row r="1354" spans="1:4" x14ac:dyDescent="0.2">
      <c r="A1354" s="5">
        <v>1293</v>
      </c>
      <c r="B1354" s="1832">
        <f>'Expenditures 15-22'!F182</f>
        <v>418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418</v>
      </c>
      <c r="C1358" s="2" t="s">
        <v>569</v>
      </c>
      <c r="D1358" s="2" t="str">
        <f t="shared" si="20"/>
        <v>Error?</v>
      </c>
    </row>
    <row r="1359" spans="1:4" x14ac:dyDescent="0.2">
      <c r="A1359" s="5">
        <v>1298</v>
      </c>
      <c r="B1359" s="1832">
        <f>'Expenditures 15-22'!F210</f>
        <v>418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6786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6786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6786</v>
      </c>
      <c r="C1388" s="2" t="s">
        <v>569</v>
      </c>
      <c r="D1388" s="2" t="str">
        <f t="shared" si="20"/>
        <v>Error?</v>
      </c>
    </row>
    <row r="1389" spans="1:4" x14ac:dyDescent="0.2">
      <c r="A1389" s="5">
        <v>1328</v>
      </c>
      <c r="B1389" s="1832">
        <f>'Expenditures 15-22'!K211</f>
        <v>5195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670592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760576</v>
      </c>
      <c r="C1630" s="2" t="s">
        <v>569</v>
      </c>
      <c r="D1630" s="2" t="str">
        <f t="shared" si="24"/>
        <v>Error?</v>
      </c>
    </row>
    <row r="1631" spans="1:4" x14ac:dyDescent="0.2">
      <c r="A1631" s="5">
        <v>1570</v>
      </c>
      <c r="B1631" s="1832">
        <f>'Acct Summary 7-8'!D79</f>
        <v>120775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89983</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35714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40909</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2616908</v>
      </c>
      <c r="D2009" s="2" t="str">
        <f t="shared" si="30"/>
        <v>Error?</v>
      </c>
    </row>
    <row r="2010" spans="1:4" x14ac:dyDescent="0.2">
      <c r="A2010" s="5">
        <v>1949</v>
      </c>
      <c r="B2010" s="1832">
        <f>'Cap Outlay Deprec 26'!C10</f>
        <v>30700</v>
      </c>
      <c r="D2010" s="2" t="str">
        <f t="shared" si="30"/>
        <v>Error?</v>
      </c>
    </row>
    <row r="2011" spans="1:4" x14ac:dyDescent="0.2">
      <c r="A2011" s="5">
        <v>1950</v>
      </c>
      <c r="B2011" s="1832">
        <f>'Cap Outlay Deprec 26'!C12</f>
        <v>314719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2962327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26258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26258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2616908</v>
      </c>
      <c r="C2027" s="2" t="s">
        <v>569</v>
      </c>
      <c r="D2027" s="2" t="str">
        <f t="shared" si="30"/>
        <v>Error?</v>
      </c>
    </row>
    <row r="2028" spans="1:4" x14ac:dyDescent="0.2">
      <c r="A2028" s="5">
        <v>1967</v>
      </c>
      <c r="B2028" s="1832">
        <f>'Cap Outlay Deprec 26'!F10</f>
        <v>30700</v>
      </c>
      <c r="C2028" s="2" t="s">
        <v>569</v>
      </c>
      <c r="D2028" s="2" t="str">
        <f t="shared" si="30"/>
        <v>Error?</v>
      </c>
    </row>
    <row r="2029" spans="1:4" x14ac:dyDescent="0.2">
      <c r="A2029" s="5">
        <v>1968</v>
      </c>
      <c r="B2029" s="1832">
        <f>'Cap Outlay Deprec 26'!F12</f>
        <v>340977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2988585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1412774</v>
      </c>
      <c r="D2033" s="2" t="str">
        <f t="shared" si="30"/>
        <v>Error?</v>
      </c>
    </row>
    <row r="2034" spans="1:4" x14ac:dyDescent="0.2">
      <c r="A2034" s="5">
        <v>1973</v>
      </c>
      <c r="B2034" s="1832">
        <f>'Cap Outlay Deprec 26'!H10</f>
        <v>1407</v>
      </c>
      <c r="D2034" s="2" t="str">
        <f t="shared" si="30"/>
        <v>Error?</v>
      </c>
    </row>
    <row r="2035" spans="1:4" x14ac:dyDescent="0.2">
      <c r="A2035" s="5">
        <v>1974</v>
      </c>
      <c r="B2035" s="1832">
        <f>'Cap Outlay Deprec 26'!H12</f>
        <v>66034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1480215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37632</v>
      </c>
      <c r="D2039" s="2" t="str">
        <f t="shared" si="30"/>
        <v>Error?</v>
      </c>
    </row>
    <row r="2040" spans="1:4" x14ac:dyDescent="0.2">
      <c r="A2040" s="5">
        <v>1979</v>
      </c>
      <c r="B2040" s="1832">
        <f>'Cap Outlay Deprec 26'!I10</f>
        <v>1535</v>
      </c>
      <c r="D2040" s="2" t="str">
        <f t="shared" si="30"/>
        <v>Error?</v>
      </c>
    </row>
    <row r="2041" spans="1:4" x14ac:dyDescent="0.2">
      <c r="A2041" s="5">
        <v>1980</v>
      </c>
      <c r="B2041" s="1832">
        <f>'Cap Outlay Deprec 26'!I12</f>
        <v>28188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67355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1450406</v>
      </c>
      <c r="C2051" s="2" t="s">
        <v>569</v>
      </c>
      <c r="D2051" s="2" t="str">
        <f t="shared" si="31"/>
        <v>Error?</v>
      </c>
    </row>
    <row r="2052" spans="1:4" x14ac:dyDescent="0.2">
      <c r="A2052" s="5">
        <v>1991</v>
      </c>
      <c r="B2052" s="1832">
        <f>'Cap Outlay Deprec 26'!K10</f>
        <v>2942</v>
      </c>
      <c r="C2052" s="2" t="s">
        <v>569</v>
      </c>
      <c r="D2052" s="2" t="str">
        <f t="shared" si="31"/>
        <v>Error?</v>
      </c>
    </row>
    <row r="2053" spans="1:4" x14ac:dyDescent="0.2">
      <c r="A2053" s="5">
        <v>1992</v>
      </c>
      <c r="B2053" s="1832">
        <f>'Cap Outlay Deprec 26'!K12</f>
        <v>94222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1547570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1166502</v>
      </c>
      <c r="C2057" s="2" t="s">
        <v>569</v>
      </c>
      <c r="D2057" s="2" t="str">
        <f t="shared" si="31"/>
        <v>Error?</v>
      </c>
    </row>
    <row r="2058" spans="1:4" x14ac:dyDescent="0.2">
      <c r="A2058" s="5">
        <v>1997</v>
      </c>
      <c r="B2058" s="1832">
        <f>'Cap Outlay Deprec 26'!L10</f>
        <v>27758</v>
      </c>
      <c r="C2058" s="2" t="s">
        <v>569</v>
      </c>
      <c r="D2058" s="2" t="str">
        <f t="shared" si="31"/>
        <v>Error?</v>
      </c>
    </row>
    <row r="2059" spans="1:4" x14ac:dyDescent="0.2">
      <c r="A2059" s="5">
        <v>1998</v>
      </c>
      <c r="B2059" s="1832">
        <f>'Cap Outlay Deprec 26'!L12</f>
        <v>246755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1441015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213875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213875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33868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809745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718439</v>
      </c>
      <c r="C2553" s="2" t="s">
        <v>569</v>
      </c>
      <c r="D2553" s="2" t="str">
        <f t="shared" si="38"/>
        <v>Error?</v>
      </c>
    </row>
    <row r="2554" spans="1:4" x14ac:dyDescent="0.2">
      <c r="A2554" s="5">
        <v>2493</v>
      </c>
      <c r="B2554" s="1832">
        <f>'Acct Summary 7-8'!C7</f>
        <v>246719</v>
      </c>
      <c r="C2554" s="2" t="s">
        <v>569</v>
      </c>
      <c r="D2554" s="2" t="str">
        <f t="shared" si="38"/>
        <v>Error?</v>
      </c>
    </row>
    <row r="2555" spans="1:4" x14ac:dyDescent="0.2">
      <c r="A2555" s="5">
        <v>2494</v>
      </c>
      <c r="B2555" s="1832">
        <f>'Acct Summary 7-8'!C8</f>
        <v>1774903</v>
      </c>
      <c r="C2555" s="2" t="s">
        <v>569</v>
      </c>
      <c r="D2555" s="2" t="str">
        <f t="shared" si="38"/>
        <v>Error?</v>
      </c>
    </row>
    <row r="2556" spans="1:4" x14ac:dyDescent="0.2">
      <c r="A2556" s="5">
        <v>2495</v>
      </c>
      <c r="B2556" s="1832">
        <f>'Acct Summary 7-8'!C12</f>
        <v>989986</v>
      </c>
      <c r="C2556" s="2" t="s">
        <v>569</v>
      </c>
      <c r="D2556" s="2" t="str">
        <f t="shared" si="38"/>
        <v>Error?</v>
      </c>
    </row>
    <row r="2557" spans="1:4" x14ac:dyDescent="0.2">
      <c r="A2557" s="5">
        <v>2496</v>
      </c>
      <c r="B2557" s="1832">
        <f>'Acct Summary 7-8'!C13</f>
        <v>481058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213875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1684919</v>
      </c>
      <c r="C2561" s="2" t="s">
        <v>569</v>
      </c>
      <c r="D2561" s="2" t="str">
        <f t="shared" si="39"/>
        <v>Error?</v>
      </c>
    </row>
    <row r="2562" spans="1:4" x14ac:dyDescent="0.2">
      <c r="A2562" s="5">
        <v>2501</v>
      </c>
      <c r="B2562" s="1832">
        <f>'Acct Summary 7-8'!C20</f>
        <v>89984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197007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197007</v>
      </c>
      <c r="C2568" s="2" t="s">
        <v>569</v>
      </c>
      <c r="D2568" s="2" t="str">
        <f t="shared" si="39"/>
        <v>Error?</v>
      </c>
    </row>
    <row r="2569" spans="1:4" x14ac:dyDescent="0.2">
      <c r="A2569" s="5">
        <v>2508</v>
      </c>
      <c r="B2569" s="1832">
        <f>'Acct Summary 7-8'!D13</f>
        <v>227799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227799</v>
      </c>
      <c r="C2573" s="2" t="s">
        <v>569</v>
      </c>
      <c r="D2573" s="2" t="str">
        <f t="shared" si="39"/>
        <v>Error?</v>
      </c>
    </row>
    <row r="2574" spans="1:4" x14ac:dyDescent="0.2">
      <c r="A2574" s="5">
        <v>2513</v>
      </c>
      <c r="B2574" s="1832">
        <f>'Acct Summary 7-8'!D20</f>
        <v>-30792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516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11465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11981</v>
      </c>
      <c r="C2595" s="2" t="s">
        <v>569</v>
      </c>
      <c r="D2595" s="2" t="str">
        <f t="shared" si="39"/>
        <v>Error?</v>
      </c>
    </row>
    <row r="2596" spans="1:4" x14ac:dyDescent="0.2">
      <c r="A2596" s="5">
        <v>2535</v>
      </c>
      <c r="B2596" s="1832">
        <f>'Acct Summary 7-8'!F13</f>
        <v>6786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6786</v>
      </c>
      <c r="C2600" s="2" t="s">
        <v>569</v>
      </c>
      <c r="D2600" s="2" t="str">
        <f t="shared" si="39"/>
        <v>Error?</v>
      </c>
    </row>
    <row r="2601" spans="1:4" x14ac:dyDescent="0.2">
      <c r="A2601" s="5">
        <v>2540</v>
      </c>
      <c r="B2601" s="1832">
        <f>'Acct Summary 7-8'!F20</f>
        <v>5195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25101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116284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53917</v>
      </c>
      <c r="D2914" s="2" t="str">
        <f t="shared" si="44"/>
        <v>Error?</v>
      </c>
    </row>
    <row r="2915" spans="1:4" x14ac:dyDescent="0.2">
      <c r="A2915" s="10">
        <v>2854</v>
      </c>
      <c r="B2915" s="1832"/>
      <c r="D2915" s="2" t="str">
        <f t="shared" si="44"/>
        <v>OK</v>
      </c>
    </row>
    <row r="2916" spans="1:4" x14ac:dyDescent="0.2">
      <c r="A2916" s="5">
        <v>2855</v>
      </c>
      <c r="B2916" s="1832">
        <f>'Assets-Liab 5-6'!L34</f>
        <v>53917</v>
      </c>
      <c r="C2916" s="2" t="s">
        <v>569</v>
      </c>
      <c r="D2916" s="2" t="str">
        <f t="shared" si="44"/>
        <v>Error?</v>
      </c>
    </row>
    <row r="2917" spans="1:4" x14ac:dyDescent="0.2">
      <c r="A2917" s="5">
        <v>2856</v>
      </c>
      <c r="B2917" s="1832">
        <f>'Assets-Liab 5-6'!L41</f>
        <v>116284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183975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29900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183975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29900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62367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89984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-30792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5195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1302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700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100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91183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603889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2378792</v>
      </c>
      <c r="C4122" s="2" t="s">
        <v>569</v>
      </c>
      <c r="D4122" s="2" t="str">
        <f t="shared" si="63"/>
        <v>Error?</v>
      </c>
    </row>
    <row r="4123" spans="1:4" x14ac:dyDescent="0.2">
      <c r="A4123" s="5">
        <v>4062</v>
      </c>
      <c r="B4123" s="1832">
        <f>'Acct Summary 7-8'!D10</f>
        <v>197007</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11981</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603889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2288808</v>
      </c>
      <c r="C4136" s="2" t="s">
        <v>569</v>
      </c>
      <c r="D4136" s="2" t="str">
        <f t="shared" si="63"/>
        <v>Error?</v>
      </c>
    </row>
    <row r="4137" spans="1:4" x14ac:dyDescent="0.2">
      <c r="A4137" s="5">
        <v>4076</v>
      </c>
      <c r="B4137" s="1832">
        <f>'Acct Summary 7-8'!D19</f>
        <v>227799</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6786</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891468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589782</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589782</v>
      </c>
      <c r="C5087" s="2" t="s">
        <v>569</v>
      </c>
      <c r="D5087" s="2" t="str">
        <f t="shared" si="78"/>
        <v>Error?</v>
      </c>
    </row>
    <row r="5088" spans="1:4" x14ac:dyDescent="0.2">
      <c r="A5088" s="5">
        <v>5027</v>
      </c>
      <c r="B5088" s="1832">
        <f>'Revenues 9-14'!C65</f>
        <v>10862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10862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640</v>
      </c>
      <c r="D5095" s="2" t="str">
        <f t="shared" si="78"/>
        <v>Error?</v>
      </c>
    </row>
    <row r="5096" spans="1:4" x14ac:dyDescent="0.2">
      <c r="A5096" s="5">
        <v>5035</v>
      </c>
      <c r="B5096" s="1832">
        <f>'Revenues 9-14'!C75</f>
        <v>640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12337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12337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137540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209</v>
      </c>
      <c r="D5116" s="2" t="str">
        <f t="shared" si="78"/>
        <v>Error?</v>
      </c>
    </row>
    <row r="5117" spans="1:4" x14ac:dyDescent="0.2">
      <c r="A5117" s="5">
        <v>5056</v>
      </c>
      <c r="B5117" s="1832">
        <f>'Revenues 9-14'!C105</f>
        <v>35776</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22599</v>
      </c>
      <c r="D5119" s="2" t="str">
        <f t="shared" ref="D5119:D5182" si="79">IF(ISBLANK(B5119),"OK",IF(A5119-B5119=0,"OK","Error?"))</f>
        <v>Error?</v>
      </c>
    </row>
    <row r="5120" spans="1:4" x14ac:dyDescent="0.2">
      <c r="A5120" s="5">
        <v>5059</v>
      </c>
      <c r="B5120" s="1832">
        <f>'Revenues 9-14'!C108</f>
        <v>196124</v>
      </c>
      <c r="C5120" s="2" t="s">
        <v>569</v>
      </c>
      <c r="D5120" s="2" t="str">
        <f t="shared" si="79"/>
        <v>Error?</v>
      </c>
    </row>
    <row r="5121" spans="1:4" x14ac:dyDescent="0.2">
      <c r="A5121" s="5">
        <v>5060</v>
      </c>
      <c r="B5121" s="1832">
        <f>'Revenues 9-14'!C109</f>
        <v>809745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718439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718439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718439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718439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246719</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246719</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246719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246719</v>
      </c>
      <c r="C5326" s="2" t="s">
        <v>569</v>
      </c>
      <c r="D5326" s="2" t="str">
        <f t="shared" si="82"/>
        <v>Error?</v>
      </c>
    </row>
    <row r="5327" spans="1:5" x14ac:dyDescent="0.2">
      <c r="A5327" s="5">
        <v>5266</v>
      </c>
      <c r="B5327" s="1832">
        <f>'Revenues 9-14'!C268</f>
        <v>1774903</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1674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1674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18750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176583</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195333</v>
      </c>
      <c r="C5355" s="2" t="s">
        <v>569</v>
      </c>
      <c r="D5355" s="2" t="str">
        <f t="shared" si="82"/>
        <v>Error?</v>
      </c>
    </row>
    <row r="5356" spans="1:4" x14ac:dyDescent="0.2">
      <c r="A5356" s="5">
        <v>5295</v>
      </c>
      <c r="B5356" s="1832">
        <f>'Revenues 9-14'!D109</f>
        <v>197007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197007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516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11465</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11465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11465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11465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11981</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66275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2877</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8190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12851</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15820</v>
      </c>
      <c r="D6142" s="2" t="str">
        <f t="shared" si="94"/>
        <v>Error?</v>
      </c>
      <c r="E6142" s="2" t="s">
        <v>189</v>
      </c>
    </row>
    <row r="6143" spans="1:5" x14ac:dyDescent="0.2">
      <c r="A6143">
        <v>6082</v>
      </c>
      <c r="B6143" s="1832">
        <f>'Assets-Liab 5-6'!D27</f>
        <v>3464</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55317</v>
      </c>
      <c r="D6169" s="2" t="str">
        <f t="shared" si="95"/>
        <v>Error?</v>
      </c>
      <c r="E6169" s="2" t="s">
        <v>189</v>
      </c>
    </row>
    <row r="6170" spans="1:5" x14ac:dyDescent="0.2">
      <c r="A6170">
        <v>6109</v>
      </c>
      <c r="B6170" s="1832">
        <f>'Assets-Liab 5-6'!D30</f>
        <v>177</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584</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89984</v>
      </c>
      <c r="D6267" s="2" t="str">
        <f t="shared" si="96"/>
        <v>Error?</v>
      </c>
      <c r="E6267" s="2" t="s">
        <v>189</v>
      </c>
    </row>
    <row r="6268" spans="1:5" x14ac:dyDescent="0.2">
      <c r="A6268">
        <v>6207</v>
      </c>
      <c r="B6268" s="1832">
        <f>'Acct Summary 7-8'!D82</f>
        <v>-30792</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5195</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0.11831033322113767</v>
      </c>
      <c r="D6276" s="2" t="str">
        <f t="shared" si="97"/>
        <v>Error?</v>
      </c>
      <c r="E6276" s="2" t="s">
        <v>189</v>
      </c>
    </row>
    <row r="6277" spans="1:5" x14ac:dyDescent="0.2">
      <c r="A6277">
        <v>6216</v>
      </c>
      <c r="B6277" s="1832">
        <f>'Acct Summary 7-8'!D83</f>
        <v>-0.34219797072780417</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0.12698917108704685</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8743</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8743</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8743</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27501</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27501</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27501</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27501</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36244</v>
      </c>
      <c r="D7624" s="2" t="str">
        <f t="shared" si="124"/>
        <v>Error?</v>
      </c>
      <c r="E7624" s="2" t="s">
        <v>19</v>
      </c>
    </row>
    <row r="7625" spans="1:5" x14ac:dyDescent="0.2">
      <c r="A7625">
        <f t="shared" si="123"/>
        <v>7564</v>
      </c>
      <c r="B7625" s="1832">
        <f>'Cap Outlay Deprec 26'!I17</f>
        <v>3624.4</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70979.399999999994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2877</v>
      </c>
      <c r="D7759" s="2" t="str">
        <f t="shared" si="127"/>
        <v>Error?</v>
      </c>
      <c r="E7759" s="4" t="s">
        <v>1322</v>
      </c>
    </row>
    <row r="7760" spans="1:6" x14ac:dyDescent="0.2">
      <c r="A7760">
        <v>7699</v>
      </c>
      <c r="B7760" s="1832">
        <f>'Aud Quest 2'!J90</f>
        <v>2877</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1919504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276377</v>
      </c>
      <c r="D7834" s="2" t="str">
        <f t="shared" si="129"/>
        <v>Error?</v>
      </c>
      <c r="E7834" s="4" t="s">
        <v>1998</v>
      </c>
    </row>
    <row r="7835" spans="1:5" x14ac:dyDescent="0.2">
      <c r="A7835">
        <v>7774</v>
      </c>
      <c r="B7835" s="1832">
        <f>'PCTC-OEPP 27-28'!F78</f>
        <v>1643127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12337</v>
      </c>
      <c r="D7838" s="2" t="str">
        <f t="shared" si="129"/>
        <v>Error?</v>
      </c>
      <c r="E7838" s="4" t="s">
        <v>1998</v>
      </c>
    </row>
    <row r="7839" spans="1:5" x14ac:dyDescent="0.2">
      <c r="A7839">
        <v>7778</v>
      </c>
      <c r="B7839" s="1832">
        <f>'PCTC-OEPP 27-28'!F102</f>
        <v>18750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176583</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718439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11465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246719</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1184933</v>
      </c>
      <c r="D7877" s="2" t="str">
        <f t="shared" si="129"/>
        <v>Error?</v>
      </c>
      <c r="E7877" s="4" t="s">
        <v>1998</v>
      </c>
    </row>
    <row r="7878" spans="1:5" x14ac:dyDescent="0.2">
      <c r="A7878">
        <v>7817</v>
      </c>
      <c r="B7878" s="1832">
        <f>'PCTC-OEPP 27-28'!F176</f>
        <v>458194</v>
      </c>
      <c r="D7878" s="2" t="str">
        <f t="shared" si="129"/>
        <v>Error?</v>
      </c>
      <c r="E7878" s="4" t="s">
        <v>1998</v>
      </c>
    </row>
    <row r="7879" spans="1:5" x14ac:dyDescent="0.2">
      <c r="A7879">
        <v>7818</v>
      </c>
      <c r="B7879" s="1832">
        <f>'PCTC-OEPP 27-28'!F178</f>
        <v>529173.4</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71093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42578125" style="959" customWidth="1"/>
    <col min="12" max="12" width="12.7109375" style="959" customWidth="1"/>
    <col min="13" max="13" width="2.7109375" style="959" customWidth="1"/>
    <col min="14" max="14" width="13.140625" style="959" customWidth="1"/>
    <col min="15" max="15" width="7.140625" style="959" customWidth="1"/>
    <col min="16" max="16" width="7" style="959" customWidth="1"/>
    <col min="17" max="19" width="9.71093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7" customHeight="1" x14ac:dyDescent="0.2">
      <c r="A7" s="2515" t="str">
        <f>COVER!A17</f>
        <v xml:space="preserve">  Whiteside Reg Voc System</v>
      </c>
      <c r="B7" s="2516"/>
      <c r="C7" s="2516"/>
      <c r="D7" s="2554"/>
      <c r="E7" s="2555">
        <f>COVER!A13</f>
        <v>47098005046</v>
      </c>
      <c r="F7" s="2556"/>
      <c r="G7" s="2522" t="str">
        <f>COVER!T23</f>
        <v>066-004023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Wipfli LLP</v>
      </c>
      <c r="H9" s="2529"/>
      <c r="I9" s="2529"/>
      <c r="J9" s="2529"/>
      <c r="K9" s="2529"/>
      <c r="L9" s="2530"/>
    </row>
    <row r="10" spans="1:29" ht="13.5" customHeight="1" x14ac:dyDescent="0.2">
      <c r="A10" s="2512" t="str">
        <f>COVER!A38</f>
        <v>Dr. R. Tad Everett</v>
      </c>
      <c r="B10" s="2513"/>
      <c r="C10" s="2513"/>
      <c r="D10" s="2513"/>
      <c r="E10" s="2513"/>
      <c r="F10" s="2514"/>
      <c r="G10" s="2528" t="str">
        <f>COVER!T17</f>
        <v>403 East Third</v>
      </c>
      <c r="H10" s="2541"/>
      <c r="I10" s="2541"/>
      <c r="J10" s="2541"/>
      <c r="K10" s="2541"/>
      <c r="L10" s="2542"/>
    </row>
    <row r="11" spans="1:29" ht="13.5" customHeight="1" x14ac:dyDescent="0.2">
      <c r="A11" s="963" t="s">
        <v>1502</v>
      </c>
      <c r="B11" s="964"/>
      <c r="C11" s="965"/>
      <c r="D11" s="970"/>
      <c r="E11" s="965"/>
      <c r="F11" s="969"/>
      <c r="G11" s="2528" t="str">
        <f>COVER!T19</f>
        <v>Sterling</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mschueler@wipfli.com</v>
      </c>
      <c r="J13" s="2550"/>
      <c r="K13" s="2550"/>
      <c r="L13" s="2551"/>
    </row>
    <row r="14" spans="1:29" ht="13.5" customHeight="1" x14ac:dyDescent="0.2">
      <c r="A14" s="2528" t="str">
        <f>COVER!A19</f>
        <v>1608 5th Avenue</v>
      </c>
      <c r="B14" s="2541"/>
      <c r="C14" s="2541"/>
      <c r="D14" s="2541"/>
      <c r="E14" s="2541"/>
      <c r="F14" s="2542"/>
      <c r="G14" s="974" t="s">
        <v>1175</v>
      </c>
      <c r="H14" s="972"/>
      <c r="I14" s="972"/>
      <c r="J14" s="972"/>
      <c r="K14" s="972"/>
      <c r="L14" s="973"/>
    </row>
    <row r="15" spans="1:29" ht="13.5" customHeight="1" x14ac:dyDescent="0.2">
      <c r="A15" s="2528" t="str">
        <f>COVER!A21</f>
        <v>Sterling</v>
      </c>
      <c r="B15" s="2541"/>
      <c r="C15" s="2541"/>
      <c r="D15" s="2541"/>
      <c r="E15" s="2541"/>
      <c r="F15" s="2542"/>
      <c r="G15" s="2538" t="str">
        <f>COVER!T15</f>
        <v>Matthew Schueler</v>
      </c>
      <c r="H15" s="2539"/>
      <c r="I15" s="2539"/>
      <c r="J15" s="2539"/>
      <c r="K15" s="2539"/>
      <c r="L15" s="2540"/>
    </row>
    <row r="16" spans="1:29" ht="12.2" customHeight="1" x14ac:dyDescent="0.2">
      <c r="A16" s="2518">
        <f>COVER!A25</f>
        <v>61081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815-626-1277</v>
      </c>
      <c r="H18" s="2516"/>
      <c r="I18" s="2516"/>
      <c r="J18" s="2516"/>
      <c r="K18" s="2515" t="str">
        <f>COVER!X21</f>
        <v>815-399-7700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35" customHeight="1" x14ac:dyDescent="0.2">
      <c r="A24" s="979"/>
      <c r="C24" s="981" t="s">
        <v>1171</v>
      </c>
    </row>
    <row r="25" spans="1:13" ht="9.1999999999999993" customHeight="1" x14ac:dyDescent="0.2">
      <c r="B25" s="982" t="s">
        <v>1159</v>
      </c>
      <c r="C25" s="983"/>
    </row>
    <row r="26" spans="1:13" s="977" customFormat="1" ht="12.2" customHeight="1" x14ac:dyDescent="0.2">
      <c r="B26" s="980"/>
      <c r="C26" s="981" t="s">
        <v>1677</v>
      </c>
    </row>
    <row r="27" spans="1:13" s="977" customFormat="1" ht="9.1999999999999993" customHeight="1" x14ac:dyDescent="0.2">
      <c r="B27" s="982"/>
      <c r="C27" s="981"/>
    </row>
    <row r="28" spans="1:13" s="977" customFormat="1" ht="12.2" customHeight="1" x14ac:dyDescent="0.2">
      <c r="A28" s="984"/>
      <c r="B28" s="980"/>
      <c r="C28" s="981" t="s">
        <v>1678</v>
      </c>
    </row>
    <row r="29" spans="1:13" s="977" customFormat="1" ht="9.1999999999999993" customHeight="1" x14ac:dyDescent="0.2">
      <c r="A29" s="984"/>
      <c r="B29" s="982"/>
      <c r="C29" s="981"/>
    </row>
    <row r="30" spans="1:13" s="977" customFormat="1" ht="12.2" customHeight="1" x14ac:dyDescent="0.2">
      <c r="B30" s="980"/>
      <c r="C30" s="981" t="s">
        <v>1545</v>
      </c>
      <c r="D30" s="975"/>
      <c r="E30" s="975"/>
    </row>
    <row r="31" spans="1:13" s="977" customFormat="1" ht="9.1999999999999993"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1999999999999993"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1999999999999993" customHeight="1" x14ac:dyDescent="0.2">
      <c r="B37" s="982"/>
      <c r="C37" s="985"/>
    </row>
    <row r="38" spans="1:8" s="977" customFormat="1" ht="12.2" customHeight="1" x14ac:dyDescent="0.2">
      <c r="B38" s="980"/>
      <c r="C38" s="981" t="s">
        <v>1549</v>
      </c>
    </row>
    <row r="39" spans="1:8" ht="9.1999999999999993" customHeight="1" x14ac:dyDescent="0.2">
      <c r="B39" s="982"/>
      <c r="C39" s="985"/>
    </row>
    <row r="40" spans="1:8" s="977" customFormat="1" ht="13.5" customHeight="1" x14ac:dyDescent="0.2">
      <c r="B40" s="980"/>
      <c r="C40" s="981" t="s">
        <v>1550</v>
      </c>
    </row>
    <row r="41" spans="1:8" ht="9.1999999999999993"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1999999999999993" customHeight="1" x14ac:dyDescent="0.2"/>
    <row r="48" spans="1:8" ht="12.2" customHeight="1" x14ac:dyDescent="0.2">
      <c r="B48" s="1541"/>
      <c r="C48" s="989" t="s">
        <v>1552</v>
      </c>
    </row>
    <row r="49" spans="1:12" ht="9.1999999999999993"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9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Whiteside Reg Voc System</v>
      </c>
      <c r="B1" s="2558"/>
      <c r="C1" s="2558"/>
      <c r="D1" s="2558"/>
    </row>
    <row r="2" spans="1:11" s="991" customFormat="1" ht="12.75" x14ac:dyDescent="0.2">
      <c r="A2" s="2559">
        <f>'Single Audit Cover'!E7</f>
        <v>47098005046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7109375" style="295" customWidth="1"/>
    <col min="2" max="2" width="29.42578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Whiteside Reg Voc System</v>
      </c>
      <c r="B1" s="2562"/>
      <c r="C1" s="2562"/>
      <c r="D1" s="2562"/>
      <c r="E1" s="2562"/>
    </row>
    <row r="2" spans="1:5" x14ac:dyDescent="0.2">
      <c r="A2" s="2563">
        <f>'Single Audit Cover'!E7</f>
        <v>47098005046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246719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246719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246719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246719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42578125" defaultRowHeight="12.75" x14ac:dyDescent="0.2"/>
  <cols>
    <col min="1" max="1" width="0.140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42578125" style="295"/>
  </cols>
  <sheetData>
    <row r="1" spans="2:14" ht="11.85" customHeight="1" x14ac:dyDescent="0.2">
      <c r="B1" s="2521" t="str">
        <f>'Single Audit Cover'!A7</f>
        <v xml:space="preserve">  Whiteside Reg Voc System</v>
      </c>
      <c r="C1" s="2566"/>
      <c r="D1" s="2566"/>
      <c r="E1" s="2566"/>
      <c r="F1" s="2566"/>
      <c r="G1" s="2566"/>
      <c r="H1" s="2566"/>
      <c r="I1" s="2566"/>
      <c r="J1" s="2566"/>
      <c r="K1" s="2566"/>
      <c r="L1" s="2566"/>
      <c r="M1" s="2566"/>
    </row>
    <row r="2" spans="2:14" ht="15" x14ac:dyDescent="0.2">
      <c r="B2" s="2567">
        <f>'Single Audit Cover'!E7</f>
        <v>47098005046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2"/>
      <c r="J5" s="1912"/>
    </row>
    <row r="6" spans="2:14" x14ac:dyDescent="0.2">
      <c r="B6" s="1079"/>
      <c r="C6" s="1080"/>
      <c r="D6" s="1081" t="s">
        <v>1254</v>
      </c>
      <c r="E6" s="1082" t="s">
        <v>524</v>
      </c>
      <c r="F6" s="1083"/>
      <c r="G6" s="1084" t="s">
        <v>1711</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9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0.9" customHeight="1" x14ac:dyDescent="0.2">
      <c r="B47" s="1076"/>
      <c r="G47" s="295"/>
      <c r="H47" s="295"/>
      <c r="I47" s="295"/>
      <c r="J47" s="295"/>
    </row>
    <row r="48" spans="2:13" ht="10.9"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X22" sqref="X22"/>
    </sheetView>
  </sheetViews>
  <sheetFormatPr defaultColWidth="9.140625" defaultRowHeight="12.75" x14ac:dyDescent="0.2"/>
  <cols>
    <col min="1" max="1" width="1.42578125" style="197" customWidth="1"/>
    <col min="2" max="2" width="2.7109375" style="198" customWidth="1"/>
    <col min="3" max="3" width="4.140625" style="199" customWidth="1"/>
    <col min="4" max="4" width="40" style="197" customWidth="1"/>
    <col min="5" max="6" width="12.42578125" style="197" customWidth="1"/>
    <col min="7" max="7" width="11.7109375" style="197" customWidth="1"/>
    <col min="8" max="8" width="12" style="197" customWidth="1"/>
    <col min="9" max="9" width="11.71093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1999999999999993" customHeight="1" x14ac:dyDescent="0.2">
      <c r="A67" s="249"/>
      <c r="B67" s="2181"/>
      <c r="C67" s="2182"/>
      <c r="D67" s="2182"/>
      <c r="E67" s="2182"/>
      <c r="F67" s="2182"/>
      <c r="G67" s="2182"/>
      <c r="H67" s="2182"/>
      <c r="I67" s="2182"/>
      <c r="J67" s="2183"/>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v>2877</v>
      </c>
      <c r="H88" s="1544"/>
      <c r="I88" s="1903"/>
      <c r="J88" s="1727">
        <f>SUM(E88:I88)</f>
        <v>2877</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2877</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7"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2055</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4"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42578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Whiteside Reg Voc System</v>
      </c>
      <c r="B1" s="2571"/>
      <c r="C1" s="2571"/>
      <c r="D1" s="2571"/>
      <c r="E1" s="2571"/>
      <c r="F1" s="2571"/>
    </row>
    <row r="2" spans="1:7" ht="13.5" customHeight="1" x14ac:dyDescent="0.2">
      <c r="A2" s="2567">
        <f>'Single Audit Cover'!E7</f>
        <v>47098005046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1.1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85" customHeight="1" x14ac:dyDescent="0.2">
      <c r="A18" s="1059"/>
      <c r="B18" s="1060"/>
      <c r="C18" s="1061"/>
      <c r="D18" s="2574"/>
      <c r="E18" s="2574"/>
      <c r="F18" s="2574"/>
    </row>
    <row r="19" spans="1:6" ht="20.85" customHeight="1" x14ac:dyDescent="0.2">
      <c r="A19" s="1059"/>
      <c r="B19" s="1060"/>
      <c r="C19" s="1061"/>
      <c r="D19" s="2574"/>
      <c r="E19" s="2574"/>
      <c r="F19" s="2574"/>
    </row>
    <row r="20" spans="1:6" ht="20.85" customHeight="1" x14ac:dyDescent="0.2">
      <c r="A20" s="1059"/>
      <c r="B20" s="1060"/>
      <c r="C20" s="1061"/>
      <c r="D20" s="2574"/>
      <c r="E20" s="2574"/>
      <c r="F20" s="2574"/>
    </row>
    <row r="21" spans="1:6" ht="20.85" customHeight="1" x14ac:dyDescent="0.2">
      <c r="A21" s="1059"/>
      <c r="B21" s="1060"/>
      <c r="C21" s="1061"/>
      <c r="D21" s="2574"/>
      <c r="E21" s="2574"/>
      <c r="F21" s="2574"/>
    </row>
    <row r="22" spans="1:6" ht="20.85" customHeight="1" x14ac:dyDescent="0.2">
      <c r="A22" s="1059"/>
      <c r="B22" s="1060"/>
      <c r="C22" s="1061"/>
      <c r="D22" s="2574"/>
      <c r="E22" s="2574"/>
      <c r="F22" s="2574"/>
    </row>
    <row r="23" spans="1:6" ht="20.85" customHeight="1" x14ac:dyDescent="0.2">
      <c r="A23" s="1059"/>
      <c r="B23" s="1060"/>
      <c r="C23" s="1061"/>
      <c r="D23" s="2574"/>
      <c r="E23" s="2574"/>
      <c r="F23" s="2574"/>
    </row>
    <row r="24" spans="1:6" ht="20.85" customHeight="1" x14ac:dyDescent="0.2">
      <c r="A24" s="1059"/>
      <c r="B24" s="1060"/>
      <c r="C24" s="1061"/>
      <c r="D24" s="2574"/>
      <c r="E24" s="2574"/>
      <c r="F24" s="2574"/>
    </row>
    <row r="25" spans="1:6" ht="20.85" customHeight="1" x14ac:dyDescent="0.2">
      <c r="A25" s="1059"/>
      <c r="B25" s="1060"/>
      <c r="C25" s="1061"/>
      <c r="D25" s="2574"/>
      <c r="E25" s="2574"/>
      <c r="F25" s="2574"/>
    </row>
    <row r="26" spans="1:6" ht="20.85" customHeight="1" x14ac:dyDescent="0.2">
      <c r="A26" s="1059"/>
      <c r="B26" s="1060"/>
      <c r="C26" s="1061"/>
      <c r="D26" s="2574"/>
      <c r="E26" s="2574"/>
      <c r="F26" s="2574"/>
    </row>
    <row r="27" spans="1:6" ht="20.85" customHeight="1" x14ac:dyDescent="0.2">
      <c r="A27" s="1059"/>
      <c r="B27" s="1060"/>
      <c r="C27" s="1061"/>
      <c r="D27" s="2574"/>
      <c r="E27" s="2574"/>
      <c r="F27" s="2574"/>
    </row>
    <row r="28" spans="1:6" ht="20.85" customHeight="1" x14ac:dyDescent="0.2">
      <c r="A28" s="1059"/>
      <c r="B28" s="1060"/>
      <c r="C28" s="1061"/>
      <c r="D28" s="2574"/>
      <c r="E28" s="2574"/>
      <c r="F28" s="2574"/>
    </row>
    <row r="29" spans="1:6" ht="20.8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42578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42578125" style="295" customWidth="1"/>
    <col min="13" max="16384" width="9.140625" style="295"/>
  </cols>
  <sheetData>
    <row r="1" spans="2:10" s="295" customFormat="1" ht="12.95" customHeight="1" x14ac:dyDescent="0.2">
      <c r="B1" s="2586" t="str">
        <f>'Single Audit Cover'!A7</f>
        <v xml:space="preserve">  Whiteside Reg Voc System</v>
      </c>
      <c r="C1" s="2587"/>
      <c r="D1" s="2587"/>
      <c r="E1" s="2587"/>
      <c r="F1" s="2587"/>
      <c r="G1" s="2587"/>
      <c r="H1" s="2587"/>
      <c r="I1" s="2587"/>
      <c r="J1" s="1178"/>
    </row>
    <row r="2" spans="2:10" s="295" customFormat="1" ht="12.95" customHeight="1" x14ac:dyDescent="0.2">
      <c r="B2" s="2588">
        <f>'Single Audit Cover'!E7</f>
        <v>47098005046</v>
      </c>
      <c r="C2" s="2589"/>
      <c r="D2" s="2589"/>
      <c r="E2" s="2589"/>
      <c r="F2" s="2589"/>
      <c r="G2" s="2589"/>
      <c r="H2" s="2589"/>
      <c r="I2" s="2589"/>
      <c r="J2" s="1178"/>
    </row>
    <row r="3" spans="2:10" s="295" customFormat="1" ht="12.95" customHeight="1" x14ac:dyDescent="0.2">
      <c r="B3" s="2590" t="s">
        <v>1274</v>
      </c>
      <c r="C3" s="2591"/>
      <c r="D3" s="2591"/>
      <c r="E3" s="2591"/>
      <c r="F3" s="2591"/>
      <c r="G3" s="2591"/>
      <c r="H3" s="2591"/>
      <c r="I3" s="2591"/>
      <c r="J3" s="1179"/>
    </row>
    <row r="4" spans="2:10" s="295" customFormat="1" ht="12.9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1999999999999993" customHeight="1" x14ac:dyDescent="0.2">
      <c r="B9" s="1185"/>
      <c r="C9" s="300"/>
      <c r="D9" s="300"/>
      <c r="E9" s="1153"/>
      <c r="F9" s="300"/>
      <c r="G9" s="300"/>
      <c r="H9" s="300"/>
      <c r="I9" s="300"/>
    </row>
    <row r="10" spans="2:10" s="295" customFormat="1" ht="12.9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65" customHeight="1" x14ac:dyDescent="0.2">
      <c r="B12" s="1127"/>
      <c r="C12" s="1189" t="s">
        <v>1425</v>
      </c>
      <c r="D12" s="1190"/>
      <c r="E12" s="1034"/>
    </row>
    <row r="13" spans="2:10" s="295" customFormat="1" ht="12.95" customHeight="1" x14ac:dyDescent="0.2">
      <c r="B13" s="1191"/>
      <c r="C13" s="1156"/>
      <c r="D13" s="1156"/>
      <c r="E13" s="1034"/>
    </row>
    <row r="14" spans="2:10" s="295" customFormat="1" ht="12.9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9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95" customHeight="1" x14ac:dyDescent="0.2">
      <c r="B21" s="1138"/>
      <c r="C21" s="1058"/>
      <c r="E21" s="1153"/>
      <c r="F21" s="1076"/>
      <c r="G21" s="300"/>
      <c r="H21" s="1076"/>
      <c r="I21" s="1076"/>
    </row>
    <row r="22" spans="2:9" s="295" customFormat="1" ht="12.95" customHeight="1" x14ac:dyDescent="0.2">
      <c r="B22" s="1186" t="s">
        <v>1269</v>
      </c>
      <c r="C22" s="1196"/>
      <c r="D22" s="1187"/>
      <c r="E22" s="1153"/>
      <c r="F22" s="1076"/>
      <c r="G22" s="300"/>
      <c r="H22" s="1076"/>
      <c r="I22" s="1076"/>
    </row>
    <row r="23" spans="2:9" s="295" customFormat="1" ht="12.9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95" customHeight="1" x14ac:dyDescent="0.2">
      <c r="B27" s="1192" t="s">
        <v>1426</v>
      </c>
      <c r="C27" s="1193"/>
      <c r="D27" s="1167"/>
      <c r="E27" s="1194"/>
      <c r="F27" s="1076" t="s">
        <v>879</v>
      </c>
      <c r="G27" s="1194"/>
      <c r="H27" s="1076" t="s">
        <v>1265</v>
      </c>
      <c r="I27" s="1076"/>
    </row>
    <row r="28" spans="2:9" s="295" customFormat="1" ht="12.95" customHeight="1" x14ac:dyDescent="0.2">
      <c r="B28" s="1138"/>
      <c r="C28" s="1058"/>
      <c r="E28" s="1034"/>
    </row>
    <row r="29" spans="2:9" s="295" customFormat="1" ht="12.9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7" customHeight="1" x14ac:dyDescent="0.2">
      <c r="B38" s="1200"/>
      <c r="C38" s="2582"/>
      <c r="D38" s="2583"/>
      <c r="E38" s="2583"/>
      <c r="F38" s="2584"/>
      <c r="G38" s="2597"/>
      <c r="H38" s="2598"/>
      <c r="I38" s="2599"/>
    </row>
    <row r="39" spans="2:9" ht="16.7" customHeight="1" x14ac:dyDescent="0.2">
      <c r="B39" s="1200"/>
      <c r="C39" s="2582"/>
      <c r="D39" s="2583"/>
      <c r="E39" s="2583"/>
      <c r="F39" s="2584"/>
      <c r="G39" s="2585"/>
      <c r="H39" s="2585"/>
      <c r="I39" s="2585"/>
    </row>
    <row r="40" spans="2:9" ht="16.7" customHeight="1" x14ac:dyDescent="0.2">
      <c r="B40" s="1200"/>
      <c r="C40" s="2582"/>
      <c r="D40" s="2583"/>
      <c r="E40" s="2583"/>
      <c r="F40" s="2584"/>
      <c r="G40" s="2585"/>
      <c r="H40" s="2585"/>
      <c r="I40" s="2585"/>
    </row>
    <row r="41" spans="2:9" ht="16.7" customHeight="1" x14ac:dyDescent="0.2">
      <c r="B41" s="1200"/>
      <c r="C41" s="2582"/>
      <c r="D41" s="2583"/>
      <c r="E41" s="2583"/>
      <c r="F41" s="2584"/>
      <c r="G41" s="2585"/>
      <c r="H41" s="2585"/>
      <c r="I41" s="2585"/>
    </row>
    <row r="42" spans="2:9" ht="16.7" customHeight="1" x14ac:dyDescent="0.2">
      <c r="B42" s="1200"/>
      <c r="C42" s="2582"/>
      <c r="D42" s="2583"/>
      <c r="E42" s="2583"/>
      <c r="F42" s="2584"/>
      <c r="G42" s="2585"/>
      <c r="H42" s="2585"/>
      <c r="I42" s="2585"/>
    </row>
    <row r="43" spans="2:9" ht="16.7" customHeight="1" x14ac:dyDescent="0.2">
      <c r="B43" s="1200"/>
      <c r="C43" s="2600" t="s">
        <v>1576</v>
      </c>
      <c r="D43" s="2601"/>
      <c r="E43" s="2601"/>
      <c r="F43" s="2602"/>
      <c r="G43" s="2603">
        <f>SUM(G38:I42)</f>
        <v>0</v>
      </c>
      <c r="H43" s="2603"/>
      <c r="I43" s="2603"/>
    </row>
    <row r="44" spans="2:9" ht="12.95" customHeight="1" x14ac:dyDescent="0.2"/>
    <row r="45" spans="2:9" ht="12.95" customHeight="1" x14ac:dyDescent="0.2">
      <c r="B45" s="1914" t="str">
        <f>"Total Federal Expenditures for 7/1/"&amp;MID('AFR20'!E2,3,2)-1&amp;"-6/30/"&amp;MID('AFR20'!E2,3,2)</f>
        <v>Total Federal Expenditures for 7/1/19-6/30/20</v>
      </c>
      <c r="C45" s="1915"/>
      <c r="D45" s="2604">
        <v>0</v>
      </c>
      <c r="E45" s="2605"/>
    </row>
    <row r="46" spans="2:9" ht="5.25" customHeight="1" x14ac:dyDescent="0.2">
      <c r="B46" s="1201"/>
      <c r="D46" s="1202"/>
      <c r="E46" s="1203"/>
    </row>
    <row r="47" spans="2:9" ht="12.9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95" customHeight="1" x14ac:dyDescent="0.2">
      <c r="A55" s="1214"/>
      <c r="B55" s="1218" t="s">
        <v>1578</v>
      </c>
      <c r="C55" s="1214"/>
      <c r="D55" s="1214"/>
    </row>
    <row r="56" spans="1:9" s="1217" customFormat="1" ht="12.95" customHeight="1" x14ac:dyDescent="0.2">
      <c r="A56" s="1214"/>
      <c r="B56" s="1218" t="s">
        <v>1579</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1730</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1731</v>
      </c>
      <c r="C60" s="1220"/>
      <c r="D60" s="1220"/>
    </row>
    <row r="61" spans="1:9" s="1217" customFormat="1" ht="4.1500000000000004" customHeight="1" x14ac:dyDescent="0.2">
      <c r="A61" s="1214"/>
      <c r="B61" s="1219"/>
      <c r="C61" s="1220"/>
      <c r="D61" s="1220"/>
    </row>
    <row r="62" spans="1:9" s="1217" customFormat="1" ht="12.9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42578125" style="295" customWidth="1"/>
    <col min="2" max="2" width="21.42578125" style="295" customWidth="1"/>
    <col min="3" max="3" width="6.140625" style="295" customWidth="1"/>
    <col min="4" max="4" width="4.42578125" style="295" customWidth="1"/>
    <col min="5" max="5" width="3.42578125" style="295" customWidth="1"/>
    <col min="6" max="6" width="20.140625" style="295" customWidth="1"/>
    <col min="7" max="7" width="3.42578125" style="1034" customWidth="1"/>
    <col min="8" max="8" width="10.42578125" style="295" customWidth="1"/>
    <col min="9" max="9" width="3.42578125" style="1034" customWidth="1"/>
    <col min="10" max="10" width="15.42578125" style="295" customWidth="1"/>
    <col min="11" max="11" width="8.42578125" style="295" customWidth="1"/>
    <col min="12" max="12" width="1.42578125" style="295" customWidth="1"/>
    <col min="13" max="13" width="3.42578125" style="295" customWidth="1"/>
    <col min="14" max="16384" width="9.140625" style="295"/>
  </cols>
  <sheetData>
    <row r="1" spans="1:13" ht="10.9" customHeight="1" x14ac:dyDescent="0.2">
      <c r="B1" s="2586" t="str">
        <f>'Single Audit Cover'!A7</f>
        <v xml:space="preserve">  Whiteside Reg Voc System</v>
      </c>
      <c r="C1" s="2586"/>
      <c r="D1" s="2586"/>
      <c r="E1" s="2586"/>
      <c r="F1" s="2586"/>
      <c r="G1" s="2586"/>
      <c r="H1" s="2586"/>
      <c r="I1" s="2586"/>
      <c r="J1" s="2586"/>
      <c r="K1" s="2586"/>
      <c r="L1" s="1144"/>
      <c r="M1" s="1144"/>
    </row>
    <row r="2" spans="1:13" ht="12" customHeight="1" x14ac:dyDescent="0.2">
      <c r="B2" s="2588">
        <f>'Single Audit Cover'!E7</f>
        <v>47098005046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9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7" customHeight="1" x14ac:dyDescent="0.2">
      <c r="B10" s="1154" t="s">
        <v>1719</v>
      </c>
      <c r="C10" s="1916"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42578125" style="295" customWidth="1"/>
    <col min="2" max="2" width="21.42578125" style="295" customWidth="1"/>
    <col min="3" max="3" width="6.140625" style="295" customWidth="1"/>
    <col min="4" max="4" width="4.7109375" style="295" customWidth="1"/>
    <col min="5" max="5" width="3.42578125" style="295" customWidth="1"/>
    <col min="6" max="6" width="20.140625" style="295" customWidth="1"/>
    <col min="7" max="7" width="3.42578125" style="1034" customWidth="1"/>
    <col min="8" max="8" width="10.42578125" style="295" customWidth="1"/>
    <col min="9" max="9" width="3.42578125" style="1034" customWidth="1"/>
    <col min="10" max="10" width="15.42578125" style="295" customWidth="1"/>
    <col min="11" max="11" width="8.42578125" style="295" customWidth="1"/>
    <col min="12" max="12" width="1.42578125" style="295" customWidth="1"/>
    <col min="13" max="13" width="3.42578125" style="295" customWidth="1"/>
    <col min="14" max="16384" width="9.140625" style="295"/>
  </cols>
  <sheetData>
    <row r="1" spans="1:12" ht="12.95" customHeight="1" x14ac:dyDescent="0.2">
      <c r="B1" s="2613" t="str">
        <f>'Single Audit Cover'!A7</f>
        <v xml:space="preserve">  Whiteside Reg Voc System</v>
      </c>
      <c r="C1" s="2613"/>
      <c r="D1" s="2613"/>
      <c r="E1" s="2613"/>
      <c r="F1" s="2613"/>
      <c r="G1" s="2613"/>
      <c r="H1" s="2613"/>
      <c r="I1" s="2613"/>
      <c r="J1" s="2613"/>
      <c r="K1" s="2613"/>
      <c r="L1" s="1221"/>
    </row>
    <row r="2" spans="1:12" ht="12.95" customHeight="1" x14ac:dyDescent="0.2">
      <c r="B2" s="2614">
        <f>'Single Audit Cover'!E7</f>
        <v>47098005046</v>
      </c>
      <c r="C2" s="2614"/>
      <c r="D2" s="2614"/>
      <c r="E2" s="2614"/>
      <c r="F2" s="2614"/>
      <c r="G2" s="2614"/>
      <c r="H2" s="2614"/>
      <c r="I2" s="2614"/>
      <c r="J2" s="2614"/>
      <c r="K2" s="2614"/>
      <c r="L2" s="1222"/>
    </row>
    <row r="3" spans="1:12" ht="12.95" customHeight="1" x14ac:dyDescent="0.2">
      <c r="B3" s="2609" t="s">
        <v>1274</v>
      </c>
      <c r="C3" s="2609"/>
      <c r="D3" s="2609"/>
      <c r="E3" s="2609"/>
      <c r="F3" s="2609"/>
      <c r="G3" s="2609"/>
      <c r="H3" s="2609"/>
      <c r="I3" s="2609"/>
      <c r="J3" s="2609"/>
      <c r="K3" s="2609"/>
      <c r="L3" s="1147"/>
    </row>
    <row r="4" spans="1:12" ht="12.9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9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6"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6"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6"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0.9" customHeight="1" x14ac:dyDescent="0.2">
      <c r="B46" s="1176" t="s">
        <v>1740</v>
      </c>
      <c r="C46" s="1176"/>
      <c r="G46" s="295"/>
      <c r="I46" s="295"/>
    </row>
    <row r="47" spans="2:12" ht="10.9" customHeight="1" x14ac:dyDescent="0.2">
      <c r="B47" s="1176" t="s">
        <v>1741</v>
      </c>
      <c r="C47" s="1176"/>
      <c r="G47" s="295"/>
      <c r="I47" s="295"/>
    </row>
    <row r="48" spans="2:12" ht="10.9"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42578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95" customHeight="1" x14ac:dyDescent="0.2">
      <c r="B1" s="2586" t="str">
        <f>'Single Audit Cover'!A7</f>
        <v xml:space="preserve">  Whiteside Reg Voc System</v>
      </c>
      <c r="C1" s="2586"/>
      <c r="D1" s="2586"/>
      <c r="E1" s="1240"/>
    </row>
    <row r="2" spans="2:5" s="1058" customFormat="1" ht="12.95" customHeight="1" x14ac:dyDescent="0.2">
      <c r="B2" s="2588">
        <f>'Single Audit Cover'!E7</f>
        <v>47098005046</v>
      </c>
      <c r="C2" s="2588"/>
      <c r="D2" s="2588"/>
      <c r="E2" s="1241"/>
    </row>
    <row r="3" spans="2:5" ht="12.95" customHeight="1" x14ac:dyDescent="0.2">
      <c r="B3" s="2609" t="s">
        <v>1743</v>
      </c>
      <c r="C3" s="2609"/>
      <c r="D3" s="2609"/>
      <c r="E3" s="1050"/>
    </row>
    <row r="4" spans="2:5" s="1058" customFormat="1" ht="12.95" customHeight="1" x14ac:dyDescent="0.2">
      <c r="B4" s="2619" t="str">
        <f>'Single Audit Cover'!A4</f>
        <v>Year Ending June 30, 2020</v>
      </c>
      <c r="C4" s="2619"/>
      <c r="D4" s="2619"/>
      <c r="E4" s="1242"/>
    </row>
    <row r="5" spans="2:5" s="1058" customFormat="1" ht="40.3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9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95" customHeight="1" x14ac:dyDescent="0.2"/>
    <row r="54" spans="2:5" ht="12.95" customHeight="1" x14ac:dyDescent="0.2">
      <c r="B54" s="1043"/>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2C6E-C85B-4242-8EE7-1DB49DDE9DE6}">
  <dimension ref="A1"/>
  <sheetViews>
    <sheetView topLeftCell="A31" workbookViewId="0">
      <selection activeCell="X22" sqref="X22"/>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X22" sqref="X22"/>
    </sheetView>
  </sheetViews>
  <sheetFormatPr defaultColWidth="9.140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1983891</v>
      </c>
      <c r="E16" s="1547"/>
      <c r="F16" s="1546">
        <f>SUM('Acct Summary 7-8'!C17,'Acct Summary 7-8'!D17,'Acct Summary 7-8'!F17)</f>
        <v>1919504</v>
      </c>
      <c r="G16" s="1547"/>
      <c r="H16" s="1546">
        <f>SUM(D16-F16)</f>
        <v>64387</v>
      </c>
      <c r="I16" s="1548"/>
      <c r="J16" s="1546">
        <f>SUM('Acct Summary 7-8'!C81,'Acct Summary 7-8'!D81,'Acct Summary 7-8'!F81,'Acct Summary 7-8'!I81)</f>
        <v>891468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95" customHeight="1" x14ac:dyDescent="0.2">
      <c r="B55" s="2193"/>
      <c r="C55" s="2194"/>
      <c r="D55" s="2194"/>
      <c r="E55" s="2194"/>
      <c r="F55" s="2194"/>
      <c r="G55" s="2194"/>
      <c r="H55" s="2194"/>
      <c r="I55" s="2194"/>
      <c r="J55" s="2194"/>
      <c r="K55" s="2194"/>
      <c r="L55" s="2195"/>
      <c r="M55" s="357"/>
    </row>
    <row r="56" spans="1:13" ht="12.95" customHeight="1" x14ac:dyDescent="0.2">
      <c r="B56" s="2193"/>
      <c r="C56" s="2194"/>
      <c r="D56" s="2194"/>
      <c r="E56" s="2194"/>
      <c r="F56" s="2194"/>
      <c r="G56" s="2194"/>
      <c r="H56" s="2194"/>
      <c r="I56" s="2194"/>
      <c r="J56" s="2194"/>
      <c r="K56" s="2194"/>
      <c r="L56" s="2195"/>
      <c r="M56" s="217"/>
    </row>
    <row r="57" spans="1:13" ht="12.9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X22" sqref="X22"/>
    </sheetView>
  </sheetViews>
  <sheetFormatPr defaultColWidth="9.140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Whiteside Reg Voc System</v>
      </c>
      <c r="E7" s="368"/>
      <c r="G7" s="247"/>
      <c r="H7" s="364"/>
      <c r="I7" s="364"/>
      <c r="J7" s="364"/>
      <c r="K7" s="364"/>
      <c r="L7" s="307"/>
      <c r="M7" s="307"/>
      <c r="N7" s="307"/>
      <c r="O7" s="307"/>
      <c r="P7" s="307"/>
    </row>
    <row r="8" spans="1:18" ht="12.75" x14ac:dyDescent="0.2">
      <c r="A8" s="307"/>
      <c r="B8" s="307"/>
      <c r="C8" s="366" t="s">
        <v>1115</v>
      </c>
      <c r="D8" s="369">
        <f>COVER!A13</f>
        <v>47098005046</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891468</v>
      </c>
      <c r="I12" s="380"/>
      <c r="J12" s="380"/>
      <c r="K12" s="1559">
        <f>TRUNC((H12/H13*100000),5)/100000</f>
        <v>0.44935331619999996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1983891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1919504</v>
      </c>
      <c r="I17" s="380"/>
      <c r="J17" s="389"/>
      <c r="K17" s="1559">
        <f>TRUNC((H17/H18*100000),5)/100000</f>
        <v>0.96754509189999993</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1983891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65" customHeight="1" x14ac:dyDescent="0.2">
      <c r="A21" s="211"/>
      <c r="B21" s="373"/>
      <c r="C21" s="213" t="s">
        <v>472</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875709</v>
      </c>
      <c r="I24" s="394"/>
      <c r="J24" s="394"/>
      <c r="K24" s="1555">
        <f>TRUNC(((H24/H25*100000)/100000),2)</f>
        <v>164.23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5331.9555600000003</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5" zoomScaleNormal="125" workbookViewId="0">
      <pane ySplit="2" topLeftCell="A27" activePane="bottomLeft" state="frozen"/>
      <selection activeCell="X22" sqref="X22"/>
      <selection pane="bottomLeft" activeCell="X22" sqref="X22"/>
    </sheetView>
  </sheetViews>
  <sheetFormatPr defaultColWidth="9.140625" defaultRowHeight="12.75" x14ac:dyDescent="0.2"/>
  <cols>
    <col min="1" max="1" width="47.28515625" style="441" customWidth="1"/>
    <col min="2" max="2" width="4.42578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100+1202</f>
        <v>1302</v>
      </c>
      <c r="D4" s="1573">
        <v>700</v>
      </c>
      <c r="E4" s="1573"/>
      <c r="F4" s="1573">
        <v>100</v>
      </c>
      <c r="G4" s="1573"/>
      <c r="H4" s="1573"/>
      <c r="I4" s="1573"/>
      <c r="J4" s="1574"/>
      <c r="K4" s="1573"/>
      <c r="L4" s="1573">
        <v>91183</v>
      </c>
      <c r="M4" s="1575"/>
      <c r="N4" s="1576"/>
    </row>
    <row r="5" spans="1:14" x14ac:dyDescent="0.2">
      <c r="A5" s="427" t="s">
        <v>985</v>
      </c>
      <c r="B5" s="429">
        <v>120</v>
      </c>
      <c r="C5" s="1572">
        <f>106143+635924</f>
        <v>742067</v>
      </c>
      <c r="D5" s="1573">
        <v>92924</v>
      </c>
      <c r="E5" s="1573"/>
      <c r="F5" s="1573">
        <v>38616</v>
      </c>
      <c r="G5" s="1573"/>
      <c r="H5" s="1573"/>
      <c r="I5" s="1573"/>
      <c r="J5" s="1574"/>
      <c r="K5" s="1577"/>
      <c r="L5" s="1578">
        <v>25101</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66275</v>
      </c>
      <c r="D8" s="1574"/>
      <c r="E8" s="1574"/>
      <c r="F8" s="1574">
        <v>2877</v>
      </c>
      <c r="G8" s="1583"/>
      <c r="H8" s="1574"/>
      <c r="I8" s="1579"/>
      <c r="J8" s="1579"/>
      <c r="K8" s="1584"/>
      <c r="L8" s="1585"/>
      <c r="M8" s="1575"/>
      <c r="N8" s="1576"/>
    </row>
    <row r="9" spans="1:14" ht="13.5" customHeight="1" x14ac:dyDescent="0.2">
      <c r="A9" s="430" t="s">
        <v>268</v>
      </c>
      <c r="B9" s="429">
        <v>160</v>
      </c>
      <c r="C9" s="1581">
        <v>8190</v>
      </c>
      <c r="D9" s="1574"/>
      <c r="E9" s="1574"/>
      <c r="F9" s="1574"/>
      <c r="G9" s="1574"/>
      <c r="H9" s="1583"/>
      <c r="I9" s="1574"/>
      <c r="J9" s="1574"/>
      <c r="K9" s="1574"/>
      <c r="L9" s="1574"/>
      <c r="M9" s="1575"/>
      <c r="N9" s="1576"/>
    </row>
    <row r="10" spans="1:14" ht="13.5" customHeight="1" x14ac:dyDescent="0.2">
      <c r="A10" s="430" t="s">
        <v>984</v>
      </c>
      <c r="B10" s="429">
        <v>170</v>
      </c>
      <c r="C10" s="1572">
        <v>21017</v>
      </c>
      <c r="D10" s="1573"/>
      <c r="E10" s="1574"/>
      <c r="F10" s="1573"/>
      <c r="G10" s="1583"/>
      <c r="H10" s="1586"/>
      <c r="I10" s="1574"/>
      <c r="J10" s="1574"/>
      <c r="K10" s="1586"/>
      <c r="L10" s="1586"/>
      <c r="M10" s="1576"/>
      <c r="N10" s="1576"/>
    </row>
    <row r="11" spans="1:14" ht="13.5" customHeight="1" x14ac:dyDescent="0.2">
      <c r="A11" s="430" t="s">
        <v>269</v>
      </c>
      <c r="B11" s="429">
        <v>180</v>
      </c>
      <c r="C11" s="1581">
        <v>12851</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851702</v>
      </c>
      <c r="D13" s="1587">
        <f t="shared" ref="D13:L13" si="0">SUM(D4:D12)</f>
        <v>93624</v>
      </c>
      <c r="E13" s="1587">
        <f t="shared" si="0"/>
        <v>0</v>
      </c>
      <c r="F13" s="1587">
        <f t="shared" si="0"/>
        <v>41593</v>
      </c>
      <c r="G13" s="1587">
        <f t="shared" si="0"/>
        <v>0</v>
      </c>
      <c r="H13" s="1587">
        <f t="shared" si="0"/>
        <v>0</v>
      </c>
      <c r="I13" s="1587">
        <f t="shared" si="0"/>
        <v>0</v>
      </c>
      <c r="J13" s="1587">
        <f t="shared" si="0"/>
        <v>0</v>
      </c>
      <c r="K13" s="1587">
        <f t="shared" si="0"/>
        <v>0</v>
      </c>
      <c r="L13" s="1587">
        <f t="shared" si="0"/>
        <v>116284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95" customHeight="1" x14ac:dyDescent="0.2">
      <c r="A15" s="431" t="s">
        <v>1384</v>
      </c>
      <c r="B15" s="432">
        <v>210</v>
      </c>
      <c r="C15" s="1582"/>
      <c r="D15" s="1582"/>
      <c r="E15" s="1582"/>
      <c r="F15" s="1582"/>
      <c r="G15" s="1582"/>
      <c r="H15" s="1582"/>
      <c r="I15" s="1582"/>
      <c r="J15" s="1582"/>
      <c r="K15" s="1582"/>
      <c r="L15" s="1582"/>
      <c r="M15" s="1583"/>
      <c r="N15" s="1592"/>
    </row>
    <row r="16" spans="1:14" s="433" customFormat="1" ht="12.95" customHeight="1" x14ac:dyDescent="0.2">
      <c r="A16" s="431" t="s">
        <v>1385</v>
      </c>
      <c r="B16" s="432">
        <v>220</v>
      </c>
      <c r="C16" s="1582"/>
      <c r="D16" s="1582"/>
      <c r="E16" s="1582"/>
      <c r="F16" s="1582"/>
      <c r="G16" s="1582"/>
      <c r="H16" s="1582"/>
      <c r="I16" s="1582"/>
      <c r="J16" s="1582"/>
      <c r="K16" s="1582"/>
      <c r="L16" s="1582"/>
      <c r="M16" s="1574"/>
      <c r="N16" s="1592"/>
    </row>
    <row r="17" spans="1:14" s="433" customFormat="1" ht="12.95" customHeight="1" x14ac:dyDescent="0.2">
      <c r="A17" s="431" t="s">
        <v>1386</v>
      </c>
      <c r="B17" s="432">
        <v>230</v>
      </c>
      <c r="C17" s="1582"/>
      <c r="D17" s="1582"/>
      <c r="E17" s="1582"/>
      <c r="F17" s="1582"/>
      <c r="G17" s="1582"/>
      <c r="H17" s="1582"/>
      <c r="I17" s="1582"/>
      <c r="J17" s="1582"/>
      <c r="K17" s="1582"/>
      <c r="L17" s="1582"/>
      <c r="M17" s="1574">
        <v>1166502</v>
      </c>
      <c r="N17" s="1592"/>
    </row>
    <row r="18" spans="1:14" s="433" customFormat="1" ht="12.95" customHeight="1" x14ac:dyDescent="0.2">
      <c r="A18" s="431" t="s">
        <v>1387</v>
      </c>
      <c r="B18" s="432">
        <v>240</v>
      </c>
      <c r="C18" s="1582"/>
      <c r="D18" s="1582"/>
      <c r="E18" s="1582"/>
      <c r="F18" s="1582"/>
      <c r="G18" s="1582"/>
      <c r="H18" s="1582"/>
      <c r="I18" s="1582"/>
      <c r="J18" s="1582"/>
      <c r="K18" s="1582"/>
      <c r="L18" s="1582"/>
      <c r="M18" s="1574">
        <v>27758</v>
      </c>
      <c r="N18" s="1592"/>
    </row>
    <row r="19" spans="1:14" s="433" customFormat="1" ht="12.95" customHeight="1" x14ac:dyDescent="0.2">
      <c r="A19" s="431" t="s">
        <v>1388</v>
      </c>
      <c r="B19" s="432">
        <v>250</v>
      </c>
      <c r="C19" s="1582"/>
      <c r="D19" s="1582"/>
      <c r="E19" s="1582"/>
      <c r="F19" s="1582"/>
      <c r="G19" s="1582"/>
      <c r="H19" s="1582"/>
      <c r="I19" s="1582"/>
      <c r="J19" s="1582"/>
      <c r="K19" s="1582"/>
      <c r="L19" s="1582"/>
      <c r="M19" s="1574">
        <v>246755</v>
      </c>
      <c r="N19" s="1592"/>
    </row>
    <row r="20" spans="1:14" s="433" customFormat="1" ht="12.95" customHeight="1" x14ac:dyDescent="0.2">
      <c r="A20" s="431" t="s">
        <v>1389</v>
      </c>
      <c r="B20" s="432">
        <v>260</v>
      </c>
      <c r="C20" s="1582"/>
      <c r="D20" s="1582"/>
      <c r="E20" s="1582"/>
      <c r="F20" s="1582"/>
      <c r="G20" s="1582"/>
      <c r="H20" s="1582"/>
      <c r="I20" s="1582"/>
      <c r="J20" s="1582"/>
      <c r="K20" s="1582"/>
      <c r="L20" s="1582"/>
      <c r="M20" s="1574"/>
      <c r="N20" s="1592"/>
    </row>
    <row r="21" spans="1:14" s="433" customFormat="1" ht="12.95" customHeight="1" x14ac:dyDescent="0.2">
      <c r="A21" s="431" t="s">
        <v>1390</v>
      </c>
      <c r="B21" s="432">
        <v>340</v>
      </c>
      <c r="C21" s="1582"/>
      <c r="D21" s="1582"/>
      <c r="E21" s="1582"/>
      <c r="F21" s="1582"/>
      <c r="G21" s="1582"/>
      <c r="H21" s="1582"/>
      <c r="I21" s="1582"/>
      <c r="J21" s="1582"/>
      <c r="K21" s="1582"/>
      <c r="L21" s="1582"/>
      <c r="M21" s="1593"/>
      <c r="N21" s="1574"/>
    </row>
    <row r="22" spans="1:14" s="433" customFormat="1" ht="12.9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1441015</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15820</v>
      </c>
      <c r="D27" s="1574">
        <v>3464</v>
      </c>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55317</v>
      </c>
      <c r="D30" s="1579">
        <v>177</v>
      </c>
      <c r="E30" s="1574"/>
      <c r="F30" s="1574">
        <v>584</v>
      </c>
      <c r="G30" s="1574"/>
      <c r="H30" s="1574"/>
      <c r="I30" s="1574"/>
      <c r="J30" s="1574"/>
      <c r="K30" s="1583"/>
      <c r="L30" s="1575"/>
      <c r="M30" s="1575"/>
      <c r="N30" s="1575"/>
    </row>
    <row r="31" spans="1:14" ht="13.5" customHeight="1" x14ac:dyDescent="0.2">
      <c r="A31" s="430" t="s">
        <v>646</v>
      </c>
      <c r="B31" s="429">
        <v>480</v>
      </c>
      <c r="C31" s="1573">
        <v>19989</v>
      </c>
      <c r="D31" s="1574"/>
      <c r="E31" s="1574"/>
      <c r="F31" s="1573">
        <v>100</v>
      </c>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53917</v>
      </c>
      <c r="M33" s="1575"/>
      <c r="N33" s="1576"/>
    </row>
    <row r="34" spans="1:14" ht="13.5" customHeight="1" thickBot="1" x14ac:dyDescent="0.25">
      <c r="A34" s="1427" t="s">
        <v>649</v>
      </c>
      <c r="B34" s="1428"/>
      <c r="C34" s="1600">
        <f>SUM(C25:C33)</f>
        <v>91126</v>
      </c>
      <c r="D34" s="1600">
        <f t="shared" ref="D34:K34" si="1">SUM(D25:D33)</f>
        <v>3641</v>
      </c>
      <c r="E34" s="1600">
        <f t="shared" si="1"/>
        <v>0</v>
      </c>
      <c r="F34" s="1600">
        <f t="shared" si="1"/>
        <v>684</v>
      </c>
      <c r="G34" s="1600">
        <f t="shared" si="1"/>
        <v>0</v>
      </c>
      <c r="H34" s="1600">
        <f t="shared" si="1"/>
        <v>0</v>
      </c>
      <c r="I34" s="1600">
        <f t="shared" si="1"/>
        <v>0</v>
      </c>
      <c r="J34" s="1600">
        <f t="shared" si="1"/>
        <v>0</v>
      </c>
      <c r="K34" s="1600">
        <f t="shared" si="1"/>
        <v>0</v>
      </c>
      <c r="L34" s="1601">
        <f>SUM(L33)</f>
        <v>53917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33868</v>
      </c>
      <c r="D38" s="1573"/>
      <c r="E38" s="1573"/>
      <c r="F38" s="1573"/>
      <c r="G38" s="1573"/>
      <c r="H38" s="1573"/>
      <c r="I38" s="1573"/>
      <c r="J38" s="1574"/>
      <c r="K38" s="1573"/>
      <c r="L38" s="1586">
        <v>62367</v>
      </c>
      <c r="M38" s="1604"/>
      <c r="N38" s="1604"/>
    </row>
    <row r="39" spans="1:14" s="307" customFormat="1" ht="13.5" customHeight="1" x14ac:dyDescent="0.2">
      <c r="A39" s="438" t="s">
        <v>339</v>
      </c>
      <c r="B39" s="432">
        <v>730</v>
      </c>
      <c r="C39" s="1573">
        <v>726708</v>
      </c>
      <c r="D39" s="1573">
        <v>89983</v>
      </c>
      <c r="E39" s="1573"/>
      <c r="F39" s="1573">
        <v>40909</v>
      </c>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1441015</v>
      </c>
      <c r="N40" s="1604"/>
    </row>
    <row r="41" spans="1:14" ht="13.5" customHeight="1" thickBot="1" x14ac:dyDescent="0.25">
      <c r="A41" s="1426" t="s">
        <v>650</v>
      </c>
      <c r="B41" s="1405"/>
      <c r="C41" s="1594">
        <f>(SUM(C34,C37,C38,C39))</f>
        <v>851702</v>
      </c>
      <c r="D41" s="1594">
        <f t="shared" ref="D41:L41" si="2">SUM(D34,D37,D38:D39)</f>
        <v>93624</v>
      </c>
      <c r="E41" s="1594">
        <f t="shared" si="2"/>
        <v>0</v>
      </c>
      <c r="F41" s="1594">
        <f t="shared" si="2"/>
        <v>41593</v>
      </c>
      <c r="G41" s="1594">
        <f t="shared" si="2"/>
        <v>0</v>
      </c>
      <c r="H41" s="1594">
        <f t="shared" si="2"/>
        <v>0</v>
      </c>
      <c r="I41" s="1594">
        <f t="shared" si="2"/>
        <v>0</v>
      </c>
      <c r="J41" s="1594">
        <f t="shared" si="2"/>
        <v>0</v>
      </c>
      <c r="K41" s="1594">
        <f t="shared" si="2"/>
        <v>0</v>
      </c>
      <c r="L41" s="1594">
        <f t="shared" si="2"/>
        <v>116284</v>
      </c>
      <c r="M41" s="1594">
        <f>SUM(M40)</f>
        <v>1441015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2020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25" zoomScaleNormal="125" zoomScaleSheetLayoutView="100" workbookViewId="0">
      <pane ySplit="2" topLeftCell="A75" activePane="bottomLeft" state="frozen"/>
      <selection activeCell="X22" sqref="X22"/>
      <selection pane="bottomLeft" activeCell="X22" sqref="X22"/>
    </sheetView>
  </sheetViews>
  <sheetFormatPr defaultColWidth="9.140625" defaultRowHeight="12.75" x14ac:dyDescent="0.2"/>
  <cols>
    <col min="1" max="1" width="55.71093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809745</v>
      </c>
      <c r="D4" s="1606">
        <f>'Revenues 9-14'!D109</f>
        <v>197007</v>
      </c>
      <c r="E4" s="1606">
        <f>'Revenues 9-14'!E109</f>
        <v>0</v>
      </c>
      <c r="F4" s="1606">
        <f>'Revenues 9-14'!F109</f>
        <v>516</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718439</v>
      </c>
      <c r="D6" s="1607">
        <f>'Revenues 9-14'!D170</f>
        <v>0</v>
      </c>
      <c r="E6" s="1607">
        <f>'Revenues 9-14'!E170</f>
        <v>0</v>
      </c>
      <c r="F6" s="1607">
        <f>'Revenues 9-14'!F170</f>
        <v>11465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246719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1774903</v>
      </c>
      <c r="D8" s="1594">
        <f t="shared" ref="D8:K8" si="0">SUM(D4:D7)</f>
        <v>197007</v>
      </c>
      <c r="E8" s="1594">
        <f t="shared" si="0"/>
        <v>0</v>
      </c>
      <c r="F8" s="1594">
        <f t="shared" si="0"/>
        <v>11981</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603889</v>
      </c>
      <c r="D9" s="1613"/>
      <c r="E9" s="1586"/>
      <c r="F9" s="1586"/>
      <c r="G9" s="1614"/>
      <c r="H9" s="1586"/>
      <c r="I9" s="1609" t="s">
        <v>1159</v>
      </c>
      <c r="J9" s="1583"/>
      <c r="K9" s="1586"/>
      <c r="L9" s="325"/>
    </row>
    <row r="10" spans="1:13" s="452" customFormat="1" ht="13.5" thickBot="1" x14ac:dyDescent="0.25">
      <c r="A10" s="1426" t="s">
        <v>1163</v>
      </c>
      <c r="B10" s="1407"/>
      <c r="C10" s="1594">
        <f>SUM(C8:C9)</f>
        <v>2378792</v>
      </c>
      <c r="D10" s="1594">
        <f t="shared" ref="D10:K10" si="1">SUM(D8:D9)</f>
        <v>197007</v>
      </c>
      <c r="E10" s="1594">
        <f t="shared" si="1"/>
        <v>0</v>
      </c>
      <c r="F10" s="1594">
        <f t="shared" si="1"/>
        <v>11981</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989986</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481058</v>
      </c>
      <c r="D13" s="1607">
        <f>'Expenditures 15-22'!K129</f>
        <v>227799</v>
      </c>
      <c r="E13" s="1576" t="s">
        <v>1159</v>
      </c>
      <c r="F13" s="1607">
        <f>'Expenditures 15-22'!K184</f>
        <v>6786</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213875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1684919</v>
      </c>
      <c r="D17" s="1594">
        <f t="shared" si="2"/>
        <v>227799</v>
      </c>
      <c r="E17" s="1594">
        <f t="shared" si="2"/>
        <v>0</v>
      </c>
      <c r="F17" s="1594">
        <f t="shared" si="2"/>
        <v>6786</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603889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2288808</v>
      </c>
      <c r="D19" s="1594">
        <f t="shared" si="4"/>
        <v>227799</v>
      </c>
      <c r="E19" s="1594">
        <f t="shared" si="4"/>
        <v>0</v>
      </c>
      <c r="F19" s="1594">
        <f t="shared" si="4"/>
        <v>6786</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89984</v>
      </c>
      <c r="D20" s="1622">
        <f t="shared" ref="D20:K20" si="5">D8-D17</f>
        <v>-30792</v>
      </c>
      <c r="E20" s="1622">
        <f t="shared" si="5"/>
        <v>0</v>
      </c>
      <c r="F20" s="1622">
        <f t="shared" si="5"/>
        <v>5195</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89984</v>
      </c>
      <c r="D78" s="1629">
        <f t="shared" si="9"/>
        <v>-30792</v>
      </c>
      <c r="E78" s="1629">
        <f t="shared" si="9"/>
        <v>0</v>
      </c>
      <c r="F78" s="1629">
        <f t="shared" si="9"/>
        <v>5195</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670592</v>
      </c>
      <c r="D79" s="1630">
        <v>120775</v>
      </c>
      <c r="E79" s="1630"/>
      <c r="F79" s="1630">
        <v>35714</v>
      </c>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760576</v>
      </c>
      <c r="D81" s="1594">
        <f>SUM(D78:D80)</f>
        <v>89983</v>
      </c>
      <c r="E81" s="1594">
        <f t="shared" ref="E81:K81" si="10">SUM(E78:E80)</f>
        <v>0</v>
      </c>
      <c r="F81" s="1594">
        <f t="shared" si="10"/>
        <v>40909</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89984</v>
      </c>
      <c r="D82" s="461">
        <f t="shared" ref="D82:K82" si="11">(D81-D79)</f>
        <v>-30792</v>
      </c>
      <c r="E82" s="461">
        <f t="shared" si="11"/>
        <v>0</v>
      </c>
      <c r="F82" s="461">
        <f t="shared" si="11"/>
        <v>5195</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0.11831033322113767</v>
      </c>
      <c r="D83" s="463">
        <f t="shared" ref="D83:K83" si="12">D82/D81</f>
        <v>-0.34219797072780417</v>
      </c>
      <c r="E83" s="463" t="e">
        <f t="shared" si="12"/>
        <v>#DIV/0!</v>
      </c>
      <c r="F83" s="463">
        <f t="shared" si="12"/>
        <v>0.12698917108704685</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 EXPENDITURES, OTHER 
SOURCES (USES) AND CHANGES IN FUND BALANCE
ALL FUNDS - FOR THE YEAR ENDING JUNE 30, 2020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25" zoomScaleNormal="125" zoomScaleSheetLayoutView="75" workbookViewId="0">
      <pane ySplit="2" topLeftCell="A204" activePane="bottomLeft" state="frozen"/>
      <selection activeCell="X22" sqref="X22"/>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9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9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95" customHeight="1" x14ac:dyDescent="0.2">
      <c r="A17" s="427" t="s">
        <v>802</v>
      </c>
      <c r="B17" s="429">
        <v>1290</v>
      </c>
      <c r="C17" s="1632"/>
      <c r="D17" s="1573"/>
      <c r="E17" s="1573"/>
      <c r="F17" s="1573"/>
      <c r="G17" s="1573"/>
      <c r="H17" s="1573"/>
      <c r="I17" s="1573"/>
      <c r="J17" s="1574"/>
      <c r="K17" s="1573"/>
    </row>
    <row r="18" spans="1:11" ht="12.9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95" customHeight="1" x14ac:dyDescent="0.2">
      <c r="A21" s="427" t="s">
        <v>827</v>
      </c>
      <c r="B21" s="429">
        <v>1312</v>
      </c>
      <c r="C21" s="1632"/>
      <c r="D21" s="1575"/>
      <c r="E21" s="1575"/>
      <c r="F21" s="1575"/>
      <c r="G21" s="1575"/>
      <c r="H21" s="1575"/>
      <c r="I21" s="1575"/>
      <c r="J21" s="1575"/>
      <c r="K21" s="1575"/>
    </row>
    <row r="22" spans="1:11" ht="12.95" customHeight="1" x14ac:dyDescent="0.2">
      <c r="A22" s="427" t="s">
        <v>1065</v>
      </c>
      <c r="B22" s="429">
        <v>1313</v>
      </c>
      <c r="C22" s="1632"/>
      <c r="D22" s="1575"/>
      <c r="E22" s="1575"/>
      <c r="F22" s="1575"/>
      <c r="G22" s="1575"/>
      <c r="H22" s="1575"/>
      <c r="I22" s="1575"/>
      <c r="J22" s="1575"/>
      <c r="K22" s="1575"/>
    </row>
    <row r="23" spans="1:11" ht="12.95" customHeight="1" x14ac:dyDescent="0.2">
      <c r="A23" s="427" t="s">
        <v>1066</v>
      </c>
      <c r="B23" s="429">
        <v>1314</v>
      </c>
      <c r="C23" s="1598"/>
      <c r="D23" s="1575"/>
      <c r="E23" s="1575"/>
      <c r="F23" s="1575"/>
      <c r="G23" s="1575"/>
      <c r="H23" s="1575"/>
      <c r="I23" s="1575"/>
      <c r="J23" s="1575"/>
      <c r="K23" s="1575"/>
    </row>
    <row r="24" spans="1:11" ht="12.95" customHeight="1" x14ac:dyDescent="0.2">
      <c r="A24" s="427" t="s">
        <v>1020</v>
      </c>
      <c r="B24" s="429">
        <v>1321</v>
      </c>
      <c r="C24" s="1632"/>
      <c r="D24" s="1575"/>
      <c r="E24" s="1575"/>
      <c r="F24" s="1575"/>
      <c r="G24" s="1575"/>
      <c r="H24" s="1575"/>
      <c r="I24" s="1575"/>
      <c r="J24" s="1575"/>
      <c r="K24" s="1575"/>
    </row>
    <row r="25" spans="1:11" ht="12.95" customHeight="1" x14ac:dyDescent="0.2">
      <c r="A25" s="427" t="s">
        <v>828</v>
      </c>
      <c r="B25" s="429">
        <v>1322</v>
      </c>
      <c r="C25" s="1632"/>
      <c r="D25" s="1575"/>
      <c r="E25" s="1575"/>
      <c r="F25" s="1575"/>
      <c r="G25" s="1575"/>
      <c r="H25" s="1575"/>
      <c r="I25" s="1575"/>
      <c r="J25" s="1575"/>
      <c r="K25" s="1575"/>
    </row>
    <row r="26" spans="1:11" ht="12.95" customHeight="1" x14ac:dyDescent="0.2">
      <c r="A26" s="427" t="s">
        <v>1092</v>
      </c>
      <c r="B26" s="429">
        <v>1323</v>
      </c>
      <c r="C26" s="1632"/>
      <c r="D26" s="1575"/>
      <c r="E26" s="1575"/>
      <c r="F26" s="1575"/>
      <c r="G26" s="1575"/>
      <c r="H26" s="1575"/>
      <c r="I26" s="1575"/>
      <c r="J26" s="1575"/>
      <c r="K26" s="1575"/>
    </row>
    <row r="27" spans="1:11" ht="12.95" customHeight="1" x14ac:dyDescent="0.2">
      <c r="A27" s="427" t="s">
        <v>1016</v>
      </c>
      <c r="B27" s="429">
        <v>1324</v>
      </c>
      <c r="C27" s="1598"/>
      <c r="D27" s="1575"/>
      <c r="E27" s="1575"/>
      <c r="F27" s="1575"/>
      <c r="G27" s="1575"/>
      <c r="H27" s="1575"/>
      <c r="I27" s="1575"/>
      <c r="J27" s="1575"/>
      <c r="K27" s="1575"/>
    </row>
    <row r="28" spans="1:11" ht="12.95" customHeight="1" x14ac:dyDescent="0.2">
      <c r="A28" s="427" t="s">
        <v>1017</v>
      </c>
      <c r="B28" s="429">
        <v>1331</v>
      </c>
      <c r="C28" s="1632"/>
      <c r="D28" s="1575"/>
      <c r="E28" s="1575"/>
      <c r="F28" s="1575"/>
      <c r="G28" s="1575"/>
      <c r="H28" s="1575"/>
      <c r="I28" s="1575"/>
      <c r="J28" s="1575"/>
      <c r="K28" s="1575"/>
    </row>
    <row r="29" spans="1:11" ht="12.95" customHeight="1" x14ac:dyDescent="0.2">
      <c r="A29" s="427" t="s">
        <v>829</v>
      </c>
      <c r="B29" s="429">
        <v>1332</v>
      </c>
      <c r="C29" s="1632">
        <v>589782</v>
      </c>
      <c r="D29" s="1575"/>
      <c r="E29" s="1575"/>
      <c r="F29" s="1575"/>
      <c r="G29" s="1575"/>
      <c r="H29" s="1575"/>
      <c r="I29" s="1575"/>
      <c r="J29" s="1575"/>
      <c r="K29" s="1575"/>
    </row>
    <row r="30" spans="1:11" ht="12.95" customHeight="1" x14ac:dyDescent="0.2">
      <c r="A30" s="427" t="s">
        <v>1019</v>
      </c>
      <c r="B30" s="429">
        <v>1333</v>
      </c>
      <c r="C30" s="1632"/>
      <c r="D30" s="1575"/>
      <c r="E30" s="1575"/>
      <c r="F30" s="1575"/>
      <c r="G30" s="1575"/>
      <c r="H30" s="1575"/>
      <c r="I30" s="1575"/>
      <c r="J30" s="1575"/>
      <c r="K30" s="1575"/>
    </row>
    <row r="31" spans="1:11" ht="12.95" customHeight="1" x14ac:dyDescent="0.2">
      <c r="A31" s="427" t="s">
        <v>1018</v>
      </c>
      <c r="B31" s="429">
        <v>1334</v>
      </c>
      <c r="C31" s="1598"/>
      <c r="D31" s="1575"/>
      <c r="E31" s="1575"/>
      <c r="F31" s="1575"/>
      <c r="G31" s="1575"/>
      <c r="H31" s="1575"/>
      <c r="I31" s="1575"/>
      <c r="J31" s="1575"/>
      <c r="K31" s="1575"/>
    </row>
    <row r="32" spans="1:11" ht="12.95" customHeight="1" x14ac:dyDescent="0.2">
      <c r="A32" s="427" t="s">
        <v>491</v>
      </c>
      <c r="B32" s="429">
        <v>1341</v>
      </c>
      <c r="C32" s="1632"/>
      <c r="D32" s="1575"/>
      <c r="E32" s="1575"/>
      <c r="F32" s="1575"/>
      <c r="G32" s="1575"/>
      <c r="H32" s="1575"/>
      <c r="I32" s="1575"/>
      <c r="J32" s="1575"/>
      <c r="K32" s="1575"/>
    </row>
    <row r="33" spans="1:11" ht="12.95" customHeight="1" x14ac:dyDescent="0.2">
      <c r="A33" s="427" t="s">
        <v>830</v>
      </c>
      <c r="B33" s="429">
        <v>1342</v>
      </c>
      <c r="C33" s="1632"/>
      <c r="D33" s="1575"/>
      <c r="E33" s="1575"/>
      <c r="F33" s="1575"/>
      <c r="G33" s="1575"/>
      <c r="H33" s="1575"/>
      <c r="I33" s="1575"/>
      <c r="J33" s="1575"/>
      <c r="K33" s="1575"/>
    </row>
    <row r="34" spans="1:11" ht="12.95" customHeight="1" x14ac:dyDescent="0.2">
      <c r="A34" s="427" t="s">
        <v>492</v>
      </c>
      <c r="B34" s="429">
        <v>1343</v>
      </c>
      <c r="C34" s="1632"/>
      <c r="D34" s="1575"/>
      <c r="E34" s="1575"/>
      <c r="F34" s="1575"/>
      <c r="G34" s="1575"/>
      <c r="H34" s="1575"/>
      <c r="I34" s="1575"/>
      <c r="J34" s="1575"/>
      <c r="K34" s="1575"/>
    </row>
    <row r="35" spans="1:11" ht="12.95" customHeight="1" x14ac:dyDescent="0.2">
      <c r="A35" s="427" t="s">
        <v>490</v>
      </c>
      <c r="B35" s="429">
        <v>1344</v>
      </c>
      <c r="C35" s="1598"/>
      <c r="D35" s="1575"/>
      <c r="E35" s="1575"/>
      <c r="F35" s="1575"/>
      <c r="G35" s="1575"/>
      <c r="H35" s="1575"/>
      <c r="I35" s="1575"/>
      <c r="J35" s="1575"/>
      <c r="K35" s="1575"/>
    </row>
    <row r="36" spans="1:11" ht="12.95" customHeight="1" x14ac:dyDescent="0.2">
      <c r="A36" s="427" t="s">
        <v>826</v>
      </c>
      <c r="B36" s="429">
        <v>1351</v>
      </c>
      <c r="C36" s="1632"/>
      <c r="D36" s="1575"/>
      <c r="E36" s="1575"/>
      <c r="F36" s="1575"/>
      <c r="G36" s="1575"/>
      <c r="H36" s="1575"/>
      <c r="I36" s="1575"/>
      <c r="J36" s="1575"/>
      <c r="K36" s="1575"/>
    </row>
    <row r="37" spans="1:11" ht="12.95" customHeight="1" x14ac:dyDescent="0.2">
      <c r="A37" s="427" t="s">
        <v>831</v>
      </c>
      <c r="B37" s="429">
        <v>1352</v>
      </c>
      <c r="C37" s="1632"/>
      <c r="D37" s="1575"/>
      <c r="E37" s="1575"/>
      <c r="F37" s="1575"/>
      <c r="G37" s="1575"/>
      <c r="H37" s="1575"/>
      <c r="I37" s="1575"/>
      <c r="J37" s="1575"/>
      <c r="K37" s="1575"/>
    </row>
    <row r="38" spans="1:11" ht="12.95" customHeight="1" x14ac:dyDescent="0.2">
      <c r="A38" s="427" t="s">
        <v>589</v>
      </c>
      <c r="B38" s="429">
        <v>1353</v>
      </c>
      <c r="C38" s="1632"/>
      <c r="D38" s="1575"/>
      <c r="E38" s="1575"/>
      <c r="F38" s="1575"/>
      <c r="G38" s="1575"/>
      <c r="H38" s="1575"/>
      <c r="I38" s="1575"/>
      <c r="J38" s="1575"/>
      <c r="K38" s="1575"/>
    </row>
    <row r="39" spans="1:11" ht="12.95" customHeight="1" x14ac:dyDescent="0.2">
      <c r="A39" s="1265" t="s">
        <v>590</v>
      </c>
      <c r="B39" s="474">
        <v>1354</v>
      </c>
      <c r="C39" s="1598"/>
      <c r="D39" s="1575"/>
      <c r="E39" s="1575"/>
      <c r="F39" s="1575"/>
      <c r="G39" s="1575"/>
      <c r="H39" s="1575"/>
      <c r="I39" s="1575"/>
      <c r="J39" s="1575"/>
      <c r="K39" s="1575"/>
    </row>
    <row r="40" spans="1:11" ht="12.95" customHeight="1" thickBot="1" x14ac:dyDescent="0.25">
      <c r="A40" s="1406" t="s">
        <v>535</v>
      </c>
      <c r="B40" s="1407"/>
      <c r="C40" s="1594">
        <f>SUM(C20:C39)</f>
        <v>589782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95" customHeight="1" x14ac:dyDescent="0.2">
      <c r="A42" s="427" t="s">
        <v>1067</v>
      </c>
      <c r="B42" s="429">
        <v>1411</v>
      </c>
      <c r="C42" s="1575"/>
      <c r="D42" s="1575"/>
      <c r="E42" s="1575"/>
      <c r="F42" s="1586"/>
      <c r="G42" s="1575"/>
      <c r="H42" s="1575"/>
      <c r="I42" s="1575"/>
      <c r="J42" s="1575"/>
      <c r="K42" s="1575"/>
    </row>
    <row r="43" spans="1:11" ht="12.95" customHeight="1" x14ac:dyDescent="0.2">
      <c r="A43" s="427" t="s">
        <v>832</v>
      </c>
      <c r="B43" s="429">
        <v>1412</v>
      </c>
      <c r="C43" s="1575"/>
      <c r="D43" s="1575"/>
      <c r="E43" s="1575"/>
      <c r="F43" s="1573"/>
      <c r="G43" s="1575"/>
      <c r="H43" s="1575"/>
      <c r="I43" s="1575"/>
      <c r="J43" s="1575"/>
      <c r="K43" s="1575"/>
    </row>
    <row r="44" spans="1:11" ht="12.95" customHeight="1" x14ac:dyDescent="0.2">
      <c r="A44" s="427" t="s">
        <v>381</v>
      </c>
      <c r="B44" s="429">
        <v>1413</v>
      </c>
      <c r="C44" s="1575"/>
      <c r="D44" s="1575"/>
      <c r="E44" s="1575"/>
      <c r="F44" s="1573"/>
      <c r="G44" s="1575"/>
      <c r="H44" s="1575"/>
      <c r="I44" s="1575"/>
      <c r="J44" s="1575"/>
      <c r="K44" s="1575"/>
    </row>
    <row r="45" spans="1:11" ht="12.95" customHeight="1" x14ac:dyDescent="0.2">
      <c r="A45" s="427" t="s">
        <v>238</v>
      </c>
      <c r="B45" s="429">
        <v>1415</v>
      </c>
      <c r="C45" s="1575"/>
      <c r="D45" s="1575"/>
      <c r="E45" s="1575"/>
      <c r="F45" s="1573"/>
      <c r="G45" s="1575"/>
      <c r="H45" s="1575"/>
      <c r="I45" s="1575"/>
      <c r="J45" s="1575"/>
      <c r="K45" s="1575"/>
    </row>
    <row r="46" spans="1:11" ht="12.95" customHeight="1" x14ac:dyDescent="0.2">
      <c r="A46" s="427" t="s">
        <v>1164</v>
      </c>
      <c r="B46" s="429">
        <v>1416</v>
      </c>
      <c r="C46" s="1575"/>
      <c r="D46" s="1575"/>
      <c r="E46" s="1575"/>
      <c r="F46" s="1574"/>
      <c r="G46" s="1575"/>
      <c r="H46" s="1575"/>
      <c r="I46" s="1575"/>
      <c r="J46" s="1575"/>
      <c r="K46" s="1575"/>
    </row>
    <row r="47" spans="1:11" ht="12.95" customHeight="1" x14ac:dyDescent="0.2">
      <c r="A47" s="427" t="s">
        <v>57</v>
      </c>
      <c r="B47" s="429">
        <v>1421</v>
      </c>
      <c r="C47" s="1575"/>
      <c r="D47" s="1575"/>
      <c r="E47" s="1575"/>
      <c r="F47" s="1573"/>
      <c r="G47" s="1575"/>
      <c r="H47" s="1575"/>
      <c r="I47" s="1575"/>
      <c r="J47" s="1575"/>
      <c r="K47" s="1575"/>
    </row>
    <row r="48" spans="1:11" ht="12.95" customHeight="1" x14ac:dyDescent="0.2">
      <c r="A48" s="427" t="s">
        <v>833</v>
      </c>
      <c r="B48" s="429">
        <v>1422</v>
      </c>
      <c r="C48" s="1575"/>
      <c r="D48" s="1575"/>
      <c r="E48" s="1575"/>
      <c r="F48" s="1573"/>
      <c r="G48" s="1575"/>
      <c r="H48" s="1575"/>
      <c r="I48" s="1575"/>
      <c r="J48" s="1575"/>
      <c r="K48" s="1575"/>
    </row>
    <row r="49" spans="1:11" ht="12.95" customHeight="1" x14ac:dyDescent="0.2">
      <c r="A49" s="427" t="s">
        <v>58</v>
      </c>
      <c r="B49" s="429">
        <v>1423</v>
      </c>
      <c r="C49" s="1575"/>
      <c r="D49" s="1575"/>
      <c r="E49" s="1575"/>
      <c r="F49" s="1573"/>
      <c r="G49" s="1575"/>
      <c r="H49" s="1575"/>
      <c r="I49" s="1575"/>
      <c r="J49" s="1575"/>
      <c r="K49" s="1575"/>
    </row>
    <row r="50" spans="1:11" ht="12.95" customHeight="1" x14ac:dyDescent="0.2">
      <c r="A50" s="427" t="s">
        <v>59</v>
      </c>
      <c r="B50" s="429">
        <v>1424</v>
      </c>
      <c r="C50" s="1575"/>
      <c r="D50" s="1575"/>
      <c r="E50" s="1575"/>
      <c r="F50" s="1574"/>
      <c r="G50" s="1575"/>
      <c r="H50" s="1575"/>
      <c r="I50" s="1575"/>
      <c r="J50" s="1575"/>
      <c r="K50" s="1575"/>
    </row>
    <row r="51" spans="1:11" ht="12.95" customHeight="1" x14ac:dyDescent="0.2">
      <c r="A51" s="1266" t="s">
        <v>60</v>
      </c>
      <c r="B51" s="475">
        <v>1431</v>
      </c>
      <c r="C51" s="1575"/>
      <c r="D51" s="1575"/>
      <c r="E51" s="1575"/>
      <c r="F51" s="1573"/>
      <c r="G51" s="1575"/>
      <c r="H51" s="1575"/>
      <c r="I51" s="1575"/>
      <c r="J51" s="1575"/>
      <c r="K51" s="1575"/>
    </row>
    <row r="52" spans="1:11" ht="12.95" customHeight="1" x14ac:dyDescent="0.2">
      <c r="A52" s="1266" t="s">
        <v>1097</v>
      </c>
      <c r="B52" s="475">
        <v>1432</v>
      </c>
      <c r="C52" s="1575"/>
      <c r="D52" s="1575"/>
      <c r="E52" s="1575"/>
      <c r="F52" s="1573"/>
      <c r="G52" s="1575"/>
      <c r="H52" s="1575"/>
      <c r="I52" s="1575"/>
      <c r="J52" s="1575"/>
      <c r="K52" s="1575"/>
    </row>
    <row r="53" spans="1:11" ht="12.95" customHeight="1" x14ac:dyDescent="0.2">
      <c r="A53" s="1266" t="s">
        <v>61</v>
      </c>
      <c r="B53" s="475">
        <v>1433</v>
      </c>
      <c r="C53" s="1575"/>
      <c r="D53" s="1575"/>
      <c r="E53" s="1575"/>
      <c r="F53" s="1573"/>
      <c r="G53" s="1575"/>
      <c r="H53" s="1575"/>
      <c r="I53" s="1575"/>
      <c r="J53" s="1575"/>
      <c r="K53" s="1575"/>
    </row>
    <row r="54" spans="1:11" ht="12.95" customHeight="1" x14ac:dyDescent="0.2">
      <c r="A54" s="1266" t="s">
        <v>62</v>
      </c>
      <c r="B54" s="475">
        <v>1434</v>
      </c>
      <c r="C54" s="1575"/>
      <c r="D54" s="1575"/>
      <c r="E54" s="1575"/>
      <c r="F54" s="1574"/>
      <c r="G54" s="1575"/>
      <c r="H54" s="1575"/>
      <c r="I54" s="1575"/>
      <c r="J54" s="1575"/>
      <c r="K54" s="1575"/>
    </row>
    <row r="55" spans="1:11" ht="12.95" customHeight="1" x14ac:dyDescent="0.2">
      <c r="A55" s="1266" t="s">
        <v>63</v>
      </c>
      <c r="B55" s="475">
        <v>1441</v>
      </c>
      <c r="C55" s="1575"/>
      <c r="D55" s="1575"/>
      <c r="E55" s="1575"/>
      <c r="F55" s="1573"/>
      <c r="G55" s="1575"/>
      <c r="H55" s="1575"/>
      <c r="I55" s="1575"/>
      <c r="J55" s="1575"/>
      <c r="K55" s="1575"/>
    </row>
    <row r="56" spans="1:11" ht="12.95" customHeight="1" x14ac:dyDescent="0.2">
      <c r="A56" s="1266" t="s">
        <v>1098</v>
      </c>
      <c r="B56" s="475">
        <v>1442</v>
      </c>
      <c r="C56" s="1575"/>
      <c r="D56" s="1575"/>
      <c r="E56" s="1575"/>
      <c r="F56" s="1573"/>
      <c r="G56" s="1575"/>
      <c r="H56" s="1575"/>
      <c r="I56" s="1575"/>
      <c r="J56" s="1575"/>
      <c r="K56" s="1575"/>
    </row>
    <row r="57" spans="1:11" ht="12.95" customHeight="1" x14ac:dyDescent="0.2">
      <c r="A57" s="1266" t="s">
        <v>486</v>
      </c>
      <c r="B57" s="475">
        <v>1443</v>
      </c>
      <c r="C57" s="1575"/>
      <c r="D57" s="1575"/>
      <c r="E57" s="1575"/>
      <c r="F57" s="1573"/>
      <c r="G57" s="1575"/>
      <c r="H57" s="1575"/>
      <c r="I57" s="1575"/>
      <c r="J57" s="1575"/>
      <c r="K57" s="1575"/>
    </row>
    <row r="58" spans="1:11" ht="12.95" customHeight="1" x14ac:dyDescent="0.2">
      <c r="A58" s="1266" t="s">
        <v>65</v>
      </c>
      <c r="B58" s="475">
        <v>1444</v>
      </c>
      <c r="C58" s="1575"/>
      <c r="D58" s="1575"/>
      <c r="E58" s="1575"/>
      <c r="F58" s="1573"/>
      <c r="G58" s="1575"/>
      <c r="H58" s="1575"/>
      <c r="I58" s="1575"/>
      <c r="J58" s="1575"/>
      <c r="K58" s="1575"/>
    </row>
    <row r="59" spans="1:11" ht="12.95" customHeight="1" x14ac:dyDescent="0.2">
      <c r="A59" s="1266" t="s">
        <v>873</v>
      </c>
      <c r="B59" s="475">
        <v>1451</v>
      </c>
      <c r="C59" s="1575"/>
      <c r="D59" s="1575"/>
      <c r="E59" s="1575"/>
      <c r="F59" s="1573"/>
      <c r="G59" s="1575"/>
      <c r="H59" s="1575"/>
      <c r="I59" s="1575"/>
      <c r="J59" s="1575"/>
      <c r="K59" s="1575"/>
    </row>
    <row r="60" spans="1:11" ht="12.95" customHeight="1" x14ac:dyDescent="0.2">
      <c r="A60" s="1266" t="s">
        <v>1099</v>
      </c>
      <c r="B60" s="475">
        <v>1452</v>
      </c>
      <c r="C60" s="1575"/>
      <c r="D60" s="1575"/>
      <c r="E60" s="1575"/>
      <c r="F60" s="1573"/>
      <c r="G60" s="1575"/>
      <c r="H60" s="1575"/>
      <c r="I60" s="1575"/>
      <c r="J60" s="1575"/>
      <c r="K60" s="1575"/>
    </row>
    <row r="61" spans="1:11" ht="12.95" customHeight="1" x14ac:dyDescent="0.2">
      <c r="A61" s="479" t="s">
        <v>874</v>
      </c>
      <c r="B61" s="475">
        <v>1453</v>
      </c>
      <c r="C61" s="1575"/>
      <c r="D61" s="1575"/>
      <c r="E61" s="1575"/>
      <c r="F61" s="1573"/>
      <c r="G61" s="1575"/>
      <c r="H61" s="1575"/>
      <c r="I61" s="1575"/>
      <c r="J61" s="1575"/>
      <c r="K61" s="1575"/>
    </row>
    <row r="62" spans="1:11" ht="12.95" customHeight="1" x14ac:dyDescent="0.2">
      <c r="A62" s="1267" t="s">
        <v>875</v>
      </c>
      <c r="B62" s="476">
        <v>1454</v>
      </c>
      <c r="C62" s="1575"/>
      <c r="D62" s="1575"/>
      <c r="E62" s="1575"/>
      <c r="F62" s="1574"/>
      <c r="G62" s="1575"/>
      <c r="H62" s="1575"/>
      <c r="I62" s="1575"/>
      <c r="J62" s="1575"/>
      <c r="K62" s="1575"/>
    </row>
    <row r="63" spans="1:11" ht="12.9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95" customHeight="1" x14ac:dyDescent="0.2">
      <c r="A65" s="427" t="s">
        <v>543</v>
      </c>
      <c r="B65" s="429">
        <v>1510</v>
      </c>
      <c r="C65" s="1573">
        <v>10862</v>
      </c>
      <c r="D65" s="1573">
        <v>1674</v>
      </c>
      <c r="E65" s="1573"/>
      <c r="F65" s="1574">
        <v>516</v>
      </c>
      <c r="G65" s="1573"/>
      <c r="H65" s="1573"/>
      <c r="I65" s="1573"/>
      <c r="J65" s="1574"/>
      <c r="K65" s="1573"/>
    </row>
    <row r="66" spans="1:11" ht="12.95" customHeight="1" x14ac:dyDescent="0.2">
      <c r="A66" s="427" t="s">
        <v>674</v>
      </c>
      <c r="B66" s="429">
        <v>1520</v>
      </c>
      <c r="C66" s="1573"/>
      <c r="D66" s="1573"/>
      <c r="E66" s="1573"/>
      <c r="F66" s="1573"/>
      <c r="G66" s="1573"/>
      <c r="H66" s="1573"/>
      <c r="I66" s="1573"/>
      <c r="J66" s="1574"/>
      <c r="K66" s="1573"/>
    </row>
    <row r="67" spans="1:11" ht="12.95" customHeight="1" thickBot="1" x14ac:dyDescent="0.25">
      <c r="A67" s="1406" t="s">
        <v>483</v>
      </c>
      <c r="B67" s="1407"/>
      <c r="C67" s="1594">
        <f>SUM(C65:C66)</f>
        <v>10862</v>
      </c>
      <c r="D67" s="1594">
        <f t="shared" ref="D67:K67" si="2">SUM(D65:D66)</f>
        <v>1674</v>
      </c>
      <c r="E67" s="1594">
        <f t="shared" si="2"/>
        <v>0</v>
      </c>
      <c r="F67" s="1594">
        <f t="shared" si="2"/>
        <v>516</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95" customHeight="1" x14ac:dyDescent="0.2">
      <c r="A69" s="427" t="s">
        <v>661</v>
      </c>
      <c r="B69" s="429">
        <v>1611</v>
      </c>
      <c r="C69" s="1573"/>
      <c r="D69" s="1575"/>
      <c r="E69" s="1575"/>
      <c r="F69" s="1575"/>
      <c r="G69" s="1575"/>
      <c r="H69" s="1575"/>
      <c r="I69" s="1575"/>
      <c r="J69" s="1575"/>
      <c r="K69" s="1575"/>
    </row>
    <row r="70" spans="1:11" ht="12.95" customHeight="1" x14ac:dyDescent="0.2">
      <c r="A70" s="427" t="s">
        <v>990</v>
      </c>
      <c r="B70" s="429">
        <v>1612</v>
      </c>
      <c r="C70" s="1632"/>
      <c r="D70" s="1575"/>
      <c r="E70" s="1575"/>
      <c r="F70" s="1575"/>
      <c r="G70" s="1575"/>
      <c r="H70" s="1575"/>
      <c r="I70" s="1575"/>
      <c r="J70" s="1575"/>
      <c r="K70" s="1575"/>
    </row>
    <row r="71" spans="1:11" ht="12.95" customHeight="1" x14ac:dyDescent="0.2">
      <c r="A71" s="427" t="s">
        <v>271</v>
      </c>
      <c r="B71" s="429">
        <v>1613</v>
      </c>
      <c r="C71" s="1632"/>
      <c r="D71" s="1575"/>
      <c r="E71" s="1575"/>
      <c r="F71" s="1575"/>
      <c r="G71" s="1575"/>
      <c r="H71" s="1575"/>
      <c r="I71" s="1575"/>
      <c r="J71" s="1575"/>
      <c r="K71" s="1575"/>
    </row>
    <row r="72" spans="1:11" ht="12.95" customHeight="1" x14ac:dyDescent="0.2">
      <c r="A72" s="427" t="s">
        <v>24</v>
      </c>
      <c r="B72" s="429">
        <v>1614</v>
      </c>
      <c r="C72" s="1632"/>
      <c r="D72" s="1575"/>
      <c r="E72" s="1575"/>
      <c r="F72" s="1575"/>
      <c r="G72" s="1575"/>
      <c r="H72" s="1575"/>
      <c r="I72" s="1575"/>
      <c r="J72" s="1575"/>
      <c r="K72" s="1575"/>
    </row>
    <row r="73" spans="1:11" ht="12.95" customHeight="1" x14ac:dyDescent="0.2">
      <c r="A73" s="427" t="s">
        <v>991</v>
      </c>
      <c r="B73" s="429">
        <v>1620</v>
      </c>
      <c r="C73" s="1632"/>
      <c r="D73" s="1575"/>
      <c r="E73" s="1575"/>
      <c r="F73" s="1575"/>
      <c r="G73" s="1575"/>
      <c r="H73" s="1575"/>
      <c r="I73" s="1575"/>
      <c r="J73" s="1575"/>
      <c r="K73" s="1575"/>
    </row>
    <row r="74" spans="1:11" ht="12.95" customHeight="1" x14ac:dyDescent="0.2">
      <c r="A74" s="427" t="s">
        <v>25</v>
      </c>
      <c r="B74" s="429">
        <v>1690</v>
      </c>
      <c r="C74" s="1632">
        <v>640</v>
      </c>
      <c r="D74" s="1575"/>
      <c r="E74" s="1575"/>
      <c r="F74" s="1575"/>
      <c r="G74" s="1575"/>
      <c r="H74" s="1575"/>
      <c r="I74" s="1575"/>
      <c r="J74" s="1575"/>
      <c r="K74" s="1575"/>
    </row>
    <row r="75" spans="1:11" ht="12.95" customHeight="1" thickBot="1" x14ac:dyDescent="0.25">
      <c r="A75" s="1406" t="s">
        <v>544</v>
      </c>
      <c r="B75" s="1407"/>
      <c r="C75" s="1594">
        <f>SUM(C69:C74)</f>
        <v>640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95" customHeight="1" x14ac:dyDescent="0.2">
      <c r="A77" s="427" t="s">
        <v>545</v>
      </c>
      <c r="B77" s="429">
        <v>1711</v>
      </c>
      <c r="C77" s="1613"/>
      <c r="D77" s="1573"/>
      <c r="E77" s="1575"/>
      <c r="F77" s="1575"/>
      <c r="G77" s="1575"/>
      <c r="H77" s="1575"/>
      <c r="I77" s="1575"/>
      <c r="J77" s="1575"/>
      <c r="K77" s="1575"/>
    </row>
    <row r="78" spans="1:11" ht="12.95" customHeight="1" x14ac:dyDescent="0.2">
      <c r="A78" s="427" t="s">
        <v>76</v>
      </c>
      <c r="B78" s="429">
        <v>1719</v>
      </c>
      <c r="C78" s="1632"/>
      <c r="D78" s="1573"/>
      <c r="E78" s="1575"/>
      <c r="F78" s="1575"/>
      <c r="G78" s="1575"/>
      <c r="H78" s="1575"/>
      <c r="I78" s="1575"/>
      <c r="J78" s="1575"/>
      <c r="K78" s="1575"/>
    </row>
    <row r="79" spans="1:11" ht="12.95" customHeight="1" x14ac:dyDescent="0.2">
      <c r="A79" s="427" t="s">
        <v>546</v>
      </c>
      <c r="B79" s="429">
        <v>1720</v>
      </c>
      <c r="C79" s="1632">
        <v>12337</v>
      </c>
      <c r="D79" s="1573"/>
      <c r="E79" s="1575"/>
      <c r="F79" s="1575"/>
      <c r="G79" s="1575"/>
      <c r="H79" s="1575"/>
      <c r="I79" s="1575"/>
      <c r="J79" s="1575"/>
      <c r="K79" s="1575"/>
    </row>
    <row r="80" spans="1:11" ht="12.95" customHeight="1" x14ac:dyDescent="0.2">
      <c r="A80" s="427" t="s">
        <v>547</v>
      </c>
      <c r="B80" s="429">
        <v>1730</v>
      </c>
      <c r="C80" s="1632"/>
      <c r="D80" s="1573"/>
      <c r="E80" s="1575"/>
      <c r="F80" s="1575"/>
      <c r="G80" s="1575"/>
      <c r="H80" s="1575"/>
      <c r="I80" s="1575"/>
      <c r="J80" s="1575"/>
      <c r="K80" s="1575"/>
    </row>
    <row r="81" spans="1:11" ht="12.95" customHeight="1" x14ac:dyDescent="0.2">
      <c r="A81" s="427" t="s">
        <v>26</v>
      </c>
      <c r="B81" s="429">
        <v>1790</v>
      </c>
      <c r="C81" s="1632"/>
      <c r="D81" s="1573"/>
      <c r="E81" s="1575"/>
      <c r="F81" s="1575"/>
      <c r="G81" s="1575"/>
      <c r="H81" s="1575"/>
      <c r="I81" s="1575"/>
      <c r="J81" s="1575"/>
      <c r="K81" s="1575"/>
    </row>
    <row r="82" spans="1:11" ht="12.95" customHeight="1" thickBot="1" x14ac:dyDescent="0.25">
      <c r="A82" s="1406" t="s">
        <v>239</v>
      </c>
      <c r="B82" s="1407"/>
      <c r="C82" s="1633">
        <f>SUM(C77:C81)</f>
        <v>12337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95" customHeight="1" x14ac:dyDescent="0.2">
      <c r="A84" s="427" t="s">
        <v>548</v>
      </c>
      <c r="B84" s="429">
        <v>1811</v>
      </c>
      <c r="C84" s="1573"/>
      <c r="D84" s="1575"/>
      <c r="E84" s="1575"/>
      <c r="F84" s="1575"/>
      <c r="G84" s="1575"/>
      <c r="H84" s="1575"/>
      <c r="I84" s="1575"/>
      <c r="J84" s="1575"/>
      <c r="K84" s="1575"/>
    </row>
    <row r="85" spans="1:11" ht="12.95" customHeight="1" x14ac:dyDescent="0.2">
      <c r="A85" s="427" t="s">
        <v>549</v>
      </c>
      <c r="B85" s="429">
        <v>1812</v>
      </c>
      <c r="C85" s="1632"/>
      <c r="D85" s="1575"/>
      <c r="E85" s="1575"/>
      <c r="F85" s="1575"/>
      <c r="G85" s="1575"/>
      <c r="H85" s="1575"/>
      <c r="I85" s="1575"/>
      <c r="J85" s="1575"/>
      <c r="K85" s="1575"/>
    </row>
    <row r="86" spans="1:11" ht="12.95" customHeight="1" x14ac:dyDescent="0.2">
      <c r="A86" s="427" t="s">
        <v>992</v>
      </c>
      <c r="B86" s="429">
        <v>1813</v>
      </c>
      <c r="C86" s="1632"/>
      <c r="D86" s="1575"/>
      <c r="E86" s="1575"/>
      <c r="F86" s="1575"/>
      <c r="G86" s="1575"/>
      <c r="H86" s="1575"/>
      <c r="I86" s="1575"/>
      <c r="J86" s="1575"/>
      <c r="K86" s="1575"/>
    </row>
    <row r="87" spans="1:11" ht="12.95" customHeight="1" x14ac:dyDescent="0.2">
      <c r="A87" s="427" t="s">
        <v>77</v>
      </c>
      <c r="B87" s="429">
        <v>1819</v>
      </c>
      <c r="C87" s="1632"/>
      <c r="D87" s="1575"/>
      <c r="E87" s="1575"/>
      <c r="F87" s="1575"/>
      <c r="G87" s="1575"/>
      <c r="H87" s="1575"/>
      <c r="I87" s="1575"/>
      <c r="J87" s="1575"/>
      <c r="K87" s="1575"/>
    </row>
    <row r="88" spans="1:11" ht="12.95" customHeight="1" x14ac:dyDescent="0.2">
      <c r="A88" s="427" t="s">
        <v>550</v>
      </c>
      <c r="B88" s="429">
        <v>1821</v>
      </c>
      <c r="C88" s="1632"/>
      <c r="D88" s="1575"/>
      <c r="E88" s="1575"/>
      <c r="F88" s="1575"/>
      <c r="G88" s="1575"/>
      <c r="H88" s="1575"/>
      <c r="I88" s="1575"/>
      <c r="J88" s="1575"/>
      <c r="K88" s="1575"/>
    </row>
    <row r="89" spans="1:11" ht="12.95" customHeight="1" x14ac:dyDescent="0.2">
      <c r="A89" s="427" t="s">
        <v>709</v>
      </c>
      <c r="B89" s="429">
        <v>1822</v>
      </c>
      <c r="C89" s="1632"/>
      <c r="D89" s="1575"/>
      <c r="E89" s="1575"/>
      <c r="F89" s="1575"/>
      <c r="G89" s="1575"/>
      <c r="H89" s="1575"/>
      <c r="I89" s="1575"/>
      <c r="J89" s="1575"/>
      <c r="K89" s="1575"/>
    </row>
    <row r="90" spans="1:11" ht="12.95" customHeight="1" x14ac:dyDescent="0.2">
      <c r="A90" s="427" t="s">
        <v>138</v>
      </c>
      <c r="B90" s="429">
        <v>1823</v>
      </c>
      <c r="C90" s="1632"/>
      <c r="D90" s="1575"/>
      <c r="E90" s="1575"/>
      <c r="F90" s="1575"/>
      <c r="G90" s="1575"/>
      <c r="H90" s="1575"/>
      <c r="I90" s="1575"/>
      <c r="J90" s="1575"/>
      <c r="K90" s="1575"/>
    </row>
    <row r="91" spans="1:11" ht="12.95" customHeight="1" x14ac:dyDescent="0.2">
      <c r="A91" s="427" t="s">
        <v>27</v>
      </c>
      <c r="B91" s="429">
        <v>1829</v>
      </c>
      <c r="C91" s="1632"/>
      <c r="D91" s="1575"/>
      <c r="E91" s="1575"/>
      <c r="F91" s="1575"/>
      <c r="G91" s="1575"/>
      <c r="H91" s="1575"/>
      <c r="I91" s="1575"/>
      <c r="J91" s="1575"/>
      <c r="K91" s="1575"/>
    </row>
    <row r="92" spans="1:11" ht="12.95" customHeight="1" x14ac:dyDescent="0.2">
      <c r="A92" s="427" t="s">
        <v>757</v>
      </c>
      <c r="B92" s="429">
        <v>1890</v>
      </c>
      <c r="C92" s="1632"/>
      <c r="D92" s="1575"/>
      <c r="E92" s="1575"/>
      <c r="F92" s="1575"/>
      <c r="G92" s="1575"/>
      <c r="H92" s="1575"/>
      <c r="I92" s="1575"/>
      <c r="J92" s="1575"/>
      <c r="K92" s="1575"/>
    </row>
    <row r="93" spans="1:11" ht="12.9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95" customHeight="1" x14ac:dyDescent="0.2">
      <c r="A95" s="427" t="s">
        <v>1055</v>
      </c>
      <c r="B95" s="429">
        <v>1910</v>
      </c>
      <c r="C95" s="1573"/>
      <c r="D95" s="1632">
        <v>18750</v>
      </c>
      <c r="E95" s="1617"/>
      <c r="F95" s="1617"/>
      <c r="G95" s="1617"/>
      <c r="H95" s="1617"/>
      <c r="I95" s="1617"/>
      <c r="J95" s="1617"/>
      <c r="K95" s="1617"/>
    </row>
    <row r="96" spans="1:11" ht="12.95" customHeight="1" x14ac:dyDescent="0.2">
      <c r="A96" s="427" t="s">
        <v>388</v>
      </c>
      <c r="B96" s="429">
        <v>1920</v>
      </c>
      <c r="C96" s="1632">
        <v>137540</v>
      </c>
      <c r="D96" s="1632"/>
      <c r="E96" s="1584"/>
      <c r="F96" s="1583"/>
      <c r="G96" s="1583"/>
      <c r="H96" s="1583"/>
      <c r="I96" s="1583"/>
      <c r="J96" s="1583"/>
      <c r="K96" s="1583"/>
    </row>
    <row r="97" spans="1:12" ht="12.95" customHeight="1" x14ac:dyDescent="0.2">
      <c r="A97" s="1265" t="s">
        <v>242</v>
      </c>
      <c r="B97" s="477">
        <v>1930</v>
      </c>
      <c r="C97" s="1598"/>
      <c r="D97" s="1574"/>
      <c r="E97" s="1579"/>
      <c r="F97" s="1574"/>
      <c r="G97" s="1574"/>
      <c r="H97" s="1574"/>
      <c r="I97" s="1574"/>
      <c r="J97" s="1574"/>
      <c r="K97" s="1574"/>
    </row>
    <row r="98" spans="1:12" ht="12.95" customHeight="1" x14ac:dyDescent="0.2">
      <c r="A98" s="427" t="s">
        <v>188</v>
      </c>
      <c r="B98" s="429">
        <v>1940</v>
      </c>
      <c r="C98" s="1598"/>
      <c r="D98" s="1573"/>
      <c r="E98" s="1612"/>
      <c r="F98" s="1573"/>
      <c r="G98" s="1612"/>
      <c r="H98" s="1612"/>
      <c r="I98" s="1610"/>
      <c r="J98" s="1612"/>
      <c r="K98" s="1612"/>
    </row>
    <row r="99" spans="1:12" ht="12.95" customHeight="1" x14ac:dyDescent="0.2">
      <c r="A99" s="427" t="s">
        <v>816</v>
      </c>
      <c r="B99" s="429">
        <v>1950</v>
      </c>
      <c r="C99" s="1598">
        <v>209</v>
      </c>
      <c r="D99" s="1573"/>
      <c r="E99" s="1573"/>
      <c r="F99" s="1573"/>
      <c r="G99" s="1573"/>
      <c r="H99" s="1573"/>
      <c r="I99" s="1575"/>
      <c r="J99" s="1574"/>
      <c r="K99" s="1573"/>
    </row>
    <row r="100" spans="1:12" ht="12.95" customHeight="1" x14ac:dyDescent="0.2">
      <c r="A100" s="427" t="s">
        <v>243</v>
      </c>
      <c r="B100" s="429">
        <v>1960</v>
      </c>
      <c r="C100" s="1598"/>
      <c r="D100" s="1598"/>
      <c r="E100" s="1598"/>
      <c r="F100" s="1598"/>
      <c r="G100" s="1598"/>
      <c r="H100" s="1598"/>
      <c r="I100" s="1574"/>
      <c r="J100" s="1598"/>
      <c r="K100" s="1574"/>
    </row>
    <row r="101" spans="1:12" ht="12.95" customHeight="1" x14ac:dyDescent="0.2">
      <c r="A101" s="427" t="s">
        <v>244</v>
      </c>
      <c r="B101" s="429">
        <v>1970</v>
      </c>
      <c r="C101" s="1598"/>
      <c r="D101" s="1623"/>
      <c r="E101" s="1585"/>
      <c r="F101" s="1623"/>
      <c r="G101" s="1580"/>
      <c r="H101" s="1623"/>
      <c r="I101" s="1575"/>
      <c r="J101" s="1580"/>
      <c r="K101" s="1580"/>
    </row>
    <row r="102" spans="1:12" ht="12.95" customHeight="1" x14ac:dyDescent="0.2">
      <c r="A102" s="427" t="s">
        <v>245</v>
      </c>
      <c r="B102" s="429">
        <v>1980</v>
      </c>
      <c r="C102" s="1598"/>
      <c r="D102" s="1598"/>
      <c r="E102" s="1598"/>
      <c r="F102" s="1598"/>
      <c r="G102" s="1598"/>
      <c r="H102" s="1598"/>
      <c r="I102" s="1574"/>
      <c r="J102" s="1598"/>
      <c r="K102" s="1574"/>
    </row>
    <row r="103" spans="1:12" ht="12.95" customHeight="1" x14ac:dyDescent="0.2">
      <c r="A103" s="427" t="s">
        <v>342</v>
      </c>
      <c r="B103" s="429">
        <v>1983</v>
      </c>
      <c r="C103" s="1575"/>
      <c r="D103" s="1575"/>
      <c r="E103" s="1639"/>
      <c r="F103" s="1575"/>
      <c r="G103" s="1575"/>
      <c r="H103" s="1598"/>
      <c r="I103" s="1575"/>
      <c r="J103" s="1610"/>
      <c r="K103" s="1610"/>
    </row>
    <row r="104" spans="1:12" ht="12.95" customHeight="1" x14ac:dyDescent="0.2">
      <c r="A104" s="427" t="s">
        <v>825</v>
      </c>
      <c r="B104" s="429">
        <v>1991</v>
      </c>
      <c r="C104" s="1598"/>
      <c r="D104" s="1573">
        <v>176583</v>
      </c>
      <c r="E104" s="1586"/>
      <c r="F104" s="1574"/>
      <c r="G104" s="1574"/>
      <c r="H104" s="1573"/>
      <c r="I104" s="1575"/>
      <c r="J104" s="1575"/>
      <c r="K104" s="1575"/>
    </row>
    <row r="105" spans="1:12" ht="12.95" customHeight="1" x14ac:dyDescent="0.2">
      <c r="A105" s="427" t="s">
        <v>817</v>
      </c>
      <c r="B105" s="429">
        <v>1992</v>
      </c>
      <c r="C105" s="1573">
        <v>35776</v>
      </c>
      <c r="D105" s="1640"/>
      <c r="E105" s="1575"/>
      <c r="F105" s="1575"/>
      <c r="G105" s="1575"/>
      <c r="H105" s="1610"/>
      <c r="I105" s="1575"/>
      <c r="J105" s="1575"/>
      <c r="K105" s="1575"/>
    </row>
    <row r="106" spans="1:12" ht="12.95" customHeight="1" x14ac:dyDescent="0.2">
      <c r="A106" s="427" t="s">
        <v>1413</v>
      </c>
      <c r="B106" s="429">
        <v>1993</v>
      </c>
      <c r="C106" s="1573"/>
      <c r="D106" s="1598"/>
      <c r="E106" s="1574"/>
      <c r="F106" s="1574"/>
      <c r="G106" s="1574"/>
      <c r="H106" s="1574"/>
      <c r="I106" s="1617"/>
      <c r="J106" s="1574"/>
      <c r="K106" s="1574"/>
    </row>
    <row r="107" spans="1:12" ht="12.95" customHeight="1" x14ac:dyDescent="0.2">
      <c r="A107" s="427" t="s">
        <v>78</v>
      </c>
      <c r="B107" s="429">
        <v>1999</v>
      </c>
      <c r="C107" s="1632">
        <v>22599</v>
      </c>
      <c r="D107" s="1573"/>
      <c r="E107" s="1573"/>
      <c r="F107" s="1573"/>
      <c r="G107" s="1573"/>
      <c r="H107" s="1573"/>
      <c r="I107" s="1573"/>
      <c r="J107" s="1574"/>
      <c r="K107" s="1573"/>
    </row>
    <row r="108" spans="1:12" ht="12.95" customHeight="1" thickBot="1" x14ac:dyDescent="0.25">
      <c r="A108" s="1406" t="s">
        <v>484</v>
      </c>
      <c r="B108" s="1408"/>
      <c r="C108" s="1633">
        <f>SUM(C95:C107)</f>
        <v>196124</v>
      </c>
      <c r="D108" s="1633">
        <f t="shared" ref="D108:K108" si="3">SUM(D95:D107)</f>
        <v>195333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809745</v>
      </c>
      <c r="D109" s="1641">
        <f t="shared" si="4"/>
        <v>197007</v>
      </c>
      <c r="E109" s="1641">
        <f t="shared" si="4"/>
        <v>0</v>
      </c>
      <c r="F109" s="1641">
        <f t="shared" si="4"/>
        <v>516</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95" customHeight="1" x14ac:dyDescent="0.2">
      <c r="A111" s="436" t="s">
        <v>818</v>
      </c>
      <c r="B111" s="435">
        <v>2100</v>
      </c>
      <c r="C111" s="1613"/>
      <c r="D111" s="1586"/>
      <c r="E111" s="1640"/>
      <c r="F111" s="1586"/>
      <c r="G111" s="1586"/>
      <c r="H111" s="1640"/>
      <c r="I111" s="1575"/>
      <c r="J111" s="1575"/>
      <c r="K111" s="1575"/>
    </row>
    <row r="112" spans="1:12" ht="12.95" customHeight="1" x14ac:dyDescent="0.2">
      <c r="A112" s="427" t="s">
        <v>819</v>
      </c>
      <c r="B112" s="429">
        <v>2200</v>
      </c>
      <c r="C112" s="1632"/>
      <c r="D112" s="1573"/>
      <c r="E112" s="1640"/>
      <c r="F112" s="1573"/>
      <c r="G112" s="1573"/>
      <c r="H112" s="1640"/>
      <c r="I112" s="1575"/>
      <c r="J112" s="1575"/>
      <c r="K112" s="1575"/>
      <c r="L112" s="473"/>
    </row>
    <row r="113" spans="1:11" ht="12.9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95" customHeight="1" x14ac:dyDescent="0.2">
      <c r="A117" s="427" t="s">
        <v>1648</v>
      </c>
      <c r="B117" s="478">
        <v>3001</v>
      </c>
      <c r="C117" s="1613"/>
      <c r="D117" s="1586"/>
      <c r="E117" s="1573"/>
      <c r="F117" s="1586"/>
      <c r="G117" s="1586"/>
      <c r="H117" s="1573"/>
      <c r="I117" s="1575"/>
      <c r="J117" s="1574"/>
      <c r="K117" s="1573"/>
    </row>
    <row r="118" spans="1:11" ht="12.95" customHeight="1" x14ac:dyDescent="0.2">
      <c r="A118" s="427" t="s">
        <v>1776</v>
      </c>
      <c r="B118" s="478">
        <v>3002</v>
      </c>
      <c r="C118" s="1632"/>
      <c r="D118" s="1573"/>
      <c r="E118" s="1573"/>
      <c r="F118" s="1573"/>
      <c r="G118" s="1573"/>
      <c r="H118" s="1573"/>
      <c r="I118" s="1575"/>
      <c r="J118" s="1574"/>
      <c r="K118" s="1573"/>
    </row>
    <row r="119" spans="1:11" ht="12.95" customHeight="1" x14ac:dyDescent="0.2">
      <c r="A119" s="427" t="s">
        <v>1777</v>
      </c>
      <c r="B119" s="478">
        <v>3005</v>
      </c>
      <c r="C119" s="1632"/>
      <c r="D119" s="1573"/>
      <c r="E119" s="1573"/>
      <c r="F119" s="1573"/>
      <c r="G119" s="1573"/>
      <c r="H119" s="1573"/>
      <c r="I119" s="1575"/>
      <c r="J119" s="1574"/>
      <c r="K119" s="1573"/>
    </row>
    <row r="120" spans="1:11" ht="12.9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95" customHeight="1" x14ac:dyDescent="0.2">
      <c r="A125" s="427" t="s">
        <v>861</v>
      </c>
      <c r="B125" s="481">
        <v>3100</v>
      </c>
      <c r="C125" s="1586"/>
      <c r="D125" s="1640"/>
      <c r="E125" s="1575"/>
      <c r="F125" s="1631"/>
      <c r="G125" s="1575"/>
      <c r="H125" s="1575"/>
      <c r="I125" s="1575"/>
      <c r="J125" s="1575"/>
      <c r="K125" s="1575"/>
    </row>
    <row r="126" spans="1:11" ht="12.95" customHeight="1" x14ac:dyDescent="0.2">
      <c r="A126" s="427" t="s">
        <v>1429</v>
      </c>
      <c r="B126" s="478">
        <v>3105</v>
      </c>
      <c r="C126" s="1573"/>
      <c r="D126" s="1640"/>
      <c r="E126" s="1575"/>
      <c r="F126" s="1573"/>
      <c r="G126" s="1575"/>
      <c r="H126" s="1575"/>
      <c r="I126" s="1575"/>
      <c r="J126" s="1575"/>
      <c r="K126" s="1575"/>
    </row>
    <row r="127" spans="1:11" ht="12.95" customHeight="1" x14ac:dyDescent="0.2">
      <c r="A127" s="427" t="s">
        <v>862</v>
      </c>
      <c r="B127" s="478">
        <v>3110</v>
      </c>
      <c r="C127" s="1632"/>
      <c r="D127" s="1573"/>
      <c r="E127" s="1575"/>
      <c r="F127" s="1573"/>
      <c r="G127" s="1575"/>
      <c r="H127" s="1575"/>
      <c r="I127" s="1575"/>
      <c r="J127" s="1575"/>
      <c r="K127" s="1575"/>
    </row>
    <row r="128" spans="1:11" ht="12.95" customHeight="1" x14ac:dyDescent="0.2">
      <c r="A128" s="427" t="s">
        <v>105</v>
      </c>
      <c r="B128" s="478">
        <v>3120</v>
      </c>
      <c r="C128" s="1573"/>
      <c r="D128" s="1640"/>
      <c r="E128" s="1575"/>
      <c r="F128" s="1573"/>
      <c r="G128" s="1575"/>
      <c r="H128" s="1575"/>
      <c r="I128" s="1575"/>
      <c r="J128" s="1575"/>
      <c r="K128" s="1575"/>
    </row>
    <row r="129" spans="1:11" ht="12.95" customHeight="1" x14ac:dyDescent="0.2">
      <c r="A129" s="427" t="s">
        <v>1430</v>
      </c>
      <c r="B129" s="478">
        <v>3130</v>
      </c>
      <c r="C129" s="1573"/>
      <c r="D129" s="1640"/>
      <c r="E129" s="1575"/>
      <c r="F129" s="1573"/>
      <c r="G129" s="1575"/>
      <c r="H129" s="1575"/>
      <c r="I129" s="1575"/>
      <c r="J129" s="1575"/>
      <c r="K129" s="1575"/>
    </row>
    <row r="130" spans="1:11" ht="12.95" customHeight="1" x14ac:dyDescent="0.2">
      <c r="A130" s="427" t="s">
        <v>136</v>
      </c>
      <c r="B130" s="478">
        <v>3145</v>
      </c>
      <c r="C130" s="1573"/>
      <c r="D130" s="1640"/>
      <c r="E130" s="1575"/>
      <c r="F130" s="1573"/>
      <c r="G130" s="1575"/>
      <c r="H130" s="1575"/>
      <c r="I130" s="1575"/>
      <c r="J130" s="1575"/>
      <c r="K130" s="1575"/>
    </row>
    <row r="131" spans="1:11" ht="12.95" customHeight="1" x14ac:dyDescent="0.2">
      <c r="A131" s="427" t="s">
        <v>66</v>
      </c>
      <c r="B131" s="478">
        <v>3199</v>
      </c>
      <c r="C131" s="1632"/>
      <c r="D131" s="1574"/>
      <c r="E131" s="1575"/>
      <c r="F131" s="1573"/>
      <c r="G131" s="1575"/>
      <c r="H131" s="1575"/>
      <c r="I131" s="1575"/>
      <c r="J131" s="1575"/>
      <c r="K131" s="1575"/>
    </row>
    <row r="132" spans="1:11" ht="12.9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95" customHeight="1" x14ac:dyDescent="0.2">
      <c r="A135" s="427" t="s">
        <v>664</v>
      </c>
      <c r="B135" s="478">
        <v>3220</v>
      </c>
      <c r="C135" s="1632">
        <v>718439</v>
      </c>
      <c r="D135" s="1573"/>
      <c r="E135" s="1640"/>
      <c r="F135" s="1575"/>
      <c r="G135" s="1574"/>
      <c r="H135" s="1575"/>
      <c r="I135" s="1575"/>
      <c r="J135" s="1575"/>
      <c r="K135" s="1575"/>
    </row>
    <row r="136" spans="1:11" ht="12.95" customHeight="1" x14ac:dyDescent="0.2">
      <c r="A136" s="427" t="s">
        <v>247</v>
      </c>
      <c r="B136" s="478">
        <v>3225</v>
      </c>
      <c r="C136" s="1632"/>
      <c r="D136" s="1573"/>
      <c r="E136" s="1640"/>
      <c r="F136" s="1575"/>
      <c r="G136" s="1574"/>
      <c r="H136" s="1575"/>
      <c r="I136" s="1575"/>
      <c r="J136" s="1575"/>
      <c r="K136" s="1575"/>
    </row>
    <row r="137" spans="1:11" ht="12.95" customHeight="1" x14ac:dyDescent="0.2">
      <c r="A137" s="427" t="s">
        <v>596</v>
      </c>
      <c r="B137" s="478">
        <v>3235</v>
      </c>
      <c r="C137" s="1598"/>
      <c r="D137" s="1574"/>
      <c r="E137" s="1640"/>
      <c r="F137" s="1575"/>
      <c r="G137" s="1574"/>
      <c r="H137" s="1575"/>
      <c r="I137" s="1575"/>
      <c r="J137" s="1575"/>
      <c r="K137" s="1575"/>
    </row>
    <row r="138" spans="1:11" ht="12.95" customHeight="1" x14ac:dyDescent="0.2">
      <c r="A138" s="427" t="s">
        <v>597</v>
      </c>
      <c r="B138" s="478">
        <v>3240</v>
      </c>
      <c r="C138" s="1598"/>
      <c r="D138" s="1574"/>
      <c r="E138" s="1640"/>
      <c r="F138" s="1575"/>
      <c r="G138" s="1574"/>
      <c r="H138" s="1575"/>
      <c r="I138" s="1575"/>
      <c r="J138" s="1575"/>
      <c r="K138" s="1575"/>
    </row>
    <row r="139" spans="1:11" ht="12.95" customHeight="1" x14ac:dyDescent="0.2">
      <c r="A139" s="427" t="s">
        <v>598</v>
      </c>
      <c r="B139" s="478">
        <v>3270</v>
      </c>
      <c r="C139" s="1598"/>
      <c r="D139" s="1574"/>
      <c r="E139" s="1640"/>
      <c r="F139" s="1575"/>
      <c r="G139" s="1574"/>
      <c r="H139" s="1575"/>
      <c r="I139" s="1575"/>
      <c r="J139" s="1575"/>
      <c r="K139" s="1575"/>
    </row>
    <row r="140" spans="1:11" ht="12.95" customHeight="1" x14ac:dyDescent="0.2">
      <c r="A140" s="427" t="s">
        <v>67</v>
      </c>
      <c r="B140" s="478">
        <v>3299</v>
      </c>
      <c r="C140" s="1632"/>
      <c r="D140" s="1573"/>
      <c r="E140" s="1640"/>
      <c r="F140" s="1582"/>
      <c r="G140" s="1574"/>
      <c r="H140" s="1575"/>
      <c r="I140" s="1575"/>
      <c r="J140" s="1575"/>
      <c r="K140" s="1575"/>
    </row>
    <row r="141" spans="1:11" ht="12.95" customHeight="1" thickBot="1" x14ac:dyDescent="0.25">
      <c r="A141" s="1406" t="s">
        <v>599</v>
      </c>
      <c r="B141" s="1414"/>
      <c r="C141" s="1633">
        <f>SUM(C134:C140)</f>
        <v>718439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95" customHeight="1" x14ac:dyDescent="0.2">
      <c r="A143" s="427" t="s">
        <v>600</v>
      </c>
      <c r="B143" s="478">
        <v>3305</v>
      </c>
      <c r="C143" s="1573"/>
      <c r="D143" s="1575"/>
      <c r="E143" s="1640"/>
      <c r="F143" s="1575"/>
      <c r="G143" s="1573"/>
      <c r="H143" s="1575"/>
      <c r="I143" s="1575"/>
      <c r="J143" s="1575"/>
      <c r="K143" s="1575"/>
    </row>
    <row r="144" spans="1:11" ht="12.9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95" customHeight="1" thickTop="1" x14ac:dyDescent="0.2">
      <c r="A146" s="1268" t="s">
        <v>1047</v>
      </c>
      <c r="B146" s="482">
        <v>3360</v>
      </c>
      <c r="C146" s="1646"/>
      <c r="D146" s="1647"/>
      <c r="E146" s="1609"/>
      <c r="F146" s="1575"/>
      <c r="G146" s="1648"/>
      <c r="H146" s="1575"/>
      <c r="I146" s="1575"/>
      <c r="J146" s="1575"/>
      <c r="K146" s="1575"/>
    </row>
    <row r="147" spans="1:11" ht="12.95" customHeight="1" thickBot="1" x14ac:dyDescent="0.25">
      <c r="A147" s="1269" t="s">
        <v>916</v>
      </c>
      <c r="B147" s="483">
        <v>3365</v>
      </c>
      <c r="C147" s="1649"/>
      <c r="D147" s="1628"/>
      <c r="E147" s="1640"/>
      <c r="F147" s="1575"/>
      <c r="G147" s="1628"/>
      <c r="H147" s="1575"/>
      <c r="I147" s="1575"/>
      <c r="J147" s="1575"/>
      <c r="K147" s="1575"/>
    </row>
    <row r="148" spans="1:11" ht="12.95" customHeight="1" thickTop="1" thickBot="1" x14ac:dyDescent="0.25">
      <c r="A148" s="1270" t="s">
        <v>137</v>
      </c>
      <c r="B148" s="484">
        <v>3370</v>
      </c>
      <c r="C148" s="1649"/>
      <c r="D148" s="1649"/>
      <c r="E148" s="1609"/>
      <c r="F148" s="1575"/>
      <c r="G148" s="1575"/>
      <c r="H148" s="1575"/>
      <c r="I148" s="1575"/>
      <c r="J148" s="1575"/>
      <c r="K148" s="1575"/>
    </row>
    <row r="149" spans="1:11" ht="12.95" customHeight="1" thickTop="1" thickBot="1" x14ac:dyDescent="0.25">
      <c r="A149" s="1270" t="s">
        <v>762</v>
      </c>
      <c r="B149" s="484">
        <v>3410</v>
      </c>
      <c r="C149" s="1650"/>
      <c r="D149" s="1651"/>
      <c r="E149" s="1652"/>
      <c r="F149" s="1626"/>
      <c r="G149" s="1626"/>
      <c r="H149" s="1626"/>
      <c r="I149" s="1626"/>
      <c r="J149" s="1626"/>
      <c r="K149" s="1626"/>
    </row>
    <row r="150" spans="1:11" ht="12.9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95" customHeight="1" x14ac:dyDescent="0.2">
      <c r="A152" s="427" t="s">
        <v>1431</v>
      </c>
      <c r="B152" s="478">
        <v>3500</v>
      </c>
      <c r="C152" s="1632"/>
      <c r="D152" s="1573"/>
      <c r="E152" s="1640"/>
      <c r="F152" s="1573">
        <v>11465</v>
      </c>
      <c r="G152" s="1574"/>
      <c r="H152" s="1575"/>
      <c r="I152" s="1575"/>
      <c r="J152" s="1575"/>
      <c r="K152" s="1575"/>
    </row>
    <row r="153" spans="1:11" ht="12.95" customHeight="1" x14ac:dyDescent="0.2">
      <c r="A153" s="427" t="s">
        <v>1048</v>
      </c>
      <c r="B153" s="478">
        <v>3510</v>
      </c>
      <c r="C153" s="1632"/>
      <c r="D153" s="1573"/>
      <c r="E153" s="1640"/>
      <c r="F153" s="1573"/>
      <c r="G153" s="1574"/>
      <c r="H153" s="1575"/>
      <c r="I153" s="1575"/>
      <c r="J153" s="1575"/>
      <c r="K153" s="1575"/>
    </row>
    <row r="154" spans="1:11" ht="12.95" customHeight="1" x14ac:dyDescent="0.2">
      <c r="A154" s="427" t="s">
        <v>69</v>
      </c>
      <c r="B154" s="478">
        <v>3599</v>
      </c>
      <c r="C154" s="1632"/>
      <c r="D154" s="1573"/>
      <c r="E154" s="1640"/>
      <c r="F154" s="1573"/>
      <c r="G154" s="1574"/>
      <c r="H154" s="1575"/>
      <c r="I154" s="1575"/>
      <c r="J154" s="1575"/>
      <c r="K154" s="1575"/>
    </row>
    <row r="155" spans="1:11" ht="12.95" customHeight="1" thickBot="1" x14ac:dyDescent="0.25">
      <c r="A155" s="1406" t="s">
        <v>94</v>
      </c>
      <c r="B155" s="1414"/>
      <c r="C155" s="1633">
        <f>SUM(C152:C154)</f>
        <v>0</v>
      </c>
      <c r="D155" s="1633">
        <f>SUM(D152:D154)</f>
        <v>0</v>
      </c>
      <c r="E155" s="1640"/>
      <c r="F155" s="1633">
        <f>SUM(F152:F154)</f>
        <v>11465</v>
      </c>
      <c r="G155" s="1633">
        <f>SUM(G152:G154)</f>
        <v>0</v>
      </c>
      <c r="H155" s="1575"/>
      <c r="I155" s="1575"/>
      <c r="J155" s="1575"/>
      <c r="K155" s="1575"/>
    </row>
    <row r="156" spans="1:11" ht="12.95" customHeight="1" thickTop="1" thickBot="1" x14ac:dyDescent="0.25">
      <c r="A156" s="1270" t="s">
        <v>377</v>
      </c>
      <c r="B156" s="484">
        <v>3610</v>
      </c>
      <c r="C156" s="1651"/>
      <c r="D156" s="1575"/>
      <c r="E156" s="1609"/>
      <c r="F156" s="1575"/>
      <c r="G156" s="1575"/>
      <c r="H156" s="1575"/>
      <c r="I156" s="1575"/>
      <c r="J156" s="1575"/>
      <c r="K156" s="1575"/>
    </row>
    <row r="157" spans="1:11" ht="12.95" customHeight="1" thickTop="1" thickBot="1" x14ac:dyDescent="0.25">
      <c r="A157" s="1270" t="s">
        <v>50</v>
      </c>
      <c r="B157" s="484">
        <v>3660</v>
      </c>
      <c r="C157" s="1649"/>
      <c r="D157" s="1653"/>
      <c r="E157" s="1640"/>
      <c r="F157" s="1653"/>
      <c r="G157" s="1653"/>
      <c r="H157" s="1575"/>
      <c r="I157" s="1575"/>
      <c r="J157" s="1575"/>
      <c r="K157" s="1575"/>
    </row>
    <row r="158" spans="1:11" ht="12.95" customHeight="1" thickTop="1" thickBot="1" x14ac:dyDescent="0.25">
      <c r="A158" s="1270" t="s">
        <v>993</v>
      </c>
      <c r="B158" s="484">
        <v>3695</v>
      </c>
      <c r="C158" s="1651"/>
      <c r="D158" s="1575"/>
      <c r="E158" s="1640"/>
      <c r="F158" s="1651"/>
      <c r="G158" s="1651"/>
      <c r="H158" s="1575"/>
      <c r="I158" s="1575"/>
      <c r="J158" s="1575"/>
      <c r="K158" s="1575"/>
    </row>
    <row r="159" spans="1:11" ht="12.95" customHeight="1" thickTop="1" thickBot="1" x14ac:dyDescent="0.25">
      <c r="A159" s="1270" t="s">
        <v>1042</v>
      </c>
      <c r="B159" s="484">
        <v>3705</v>
      </c>
      <c r="C159" s="1651"/>
      <c r="D159" s="1653"/>
      <c r="E159" s="1640"/>
      <c r="F159" s="1651"/>
      <c r="G159" s="1651"/>
      <c r="H159" s="1575"/>
      <c r="I159" s="1575"/>
      <c r="J159" s="1575"/>
      <c r="K159" s="1575"/>
    </row>
    <row r="160" spans="1:11" ht="12.95" customHeight="1" thickTop="1" thickBot="1" x14ac:dyDescent="0.25">
      <c r="A160" s="1270" t="s">
        <v>39</v>
      </c>
      <c r="B160" s="484">
        <v>3766</v>
      </c>
      <c r="C160" s="1651"/>
      <c r="D160" s="1653"/>
      <c r="E160" s="1640"/>
      <c r="F160" s="1651"/>
      <c r="G160" s="1627"/>
      <c r="H160" s="1575"/>
      <c r="I160" s="1575"/>
      <c r="J160" s="1575"/>
      <c r="K160" s="1575"/>
    </row>
    <row r="161" spans="1:11" ht="12.95" customHeight="1" thickTop="1" thickBot="1" x14ac:dyDescent="0.25">
      <c r="A161" s="1270" t="s">
        <v>978</v>
      </c>
      <c r="B161" s="484">
        <v>3767</v>
      </c>
      <c r="C161" s="1651"/>
      <c r="D161" s="1627"/>
      <c r="E161" s="1640"/>
      <c r="F161" s="1627"/>
      <c r="G161" s="1627"/>
      <c r="H161" s="1575"/>
      <c r="I161" s="1575"/>
      <c r="J161" s="1575"/>
      <c r="K161" s="1575"/>
    </row>
    <row r="162" spans="1:11" ht="12.95" customHeight="1" thickTop="1" thickBot="1" x14ac:dyDescent="0.25">
      <c r="A162" s="1270" t="s">
        <v>979</v>
      </c>
      <c r="B162" s="484">
        <v>3775</v>
      </c>
      <c r="C162" s="1651"/>
      <c r="D162" s="1649"/>
      <c r="E162" s="1626"/>
      <c r="F162" s="1649"/>
      <c r="G162" s="1628"/>
      <c r="H162" s="1626"/>
      <c r="I162" s="1575"/>
      <c r="J162" s="1575"/>
      <c r="K162" s="1626"/>
    </row>
    <row r="163" spans="1:11" ht="12.95" customHeight="1" thickTop="1" thickBot="1" x14ac:dyDescent="0.25">
      <c r="A163" s="1270" t="s">
        <v>1432</v>
      </c>
      <c r="B163" s="484">
        <v>3780</v>
      </c>
      <c r="C163" s="1627"/>
      <c r="D163" s="1626"/>
      <c r="E163" s="1627"/>
      <c r="F163" s="1627"/>
      <c r="G163" s="1627"/>
      <c r="H163" s="1627"/>
      <c r="I163" s="1575"/>
      <c r="J163" s="1575"/>
      <c r="K163" s="1627"/>
    </row>
    <row r="164" spans="1:11" ht="12.95" customHeight="1" thickTop="1" thickBot="1" x14ac:dyDescent="0.25">
      <c r="A164" s="1270" t="s">
        <v>853</v>
      </c>
      <c r="B164" s="484">
        <v>3815</v>
      </c>
      <c r="C164" s="1651"/>
      <c r="D164" s="1575"/>
      <c r="E164" s="1640"/>
      <c r="F164" s="1651"/>
      <c r="G164" s="1575"/>
      <c r="H164" s="1575"/>
      <c r="I164" s="1575"/>
      <c r="J164" s="1575"/>
      <c r="K164" s="1575"/>
    </row>
    <row r="165" spans="1:11" ht="12.95" customHeight="1" thickTop="1" thickBot="1" x14ac:dyDescent="0.25">
      <c r="A165" s="1270" t="s">
        <v>394</v>
      </c>
      <c r="B165" s="484">
        <v>3825</v>
      </c>
      <c r="C165" s="1651"/>
      <c r="D165" s="1575"/>
      <c r="E165" s="1640"/>
      <c r="F165" s="1651"/>
      <c r="G165" s="1575"/>
      <c r="H165" s="1575"/>
      <c r="I165" s="1575"/>
      <c r="J165" s="1575"/>
      <c r="K165" s="1575"/>
    </row>
    <row r="166" spans="1:11" ht="12.95" customHeight="1" thickTop="1" thickBot="1" x14ac:dyDescent="0.25">
      <c r="A166" s="1270" t="s">
        <v>345</v>
      </c>
      <c r="B166" s="484">
        <v>3920</v>
      </c>
      <c r="C166" s="1645"/>
      <c r="D166" s="1653"/>
      <c r="E166" s="1575"/>
      <c r="F166" s="1645"/>
      <c r="G166" s="1575"/>
      <c r="H166" s="1626"/>
      <c r="I166" s="1575"/>
      <c r="J166" s="1575"/>
      <c r="K166" s="1575"/>
    </row>
    <row r="167" spans="1:11" ht="12.9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95" customHeight="1" thickTop="1" thickBot="1" x14ac:dyDescent="0.25">
      <c r="A169" s="2249" t="s">
        <v>395</v>
      </c>
      <c r="B169" s="2250"/>
      <c r="C169" s="1658">
        <f t="shared" ref="C169:K169" si="6">SUM(C132,C141,C145,C146:C150,C155,C156:C167,C168)</f>
        <v>718439</v>
      </c>
      <c r="D169" s="1658">
        <f t="shared" si="6"/>
        <v>0</v>
      </c>
      <c r="E169" s="1658">
        <f t="shared" si="6"/>
        <v>0</v>
      </c>
      <c r="F169" s="1658">
        <f t="shared" si="6"/>
        <v>11465</v>
      </c>
      <c r="G169" s="1658">
        <f t="shared" si="6"/>
        <v>0</v>
      </c>
      <c r="H169" s="1658">
        <f t="shared" si="6"/>
        <v>0</v>
      </c>
      <c r="I169" s="1658">
        <f t="shared" si="6"/>
        <v>0</v>
      </c>
      <c r="J169" s="1658">
        <f t="shared" si="6"/>
        <v>0</v>
      </c>
      <c r="K169" s="1624">
        <f t="shared" si="6"/>
        <v>0</v>
      </c>
    </row>
    <row r="170" spans="1:11" ht="12.95" customHeight="1" thickTop="1" thickBot="1" x14ac:dyDescent="0.25">
      <c r="A170" s="1406" t="s">
        <v>396</v>
      </c>
      <c r="B170" s="1410" t="s">
        <v>571</v>
      </c>
      <c r="C170" s="1641">
        <f t="shared" ref="C170:K170" si="7">SUM(C122,C169)</f>
        <v>718439</v>
      </c>
      <c r="D170" s="1641">
        <f t="shared" si="7"/>
        <v>0</v>
      </c>
      <c r="E170" s="1641">
        <f t="shared" si="7"/>
        <v>0</v>
      </c>
      <c r="F170" s="1641">
        <f t="shared" si="7"/>
        <v>11465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95" customHeight="1" x14ac:dyDescent="0.2">
      <c r="A177" s="427" t="s">
        <v>1036</v>
      </c>
      <c r="B177" s="429">
        <v>4045</v>
      </c>
      <c r="C177" s="1632"/>
      <c r="D177" s="1575"/>
      <c r="E177" s="1640"/>
      <c r="F177" s="1575"/>
      <c r="G177" s="1575"/>
      <c r="H177" s="1575"/>
      <c r="I177" s="1575"/>
      <c r="J177" s="1575"/>
      <c r="K177" s="1575"/>
    </row>
    <row r="178" spans="1:11" ht="12.95" customHeight="1" x14ac:dyDescent="0.2">
      <c r="A178" s="427" t="s">
        <v>1037</v>
      </c>
      <c r="B178" s="429">
        <v>4050</v>
      </c>
      <c r="C178" s="1632"/>
      <c r="D178" s="1574"/>
      <c r="E178" s="1640"/>
      <c r="F178" s="1575"/>
      <c r="G178" s="1575"/>
      <c r="H178" s="1574"/>
      <c r="I178" s="1575"/>
      <c r="J178" s="1575"/>
      <c r="K178" s="1575"/>
    </row>
    <row r="179" spans="1:11" ht="12.9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95" customHeight="1" x14ac:dyDescent="0.2">
      <c r="A184" s="427" t="s">
        <v>1586</v>
      </c>
      <c r="B184" s="429">
        <v>4100</v>
      </c>
      <c r="C184" s="1613"/>
      <c r="D184" s="1586"/>
      <c r="E184" s="1640"/>
      <c r="F184" s="1586"/>
      <c r="G184" s="1586"/>
      <c r="H184" s="1575"/>
      <c r="I184" s="1575"/>
      <c r="J184" s="1575"/>
      <c r="K184" s="1575"/>
    </row>
    <row r="185" spans="1:11" ht="12.95" customHeight="1" x14ac:dyDescent="0.2">
      <c r="A185" s="427" t="s">
        <v>1587</v>
      </c>
      <c r="B185" s="429">
        <v>4105</v>
      </c>
      <c r="C185" s="1632"/>
      <c r="D185" s="1573"/>
      <c r="E185" s="1640"/>
      <c r="F185" s="1573"/>
      <c r="G185" s="1573"/>
      <c r="H185" s="1575"/>
      <c r="I185" s="1575"/>
      <c r="J185" s="1575"/>
      <c r="K185" s="1575"/>
    </row>
    <row r="186" spans="1:11" ht="12.95" customHeight="1" x14ac:dyDescent="0.2">
      <c r="A186" s="427" t="s">
        <v>1589</v>
      </c>
      <c r="B186" s="429">
        <v>4107</v>
      </c>
      <c r="C186" s="1632"/>
      <c r="D186" s="1573"/>
      <c r="E186" s="1640"/>
      <c r="F186" s="1573"/>
      <c r="G186" s="1573"/>
      <c r="H186" s="1575"/>
      <c r="I186" s="1575"/>
      <c r="J186" s="1575"/>
      <c r="K186" s="1575"/>
    </row>
    <row r="187" spans="1:11" ht="12.95" customHeight="1" x14ac:dyDescent="0.2">
      <c r="A187" s="427" t="s">
        <v>1588</v>
      </c>
      <c r="B187" s="429">
        <v>4199</v>
      </c>
      <c r="C187" s="1632"/>
      <c r="D187" s="1573"/>
      <c r="E187" s="1640"/>
      <c r="F187" s="1573"/>
      <c r="G187" s="1573"/>
      <c r="H187" s="1575"/>
      <c r="I187" s="1575"/>
      <c r="J187" s="1575"/>
      <c r="K187" s="1575"/>
    </row>
    <row r="188" spans="1:11" ht="12.9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95" customHeight="1" x14ac:dyDescent="0.2">
      <c r="A191" s="427" t="s">
        <v>1049</v>
      </c>
      <c r="B191" s="429">
        <v>4210</v>
      </c>
      <c r="C191" s="1573"/>
      <c r="D191" s="1575"/>
      <c r="E191" s="1640"/>
      <c r="F191" s="1575"/>
      <c r="G191" s="1664"/>
      <c r="H191" s="1575"/>
      <c r="I191" s="1575"/>
      <c r="J191" s="1575"/>
      <c r="K191" s="1575"/>
    </row>
    <row r="192" spans="1:11" ht="12.95" customHeight="1" x14ac:dyDescent="0.2">
      <c r="A192" s="427" t="s">
        <v>1038</v>
      </c>
      <c r="B192" s="429">
        <v>4215</v>
      </c>
      <c r="C192" s="1632"/>
      <c r="D192" s="1575"/>
      <c r="E192" s="1640"/>
      <c r="F192" s="1575"/>
      <c r="G192" s="1664"/>
      <c r="H192" s="1575"/>
      <c r="I192" s="1575"/>
      <c r="J192" s="1575"/>
      <c r="K192" s="1575"/>
    </row>
    <row r="193" spans="1:11" ht="12.95" customHeight="1" x14ac:dyDescent="0.2">
      <c r="A193" s="427" t="s">
        <v>1050</v>
      </c>
      <c r="B193" s="429">
        <v>4220</v>
      </c>
      <c r="C193" s="1632"/>
      <c r="D193" s="1575"/>
      <c r="E193" s="1640"/>
      <c r="F193" s="1575"/>
      <c r="G193" s="1664"/>
      <c r="H193" s="1575"/>
      <c r="I193" s="1575"/>
      <c r="J193" s="1575"/>
      <c r="K193" s="1575"/>
    </row>
    <row r="194" spans="1:11" ht="12.95" customHeight="1" x14ac:dyDescent="0.2">
      <c r="A194" s="427" t="s">
        <v>1434</v>
      </c>
      <c r="B194" s="429">
        <v>4225</v>
      </c>
      <c r="C194" s="1632"/>
      <c r="D194" s="1575"/>
      <c r="E194" s="1640"/>
      <c r="F194" s="1575"/>
      <c r="G194" s="1664"/>
      <c r="H194" s="1575"/>
      <c r="I194" s="1575"/>
      <c r="J194" s="1575"/>
      <c r="K194" s="1575"/>
    </row>
    <row r="195" spans="1:11" ht="12.95" customHeight="1" x14ac:dyDescent="0.2">
      <c r="A195" s="427" t="s">
        <v>1435</v>
      </c>
      <c r="B195" s="429">
        <v>4226</v>
      </c>
      <c r="C195" s="1632"/>
      <c r="D195" s="1575"/>
      <c r="E195" s="1640"/>
      <c r="F195" s="1575"/>
      <c r="G195" s="1664"/>
      <c r="H195" s="1575"/>
      <c r="I195" s="1575"/>
      <c r="J195" s="1575"/>
      <c r="K195" s="1575"/>
    </row>
    <row r="196" spans="1:11" ht="12.95" customHeight="1" x14ac:dyDescent="0.2">
      <c r="A196" s="427" t="s">
        <v>787</v>
      </c>
      <c r="B196" s="429">
        <v>4240</v>
      </c>
      <c r="C196" s="1598"/>
      <c r="D196" s="1575"/>
      <c r="E196" s="1640"/>
      <c r="F196" s="1575"/>
      <c r="G196" s="1665"/>
      <c r="H196" s="1575"/>
      <c r="I196" s="1575"/>
      <c r="J196" s="1575"/>
      <c r="K196" s="1575"/>
    </row>
    <row r="197" spans="1:11" ht="12.95" customHeight="1" x14ac:dyDescent="0.2">
      <c r="A197" s="427" t="s">
        <v>71</v>
      </c>
      <c r="B197" s="429">
        <v>4299</v>
      </c>
      <c r="C197" s="1632"/>
      <c r="D197" s="1575"/>
      <c r="E197" s="1640"/>
      <c r="F197" s="1575"/>
      <c r="G197" s="1664"/>
      <c r="H197" s="1575"/>
      <c r="I197" s="1575"/>
      <c r="J197" s="1575"/>
      <c r="K197" s="1575"/>
    </row>
    <row r="198" spans="1:11" ht="12.9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95" customHeight="1" x14ac:dyDescent="0.2">
      <c r="A200" s="427" t="s">
        <v>912</v>
      </c>
      <c r="B200" s="429">
        <v>4300</v>
      </c>
      <c r="C200" s="1573"/>
      <c r="D200" s="1573"/>
      <c r="E200" s="1575"/>
      <c r="F200" s="1573"/>
      <c r="G200" s="1573"/>
      <c r="H200" s="1575"/>
      <c r="I200" s="1575"/>
      <c r="J200" s="1575"/>
      <c r="K200" s="1575"/>
    </row>
    <row r="201" spans="1:11" ht="12.95" customHeight="1" x14ac:dyDescent="0.2">
      <c r="A201" s="427" t="s">
        <v>913</v>
      </c>
      <c r="B201" s="429">
        <v>4305</v>
      </c>
      <c r="C201" s="1632"/>
      <c r="D201" s="1573"/>
      <c r="E201" s="1575"/>
      <c r="F201" s="1573"/>
      <c r="G201" s="1573"/>
      <c r="H201" s="1575"/>
      <c r="I201" s="1575"/>
      <c r="J201" s="1575"/>
      <c r="K201" s="1575"/>
    </row>
    <row r="202" spans="1:11" ht="12.95" customHeight="1" x14ac:dyDescent="0.2">
      <c r="A202" s="427" t="s">
        <v>1024</v>
      </c>
      <c r="B202" s="429">
        <v>4340</v>
      </c>
      <c r="C202" s="1632"/>
      <c r="D202" s="1573"/>
      <c r="E202" s="1575"/>
      <c r="F202" s="1573"/>
      <c r="G202" s="1573"/>
      <c r="H202" s="1575"/>
      <c r="I202" s="1575"/>
      <c r="J202" s="1575"/>
      <c r="K202" s="1575"/>
    </row>
    <row r="203" spans="1:11" ht="12.95" customHeight="1" x14ac:dyDescent="0.2">
      <c r="A203" s="427" t="s">
        <v>72</v>
      </c>
      <c r="B203" s="429">
        <v>4399</v>
      </c>
      <c r="C203" s="1632"/>
      <c r="D203" s="1573"/>
      <c r="E203" s="1575"/>
      <c r="F203" s="1573"/>
      <c r="G203" s="1573"/>
      <c r="H203" s="1575"/>
      <c r="I203" s="1575"/>
      <c r="J203" s="1575"/>
      <c r="K203" s="1575"/>
    </row>
    <row r="204" spans="1:11" ht="12.9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95" customHeight="1" x14ac:dyDescent="0.2">
      <c r="A206" s="427" t="s">
        <v>754</v>
      </c>
      <c r="B206" s="429">
        <v>4400</v>
      </c>
      <c r="C206" s="1632"/>
      <c r="D206" s="1573"/>
      <c r="E206" s="1575"/>
      <c r="F206" s="1573"/>
      <c r="G206" s="1573"/>
      <c r="H206" s="1575"/>
      <c r="I206" s="1575"/>
      <c r="J206" s="1575"/>
      <c r="K206" s="1575"/>
    </row>
    <row r="207" spans="1:11" ht="12.95" customHeight="1" x14ac:dyDescent="0.2">
      <c r="A207" s="427" t="s">
        <v>1436</v>
      </c>
      <c r="B207" s="429">
        <v>4421</v>
      </c>
      <c r="C207" s="1632"/>
      <c r="D207" s="1573"/>
      <c r="E207" s="1575"/>
      <c r="F207" s="1573"/>
      <c r="G207" s="1573"/>
      <c r="H207" s="1575"/>
      <c r="I207" s="1575"/>
      <c r="J207" s="1575"/>
      <c r="K207" s="1575"/>
    </row>
    <row r="208" spans="1:11" ht="12.95" customHeight="1" x14ac:dyDescent="0.2">
      <c r="A208" s="427" t="s">
        <v>73</v>
      </c>
      <c r="B208" s="429">
        <v>4499</v>
      </c>
      <c r="C208" s="1632"/>
      <c r="D208" s="1573"/>
      <c r="E208" s="1575"/>
      <c r="F208" s="1573"/>
      <c r="G208" s="1573"/>
      <c r="H208" s="1575"/>
      <c r="I208" s="1575"/>
      <c r="J208" s="1575"/>
      <c r="K208" s="1575"/>
    </row>
    <row r="209" spans="1:11" ht="12.9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95" customHeight="1" x14ac:dyDescent="0.2">
      <c r="A211" s="427" t="s">
        <v>1043</v>
      </c>
      <c r="B211" s="429">
        <v>4600</v>
      </c>
      <c r="C211" s="1632"/>
      <c r="D211" s="1573"/>
      <c r="E211" s="1575"/>
      <c r="F211" s="1573"/>
      <c r="G211" s="1573"/>
      <c r="H211" s="1575"/>
      <c r="I211" s="1575"/>
      <c r="J211" s="1575"/>
      <c r="K211" s="1575"/>
    </row>
    <row r="212" spans="1:11" ht="12.95" customHeight="1" x14ac:dyDescent="0.2">
      <c r="A212" s="427" t="s">
        <v>1044</v>
      </c>
      <c r="B212" s="429">
        <v>4605</v>
      </c>
      <c r="C212" s="1632"/>
      <c r="D212" s="1573"/>
      <c r="E212" s="1575"/>
      <c r="F212" s="1573"/>
      <c r="G212" s="1573"/>
      <c r="H212" s="1575"/>
      <c r="I212" s="1575"/>
      <c r="J212" s="1575"/>
      <c r="K212" s="1575"/>
    </row>
    <row r="213" spans="1:11" ht="12.95" customHeight="1" x14ac:dyDescent="0.2">
      <c r="A213" s="427" t="s">
        <v>1437</v>
      </c>
      <c r="B213" s="475">
        <v>4620</v>
      </c>
      <c r="C213" s="1632"/>
      <c r="D213" s="1573"/>
      <c r="E213" s="1575"/>
      <c r="F213" s="1573"/>
      <c r="G213" s="1573"/>
      <c r="H213" s="1575"/>
      <c r="I213" s="1575"/>
      <c r="J213" s="1575"/>
      <c r="K213" s="1575"/>
    </row>
    <row r="214" spans="1:11" ht="12.95" customHeight="1" x14ac:dyDescent="0.2">
      <c r="A214" s="427" t="s">
        <v>1045</v>
      </c>
      <c r="B214" s="429">
        <v>4625</v>
      </c>
      <c r="C214" s="1632"/>
      <c r="D214" s="1573"/>
      <c r="E214" s="1575"/>
      <c r="F214" s="1573"/>
      <c r="G214" s="1573"/>
      <c r="H214" s="1575"/>
      <c r="I214" s="1575"/>
      <c r="J214" s="1575"/>
      <c r="K214" s="1575"/>
    </row>
    <row r="215" spans="1:11" ht="12.95" customHeight="1" x14ac:dyDescent="0.2">
      <c r="A215" s="427" t="s">
        <v>1046</v>
      </c>
      <c r="B215" s="429">
        <v>4630</v>
      </c>
      <c r="C215" s="1632"/>
      <c r="D215" s="1573"/>
      <c r="E215" s="1575"/>
      <c r="F215" s="1573"/>
      <c r="G215" s="1573"/>
      <c r="H215" s="1575"/>
      <c r="I215" s="1575"/>
      <c r="J215" s="1575"/>
      <c r="K215" s="1575"/>
    </row>
    <row r="216" spans="1:11" ht="12.95" customHeight="1" x14ac:dyDescent="0.2">
      <c r="A216" s="1271" t="s">
        <v>74</v>
      </c>
      <c r="B216" s="475">
        <v>4699</v>
      </c>
      <c r="C216" s="1632"/>
      <c r="D216" s="1573"/>
      <c r="E216" s="1575"/>
      <c r="F216" s="1573"/>
      <c r="G216" s="1573"/>
      <c r="H216" s="1575"/>
      <c r="I216" s="1575"/>
      <c r="J216" s="1575"/>
      <c r="K216" s="1575"/>
    </row>
    <row r="217" spans="1:11" ht="12.9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95" customHeight="1" x14ac:dyDescent="0.2">
      <c r="A219" s="427" t="s">
        <v>782</v>
      </c>
      <c r="B219" s="429">
        <v>4770</v>
      </c>
      <c r="C219" s="1632">
        <v>246719</v>
      </c>
      <c r="D219" s="1573"/>
      <c r="E219" s="1575"/>
      <c r="F219" s="1575"/>
      <c r="G219" s="1573"/>
      <c r="H219" s="1575"/>
      <c r="I219" s="1575"/>
      <c r="J219" s="1575"/>
      <c r="K219" s="1575"/>
    </row>
    <row r="220" spans="1:11" ht="12.95" customHeight="1" x14ac:dyDescent="0.2">
      <c r="A220" s="427" t="s">
        <v>67</v>
      </c>
      <c r="B220" s="429">
        <v>4799</v>
      </c>
      <c r="C220" s="1632"/>
      <c r="D220" s="1573"/>
      <c r="E220" s="1575"/>
      <c r="F220" s="1575"/>
      <c r="G220" s="1573"/>
      <c r="H220" s="1575"/>
      <c r="I220" s="1575"/>
      <c r="J220" s="1575"/>
      <c r="K220" s="1575"/>
    </row>
    <row r="221" spans="1:11" ht="12.95" customHeight="1" thickBot="1" x14ac:dyDescent="0.25">
      <c r="A221" s="1415" t="s">
        <v>1076</v>
      </c>
      <c r="B221" s="1416"/>
      <c r="C221" s="1633">
        <f>SUM(C219:C220)</f>
        <v>246719</v>
      </c>
      <c r="D221" s="1633">
        <f>SUM(D219:D220)</f>
        <v>0</v>
      </c>
      <c r="E221" s="1575"/>
      <c r="F221" s="1575"/>
      <c r="G221" s="1633">
        <f>SUM(G219:G220)</f>
        <v>0</v>
      </c>
      <c r="H221" s="1575"/>
      <c r="I221" s="1575"/>
      <c r="J221" s="1575"/>
      <c r="K221" s="1575"/>
    </row>
    <row r="222" spans="1:11" ht="12.95" customHeight="1" thickTop="1" thickBot="1" x14ac:dyDescent="0.25">
      <c r="A222" s="436" t="s">
        <v>752</v>
      </c>
      <c r="B222" s="435">
        <v>4810</v>
      </c>
      <c r="C222" s="1650"/>
      <c r="D222" s="1651"/>
      <c r="E222" s="1575"/>
      <c r="F222" s="1575"/>
      <c r="G222" s="1651"/>
      <c r="H222" s="1575"/>
      <c r="I222" s="1575"/>
      <c r="J222" s="1575"/>
      <c r="K222" s="1575"/>
    </row>
    <row r="223" spans="1:11" ht="12.95" customHeight="1" thickTop="1" x14ac:dyDescent="0.2">
      <c r="A223" s="436" t="s">
        <v>347</v>
      </c>
      <c r="B223" s="435">
        <v>4850</v>
      </c>
      <c r="C223" s="1598"/>
      <c r="D223" s="1574"/>
      <c r="E223" s="1574"/>
      <c r="F223" s="1574"/>
      <c r="G223" s="1574"/>
      <c r="H223" s="1574"/>
      <c r="I223" s="1575"/>
      <c r="J223" s="1574"/>
      <c r="K223" s="1574"/>
    </row>
    <row r="224" spans="1:11" ht="12.95" customHeight="1" x14ac:dyDescent="0.2">
      <c r="A224" s="436" t="s">
        <v>348</v>
      </c>
      <c r="B224" s="435">
        <v>4851</v>
      </c>
      <c r="C224" s="1598"/>
      <c r="D224" s="1574"/>
      <c r="E224" s="1575"/>
      <c r="F224" s="1579"/>
      <c r="G224" s="1574"/>
      <c r="H224" s="1575"/>
      <c r="I224" s="1575"/>
      <c r="J224" s="1575"/>
      <c r="K224" s="1575"/>
    </row>
    <row r="225" spans="1:11" ht="12.95" customHeight="1" x14ac:dyDescent="0.2">
      <c r="A225" s="436" t="s">
        <v>349</v>
      </c>
      <c r="B225" s="435">
        <v>4852</v>
      </c>
      <c r="C225" s="1598"/>
      <c r="D225" s="1574"/>
      <c r="E225" s="1574"/>
      <c r="F225" s="1574"/>
      <c r="G225" s="1574"/>
      <c r="H225" s="1574"/>
      <c r="I225" s="1575"/>
      <c r="J225" s="1574"/>
      <c r="K225" s="1574"/>
    </row>
    <row r="226" spans="1:11" ht="12.95" customHeight="1" x14ac:dyDescent="0.2">
      <c r="A226" s="436" t="s">
        <v>350</v>
      </c>
      <c r="B226" s="435">
        <v>4853</v>
      </c>
      <c r="C226" s="1598"/>
      <c r="D226" s="1574"/>
      <c r="E226" s="1574"/>
      <c r="F226" s="1574"/>
      <c r="G226" s="1574"/>
      <c r="H226" s="1574"/>
      <c r="I226" s="1575"/>
      <c r="J226" s="1574"/>
      <c r="K226" s="1574"/>
    </row>
    <row r="227" spans="1:11" ht="12.95" customHeight="1" x14ac:dyDescent="0.2">
      <c r="A227" s="436" t="s">
        <v>351</v>
      </c>
      <c r="B227" s="435">
        <v>4854</v>
      </c>
      <c r="C227" s="1598"/>
      <c r="D227" s="1574"/>
      <c r="E227" s="1574"/>
      <c r="F227" s="1574"/>
      <c r="G227" s="1574"/>
      <c r="H227" s="1574"/>
      <c r="I227" s="1575"/>
      <c r="J227" s="1574"/>
      <c r="K227" s="1574"/>
    </row>
    <row r="228" spans="1:11" ht="12.95" customHeight="1" x14ac:dyDescent="0.2">
      <c r="A228" s="436" t="s">
        <v>461</v>
      </c>
      <c r="B228" s="435">
        <v>4855</v>
      </c>
      <c r="C228" s="1598"/>
      <c r="D228" s="1574"/>
      <c r="E228" s="1574"/>
      <c r="F228" s="1574"/>
      <c r="G228" s="1574"/>
      <c r="H228" s="1574"/>
      <c r="I228" s="1575"/>
      <c r="J228" s="1574"/>
      <c r="K228" s="1574"/>
    </row>
    <row r="229" spans="1:11" ht="12.95" customHeight="1" x14ac:dyDescent="0.2">
      <c r="A229" s="436" t="s">
        <v>352</v>
      </c>
      <c r="B229" s="435">
        <v>4856</v>
      </c>
      <c r="C229" s="1598"/>
      <c r="D229" s="1574"/>
      <c r="E229" s="1574"/>
      <c r="F229" s="1574"/>
      <c r="G229" s="1574"/>
      <c r="H229" s="1574"/>
      <c r="I229" s="1575"/>
      <c r="J229" s="1574"/>
      <c r="K229" s="1574"/>
    </row>
    <row r="230" spans="1:11" ht="12.95" customHeight="1" x14ac:dyDescent="0.2">
      <c r="A230" s="436" t="s">
        <v>353</v>
      </c>
      <c r="B230" s="435">
        <v>4857</v>
      </c>
      <c r="C230" s="1598"/>
      <c r="D230" s="1574"/>
      <c r="E230" s="1574"/>
      <c r="F230" s="1574"/>
      <c r="G230" s="1574"/>
      <c r="H230" s="1574"/>
      <c r="I230" s="1575"/>
      <c r="J230" s="1574"/>
      <c r="K230" s="1574"/>
    </row>
    <row r="231" spans="1:11" ht="12.95" customHeight="1" x14ac:dyDescent="0.2">
      <c r="A231" s="436" t="s">
        <v>354</v>
      </c>
      <c r="B231" s="435">
        <v>4860</v>
      </c>
      <c r="C231" s="1598"/>
      <c r="D231" s="1574"/>
      <c r="E231" s="1574"/>
      <c r="F231" s="1574"/>
      <c r="G231" s="1574"/>
      <c r="H231" s="1574"/>
      <c r="I231" s="1575"/>
      <c r="J231" s="1574"/>
      <c r="K231" s="1574"/>
    </row>
    <row r="232" spans="1:11" ht="12.95" customHeight="1" x14ac:dyDescent="0.2">
      <c r="A232" s="436" t="s">
        <v>355</v>
      </c>
      <c r="B232" s="435">
        <v>4861</v>
      </c>
      <c r="C232" s="1598"/>
      <c r="D232" s="1574"/>
      <c r="E232" s="1574"/>
      <c r="F232" s="1574"/>
      <c r="G232" s="1574"/>
      <c r="H232" s="1574"/>
      <c r="I232" s="1575"/>
      <c r="J232" s="1574"/>
      <c r="K232" s="1574"/>
    </row>
    <row r="233" spans="1:11" ht="12.95" customHeight="1" x14ac:dyDescent="0.2">
      <c r="A233" s="436" t="s">
        <v>356</v>
      </c>
      <c r="B233" s="435">
        <v>4862</v>
      </c>
      <c r="C233" s="1598"/>
      <c r="D233" s="1574"/>
      <c r="E233" s="1580"/>
      <c r="F233" s="1574"/>
      <c r="G233" s="1574"/>
      <c r="H233" s="1580"/>
      <c r="I233" s="1575"/>
      <c r="J233" s="1580"/>
      <c r="K233" s="1580"/>
    </row>
    <row r="234" spans="1:11" ht="12.95" customHeight="1" x14ac:dyDescent="0.2">
      <c r="A234" s="436" t="s">
        <v>357</v>
      </c>
      <c r="B234" s="435">
        <v>4863</v>
      </c>
      <c r="C234" s="1598"/>
      <c r="D234" s="1574"/>
      <c r="E234" s="1575"/>
      <c r="F234" s="1580"/>
      <c r="G234" s="1623"/>
      <c r="H234" s="1575"/>
      <c r="I234" s="1575"/>
      <c r="J234" s="1575"/>
      <c r="K234" s="1575"/>
    </row>
    <row r="235" spans="1:11" ht="12.95" customHeight="1" x14ac:dyDescent="0.2">
      <c r="A235" s="436" t="s">
        <v>466</v>
      </c>
      <c r="B235" s="435">
        <v>4864</v>
      </c>
      <c r="C235" s="1598"/>
      <c r="D235" s="1574"/>
      <c r="E235" s="1574"/>
      <c r="F235" s="1574"/>
      <c r="G235" s="1574"/>
      <c r="H235" s="1574"/>
      <c r="I235" s="1575"/>
      <c r="J235" s="1574"/>
      <c r="K235" s="1574"/>
    </row>
    <row r="236" spans="1:11" ht="12.95" customHeight="1" x14ac:dyDescent="0.2">
      <c r="A236" s="436" t="s">
        <v>467</v>
      </c>
      <c r="B236" s="435">
        <v>4865</v>
      </c>
      <c r="C236" s="1598"/>
      <c r="D236" s="1574"/>
      <c r="E236" s="1574"/>
      <c r="F236" s="1574"/>
      <c r="G236" s="1574"/>
      <c r="H236" s="1574"/>
      <c r="I236" s="1575"/>
      <c r="J236" s="1574"/>
      <c r="K236" s="1574"/>
    </row>
    <row r="237" spans="1:11" ht="12.95" customHeight="1" x14ac:dyDescent="0.2">
      <c r="A237" s="436" t="s">
        <v>465</v>
      </c>
      <c r="B237" s="435">
        <v>4866</v>
      </c>
      <c r="C237" s="1598"/>
      <c r="D237" s="1574"/>
      <c r="E237" s="1574"/>
      <c r="F237" s="1574"/>
      <c r="G237" s="1574"/>
      <c r="H237" s="1574"/>
      <c r="I237" s="1575"/>
      <c r="J237" s="1574"/>
      <c r="K237" s="1574"/>
    </row>
    <row r="238" spans="1:11" ht="12.95" customHeight="1" x14ac:dyDescent="0.2">
      <c r="A238" s="436" t="s">
        <v>464</v>
      </c>
      <c r="B238" s="435">
        <v>4867</v>
      </c>
      <c r="C238" s="1598"/>
      <c r="D238" s="1574"/>
      <c r="E238" s="1574"/>
      <c r="F238" s="1574"/>
      <c r="G238" s="1574"/>
      <c r="H238" s="1574"/>
      <c r="I238" s="1575"/>
      <c r="J238" s="1574"/>
      <c r="K238" s="1574"/>
    </row>
    <row r="239" spans="1:11" ht="12.95" customHeight="1" x14ac:dyDescent="0.2">
      <c r="A239" s="436" t="s">
        <v>463</v>
      </c>
      <c r="B239" s="435">
        <v>4868</v>
      </c>
      <c r="C239" s="1598"/>
      <c r="D239" s="1574"/>
      <c r="E239" s="1574"/>
      <c r="F239" s="1574"/>
      <c r="G239" s="1574"/>
      <c r="H239" s="1574"/>
      <c r="I239" s="1575"/>
      <c r="J239" s="1574"/>
      <c r="K239" s="1574"/>
    </row>
    <row r="240" spans="1:11" ht="12.95" customHeight="1" x14ac:dyDescent="0.2">
      <c r="A240" s="436" t="s">
        <v>462</v>
      </c>
      <c r="B240" s="435">
        <v>4869</v>
      </c>
      <c r="C240" s="1598"/>
      <c r="D240" s="1574"/>
      <c r="E240" s="1574"/>
      <c r="F240" s="1574"/>
      <c r="G240" s="1574"/>
      <c r="H240" s="1574"/>
      <c r="I240" s="1575"/>
      <c r="J240" s="1574"/>
      <c r="K240" s="1574"/>
    </row>
    <row r="241" spans="1:11" ht="12.95" customHeight="1" x14ac:dyDescent="0.2">
      <c r="A241" s="436" t="s">
        <v>1118</v>
      </c>
      <c r="B241" s="435">
        <v>4870</v>
      </c>
      <c r="C241" s="1598"/>
      <c r="D241" s="1574"/>
      <c r="E241" s="1574"/>
      <c r="F241" s="1574"/>
      <c r="G241" s="1574"/>
      <c r="H241" s="1574"/>
      <c r="I241" s="1575"/>
      <c r="J241" s="1574"/>
      <c r="K241" s="1574"/>
    </row>
    <row r="242" spans="1:11" ht="12.95" customHeight="1" x14ac:dyDescent="0.2">
      <c r="A242" s="436" t="s">
        <v>783</v>
      </c>
      <c r="B242" s="435">
        <v>4871</v>
      </c>
      <c r="C242" s="1598"/>
      <c r="D242" s="1574"/>
      <c r="E242" s="1574"/>
      <c r="F242" s="1574"/>
      <c r="G242" s="1574"/>
      <c r="H242" s="1574"/>
      <c r="I242" s="1575"/>
      <c r="J242" s="1574"/>
      <c r="K242" s="1574"/>
    </row>
    <row r="243" spans="1:11" ht="12.95" customHeight="1" x14ac:dyDescent="0.2">
      <c r="A243" s="436" t="s">
        <v>784</v>
      </c>
      <c r="B243" s="435">
        <v>4872</v>
      </c>
      <c r="C243" s="1598"/>
      <c r="D243" s="1574"/>
      <c r="E243" s="1574"/>
      <c r="F243" s="1574"/>
      <c r="G243" s="1574"/>
      <c r="H243" s="1574"/>
      <c r="I243" s="1575"/>
      <c r="J243" s="1574"/>
      <c r="K243" s="1574"/>
    </row>
    <row r="244" spans="1:11" ht="12.95" customHeight="1" x14ac:dyDescent="0.2">
      <c r="A244" s="436" t="s">
        <v>785</v>
      </c>
      <c r="B244" s="435">
        <v>4873</v>
      </c>
      <c r="C244" s="1598"/>
      <c r="D244" s="1574"/>
      <c r="E244" s="1574"/>
      <c r="F244" s="1574"/>
      <c r="G244" s="1574"/>
      <c r="H244" s="1574"/>
      <c r="I244" s="1575"/>
      <c r="J244" s="1574"/>
      <c r="K244" s="1574"/>
    </row>
    <row r="245" spans="1:11" ht="12.95" customHeight="1" x14ac:dyDescent="0.2">
      <c r="A245" s="436" t="s">
        <v>786</v>
      </c>
      <c r="B245" s="435">
        <v>4874</v>
      </c>
      <c r="C245" s="1598"/>
      <c r="D245" s="1574"/>
      <c r="E245" s="1574"/>
      <c r="F245" s="1574"/>
      <c r="G245" s="1574"/>
      <c r="H245" s="1574"/>
      <c r="I245" s="1575"/>
      <c r="J245" s="1574"/>
      <c r="K245" s="1574"/>
    </row>
    <row r="246" spans="1:11" ht="12.95" customHeight="1" x14ac:dyDescent="0.2">
      <c r="A246" s="436" t="s">
        <v>468</v>
      </c>
      <c r="B246" s="435">
        <v>4875</v>
      </c>
      <c r="C246" s="1598"/>
      <c r="D246" s="1574"/>
      <c r="E246" s="1574"/>
      <c r="F246" s="1574"/>
      <c r="G246" s="1574"/>
      <c r="H246" s="1574"/>
      <c r="I246" s="1575"/>
      <c r="J246" s="1574"/>
      <c r="K246" s="1574"/>
    </row>
    <row r="247" spans="1:11" ht="12.95" customHeight="1" x14ac:dyDescent="0.2">
      <c r="A247" s="436" t="s">
        <v>765</v>
      </c>
      <c r="B247" s="435">
        <v>4876</v>
      </c>
      <c r="C247" s="1598"/>
      <c r="D247" s="1574"/>
      <c r="E247" s="1574"/>
      <c r="F247" s="1574"/>
      <c r="G247" s="1574"/>
      <c r="H247" s="1574"/>
      <c r="I247" s="1575"/>
      <c r="J247" s="1574"/>
      <c r="K247" s="1574"/>
    </row>
    <row r="248" spans="1:11" ht="12.95" customHeight="1" x14ac:dyDescent="0.2">
      <c r="A248" s="436" t="s">
        <v>766</v>
      </c>
      <c r="B248" s="435">
        <v>4877</v>
      </c>
      <c r="C248" s="1598"/>
      <c r="D248" s="1574"/>
      <c r="E248" s="1574"/>
      <c r="F248" s="1574"/>
      <c r="G248" s="1574"/>
      <c r="H248" s="1574"/>
      <c r="I248" s="1575"/>
      <c r="J248" s="1574"/>
      <c r="K248" s="1574"/>
    </row>
    <row r="249" spans="1:11" ht="12.95" customHeight="1" x14ac:dyDescent="0.2">
      <c r="A249" s="436" t="s">
        <v>767</v>
      </c>
      <c r="B249" s="435">
        <v>4878</v>
      </c>
      <c r="C249" s="1598"/>
      <c r="D249" s="1574"/>
      <c r="E249" s="1574"/>
      <c r="F249" s="1574"/>
      <c r="G249" s="1574"/>
      <c r="H249" s="1574"/>
      <c r="I249" s="1575"/>
      <c r="J249" s="1574"/>
      <c r="K249" s="1574"/>
    </row>
    <row r="250" spans="1:11" ht="12.95" customHeight="1" x14ac:dyDescent="0.2">
      <c r="A250" s="436" t="s">
        <v>768</v>
      </c>
      <c r="B250" s="435">
        <v>4879</v>
      </c>
      <c r="C250" s="1598"/>
      <c r="D250" s="1574"/>
      <c r="E250" s="1574"/>
      <c r="F250" s="1574"/>
      <c r="G250" s="1574"/>
      <c r="H250" s="1574"/>
      <c r="I250" s="1575"/>
      <c r="J250" s="1574"/>
      <c r="K250" s="1574"/>
    </row>
    <row r="251" spans="1:11" ht="12.95" customHeight="1" x14ac:dyDescent="0.2">
      <c r="A251" s="220" t="s">
        <v>1438</v>
      </c>
      <c r="B251" s="486">
        <v>4880</v>
      </c>
      <c r="C251" s="1598"/>
      <c r="D251" s="1574"/>
      <c r="E251" s="1574"/>
      <c r="F251" s="1574"/>
      <c r="G251" s="1574"/>
      <c r="H251" s="1574"/>
      <c r="I251" s="1575"/>
      <c r="J251" s="1574"/>
      <c r="K251" s="1574"/>
    </row>
    <row r="252" spans="1:11" ht="12.9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95" customHeight="1" thickTop="1" thickBot="1" x14ac:dyDescent="0.25">
      <c r="A253" s="1272" t="s">
        <v>1404</v>
      </c>
      <c r="B253" s="487">
        <v>4901</v>
      </c>
      <c r="C253" s="1666"/>
      <c r="D253" s="1576"/>
      <c r="E253" s="1575"/>
      <c r="F253" s="1575"/>
      <c r="G253" s="1575"/>
      <c r="H253" s="1575"/>
      <c r="I253" s="1575"/>
      <c r="J253" s="1575"/>
      <c r="K253" s="1575"/>
    </row>
    <row r="254" spans="1:11" ht="12.95" customHeight="1" thickTop="1" thickBot="1" x14ac:dyDescent="0.25">
      <c r="A254" s="1273" t="s">
        <v>1446</v>
      </c>
      <c r="B254" s="488">
        <v>4902</v>
      </c>
      <c r="C254" s="1667"/>
      <c r="D254" s="1668"/>
      <c r="E254" s="1576"/>
      <c r="F254" s="1668"/>
      <c r="G254" s="1668"/>
      <c r="H254" s="1576"/>
      <c r="I254" s="1575"/>
      <c r="J254" s="1576"/>
      <c r="K254" s="1576"/>
    </row>
    <row r="255" spans="1:11" ht="12.95" customHeight="1" thickTop="1" thickBot="1" x14ac:dyDescent="0.25">
      <c r="A255" s="427" t="s">
        <v>1439</v>
      </c>
      <c r="B255" s="429">
        <v>4905</v>
      </c>
      <c r="C255" s="1649"/>
      <c r="D255" s="1575"/>
      <c r="E255" s="1575"/>
      <c r="F255" s="1653"/>
      <c r="G255" s="1649"/>
      <c r="H255" s="1575"/>
      <c r="I255" s="1575"/>
      <c r="J255" s="1575"/>
      <c r="K255" s="1575"/>
    </row>
    <row r="256" spans="1:11" ht="12.95" customHeight="1" thickTop="1" thickBot="1" x14ac:dyDescent="0.25">
      <c r="A256" s="427" t="s">
        <v>1440</v>
      </c>
      <c r="B256" s="429">
        <v>4909</v>
      </c>
      <c r="C256" s="1651"/>
      <c r="D256" s="1575"/>
      <c r="E256" s="1575"/>
      <c r="F256" s="1651"/>
      <c r="G256" s="1651"/>
      <c r="H256" s="1575"/>
      <c r="I256" s="1575"/>
      <c r="J256" s="1575"/>
      <c r="K256" s="1575"/>
    </row>
    <row r="257" spans="1:11" ht="12.95" customHeight="1" thickTop="1" thickBot="1" x14ac:dyDescent="0.25">
      <c r="A257" s="427" t="s">
        <v>191</v>
      </c>
      <c r="B257" s="429">
        <v>4920</v>
      </c>
      <c r="C257" s="1651"/>
      <c r="D257" s="1653"/>
      <c r="E257" s="1575"/>
      <c r="F257" s="1649"/>
      <c r="G257" s="1649"/>
      <c r="H257" s="1575"/>
      <c r="I257" s="1575"/>
      <c r="J257" s="1575"/>
      <c r="K257" s="1575"/>
    </row>
    <row r="258" spans="1:11" ht="12.95" customHeight="1" thickTop="1" thickBot="1" x14ac:dyDescent="0.25">
      <c r="A258" s="427" t="s">
        <v>418</v>
      </c>
      <c r="B258" s="429">
        <v>4930</v>
      </c>
      <c r="C258" s="1651"/>
      <c r="D258" s="1651"/>
      <c r="E258" s="1575"/>
      <c r="F258" s="1651"/>
      <c r="G258" s="1651"/>
      <c r="H258" s="1575"/>
      <c r="I258" s="1575"/>
      <c r="J258" s="1575"/>
      <c r="K258" s="1575"/>
    </row>
    <row r="259" spans="1:11" ht="12.95" customHeight="1" thickTop="1" thickBot="1" x14ac:dyDescent="0.25">
      <c r="A259" s="427" t="s">
        <v>753</v>
      </c>
      <c r="B259" s="429">
        <v>4932</v>
      </c>
      <c r="C259" s="1651"/>
      <c r="D259" s="1651"/>
      <c r="E259" s="1575"/>
      <c r="F259" s="1651"/>
      <c r="G259" s="1651"/>
      <c r="H259" s="1575"/>
      <c r="I259" s="1575"/>
      <c r="J259" s="1575"/>
      <c r="K259" s="1575"/>
    </row>
    <row r="260" spans="1:11" ht="12.95" customHeight="1" thickTop="1" thickBot="1" x14ac:dyDescent="0.25">
      <c r="A260" s="427" t="s">
        <v>884</v>
      </c>
      <c r="B260" s="429">
        <v>4960</v>
      </c>
      <c r="C260" s="1650"/>
      <c r="D260" s="1651"/>
      <c r="E260" s="1575"/>
      <c r="F260" s="1651"/>
      <c r="G260" s="1651"/>
      <c r="H260" s="1575"/>
      <c r="I260" s="1575"/>
      <c r="J260" s="1575"/>
      <c r="K260" s="1575"/>
    </row>
    <row r="261" spans="1:11" ht="12.95" customHeight="1" thickTop="1" thickBot="1" x14ac:dyDescent="0.25">
      <c r="A261" s="1539" t="s">
        <v>1896</v>
      </c>
      <c r="B261" s="429">
        <v>4981</v>
      </c>
      <c r="C261" s="1650"/>
      <c r="D261" s="1651"/>
      <c r="E261" s="1575"/>
      <c r="F261" s="1651"/>
      <c r="G261" s="1651"/>
      <c r="H261" s="1575"/>
      <c r="I261" s="1575"/>
      <c r="J261" s="1575"/>
      <c r="K261" s="1575"/>
    </row>
    <row r="262" spans="1:11" ht="12.95" customHeight="1" thickTop="1" thickBot="1" x14ac:dyDescent="0.25">
      <c r="A262" s="1540" t="s">
        <v>1897</v>
      </c>
      <c r="B262" s="429">
        <v>4982</v>
      </c>
      <c r="C262" s="1650"/>
      <c r="D262" s="1651"/>
      <c r="E262" s="1575"/>
      <c r="F262" s="1651"/>
      <c r="G262" s="1651"/>
      <c r="H262" s="1575"/>
      <c r="I262" s="1575"/>
      <c r="J262" s="1575"/>
      <c r="K262" s="1575"/>
    </row>
    <row r="263" spans="1:11" ht="12.95" customHeight="1" thickTop="1" thickBot="1" x14ac:dyDescent="0.25">
      <c r="A263" s="427" t="s">
        <v>564</v>
      </c>
      <c r="B263" s="429">
        <v>4991</v>
      </c>
      <c r="C263" s="1650"/>
      <c r="D263" s="1651"/>
      <c r="E263" s="1575"/>
      <c r="F263" s="1651"/>
      <c r="G263" s="1651"/>
      <c r="H263" s="1575"/>
      <c r="I263" s="1575"/>
      <c r="J263" s="1575"/>
      <c r="K263" s="1575"/>
    </row>
    <row r="264" spans="1:11" ht="12.95" customHeight="1" thickTop="1" thickBot="1" x14ac:dyDescent="0.25">
      <c r="A264" s="427" t="s">
        <v>374</v>
      </c>
      <c r="B264" s="429">
        <v>4992</v>
      </c>
      <c r="C264" s="1650"/>
      <c r="D264" s="1651"/>
      <c r="E264" s="1575"/>
      <c r="F264" s="1651"/>
      <c r="G264" s="1651"/>
      <c r="H264" s="1575"/>
      <c r="I264" s="1575"/>
      <c r="J264" s="1575"/>
      <c r="K264" s="1575"/>
    </row>
    <row r="265" spans="1:11" s="489" customFormat="1" ht="12.9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246719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246719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1774903</v>
      </c>
      <c r="D268" s="1641">
        <f t="shared" si="12"/>
        <v>197007</v>
      </c>
      <c r="E268" s="1641">
        <f t="shared" si="12"/>
        <v>0</v>
      </c>
      <c r="F268" s="1641">
        <f t="shared" si="12"/>
        <v>11981</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FOR THE YEAR ENDING JUNE 30, 2020&amp;R&amp;8Page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purl.org/dc/elements/1.1/"/>
    <ds:schemaRef ds:uri="http://www.w3.org/XML/1998/namespace"/>
    <ds:schemaRef ds:uri="6ce3111e-7420-4802-b50a-75d4e9a0b980"/>
    <ds:schemaRef ds:uri="http://schemas.microsoft.com/office/2006/metadata/properties"/>
    <ds:schemaRef ds:uri="http://schemas.microsoft.com/office/2006/documentManagement/types"/>
    <ds:schemaRef ds:uri="http://schemas.microsoft.com/sharepoint/v3"/>
    <ds:schemaRef ds:uri="4d435f69-8686-490b-bd6d-b153bf22ab50"/>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2020-10-27T18:15:47Z</cp:lastPrinted>
  <dcterms:created xsi:type="dcterms:W3CDTF">2003-10-29T19:06:34Z</dcterms:created>
  <dcterms:modified xsi:type="dcterms:W3CDTF">2020-11-19T20:05:11Z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