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3E67E95-41AD-4CBA-9E44-3137F86A93EF}"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9" r:id="rId29"/>
    <sheet name="SEFA NOTES" sheetId="173" r:id="rId30"/>
    <sheet name="SF&amp;QC Sec-1" sheetId="174" r:id="rId31"/>
    <sheet name="SF&amp;QC Sec-2" sheetId="175" r:id="rId32"/>
    <sheet name="SF&amp;QC Sec-3" sheetId="176" r:id="rId33"/>
    <sheet name="Finding 2020-001" sheetId="190" r:id="rId34"/>
    <sheet name="SSPAF" sheetId="177" r:id="rId35"/>
    <sheet name="CAP 2020-001" sheetId="185" r:id="rId36"/>
  </sheets>
  <definedNames>
    <definedName name="_xlnm._FilterDatabase" localSheetId="23" hidden="1">'AFR20'!$A$1:$F$7884</definedName>
    <definedName name="goof" localSheetId="28">#REF!</definedName>
    <definedName name="goof">#REF!</definedName>
    <definedName name="newname" localSheetId="28">#REF!</definedName>
    <definedName name="newname">#REF!</definedName>
    <definedName name="oops" localSheetId="28">#REF!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20'!$A$1:$U$90</definedName>
    <definedName name="_xlnm.Print_Area" localSheetId="29">'SEFA NOTES'!$A$1:$F$59</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20'!$B$14:$AB$90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14">#REF!</definedName>
    <definedName name="SCHADDRS" localSheetId="21">#REF!</definedName>
    <definedName name="SCHADDRS" localSheetId="4">#REF!</definedName>
    <definedName name="SCHADDRS" localSheetId="33">#REF!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14">#REF!</definedName>
    <definedName name="SCHCTY" localSheetId="21">#REF!</definedName>
    <definedName name="SCHCTY" localSheetId="4">#REF!</definedName>
    <definedName name="SCHCTY" localSheetId="33">#REF!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14">#REF!</definedName>
    <definedName name="SCHNMBR" localSheetId="21">#REF!</definedName>
    <definedName name="SCHNMBR" localSheetId="4">#REF!</definedName>
    <definedName name="SCHNMBR" localSheetId="33">#REF!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14">#REF!</definedName>
    <definedName name="SCHNME" localSheetId="21">#REF!</definedName>
    <definedName name="SCHNME" localSheetId="4">#REF!</definedName>
    <definedName name="SCHNME" localSheetId="33">#REF!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14">#REF!</definedName>
    <definedName name="SUPT" localSheetId="21">#REF!</definedName>
    <definedName name="SUPT" localSheetId="4">#REF!</definedName>
    <definedName name="SUPT" localSheetId="33">#REF!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90" l="1"/>
  <c r="B4" i="190"/>
  <c r="S26" i="189" l="1"/>
  <c r="M37" i="189"/>
  <c r="O37" i="189" s="1"/>
  <c r="S22" i="189" l="1"/>
  <c r="S21" i="189"/>
  <c r="S24" i="189" s="1"/>
  <c r="S16" i="189"/>
  <c r="O24" i="189" l="1"/>
  <c r="M32" i="189"/>
  <c r="K32" i="189"/>
  <c r="I32" i="189"/>
  <c r="G32" i="189"/>
  <c r="M24" i="189"/>
  <c r="K24" i="189"/>
  <c r="M19" i="189"/>
  <c r="K19" i="189"/>
  <c r="I19" i="189"/>
  <c r="K37" i="189"/>
  <c r="I37" i="189"/>
  <c r="G37" i="189"/>
  <c r="G19" i="189"/>
  <c r="G43" i="174" l="1"/>
  <c r="X85" i="189" l="1"/>
  <c r="X86" i="189" s="1"/>
  <c r="X79" i="189"/>
  <c r="Q77" i="189"/>
  <c r="O77" i="189"/>
  <c r="M77" i="189"/>
  <c r="K77" i="189"/>
  <c r="I77" i="189"/>
  <c r="G77" i="189"/>
  <c r="S76" i="189"/>
  <c r="S75" i="189"/>
  <c r="Q67" i="189"/>
  <c r="Q83" i="189" s="1"/>
  <c r="O67" i="189"/>
  <c r="M67" i="189"/>
  <c r="K67" i="189"/>
  <c r="I67" i="189"/>
  <c r="G67" i="189"/>
  <c r="S66" i="189"/>
  <c r="S65" i="189"/>
  <c r="Q56" i="189"/>
  <c r="I56" i="189"/>
  <c r="S55" i="189"/>
  <c r="O55" i="189"/>
  <c r="O56" i="189" s="1"/>
  <c r="S54" i="189"/>
  <c r="M53" i="189"/>
  <c r="S53" i="189" s="1"/>
  <c r="S52" i="189"/>
  <c r="U51" i="189"/>
  <c r="K51" i="189"/>
  <c r="S51" i="189" s="1"/>
  <c r="G51" i="189"/>
  <c r="G56" i="189" s="1"/>
  <c r="Q49" i="189"/>
  <c r="O49" i="189"/>
  <c r="I49" i="189"/>
  <c r="S48" i="189"/>
  <c r="U46" i="189"/>
  <c r="S46" i="189"/>
  <c r="M45" i="189"/>
  <c r="M49" i="189" s="1"/>
  <c r="S44" i="189"/>
  <c r="K43" i="189"/>
  <c r="K49" i="189" s="1"/>
  <c r="G43" i="189"/>
  <c r="G49" i="189" s="1"/>
  <c r="AA42" i="189"/>
  <c r="AA38" i="189"/>
  <c r="Q37" i="189"/>
  <c r="H37" i="189"/>
  <c r="S34" i="189"/>
  <c r="S33" i="189"/>
  <c r="S31" i="189"/>
  <c r="S30" i="189"/>
  <c r="O28" i="189"/>
  <c r="S27" i="189"/>
  <c r="S32" i="189" s="1"/>
  <c r="O18" i="189"/>
  <c r="S17" i="189"/>
  <c r="S19" i="189" s="1"/>
  <c r="M9" i="189"/>
  <c r="K9" i="189"/>
  <c r="M8" i="189"/>
  <c r="S67" i="189" l="1"/>
  <c r="AA79" i="189"/>
  <c r="K83" i="189"/>
  <c r="O83" i="189"/>
  <c r="G83" i="189"/>
  <c r="G57" i="189"/>
  <c r="I57" i="189"/>
  <c r="I59" i="189"/>
  <c r="I81" i="189" s="1"/>
  <c r="O57" i="189"/>
  <c r="Q59" i="189"/>
  <c r="Q81" i="189" s="1"/>
  <c r="Q85" i="189" s="1"/>
  <c r="S43" i="189"/>
  <c r="O32" i="189"/>
  <c r="K56" i="189"/>
  <c r="K57" i="189" s="1"/>
  <c r="M83" i="189"/>
  <c r="O19" i="189"/>
  <c r="O59" i="189"/>
  <c r="M56" i="189"/>
  <c r="M59" i="189" s="1"/>
  <c r="M79" i="189" s="1"/>
  <c r="I83" i="189"/>
  <c r="S77" i="189"/>
  <c r="S37" i="189"/>
  <c r="G59" i="189"/>
  <c r="G79" i="189" s="1"/>
  <c r="K59" i="189"/>
  <c r="K81" i="189" s="1"/>
  <c r="K85" i="189" s="1"/>
  <c r="S56" i="189"/>
  <c r="S45" i="189"/>
  <c r="S83" i="189" l="1"/>
  <c r="I79" i="189"/>
  <c r="M57" i="189"/>
  <c r="Q79" i="189"/>
  <c r="I85" i="189"/>
  <c r="S49" i="189"/>
  <c r="K79" i="189"/>
  <c r="G81" i="189"/>
  <c r="G85" i="189" s="1"/>
  <c r="M81" i="189"/>
  <c r="M85" i="189" s="1"/>
  <c r="X87" i="189" s="1"/>
  <c r="O79" i="189"/>
  <c r="O81" i="189"/>
  <c r="O85" i="189" s="1"/>
  <c r="S59" i="189" l="1"/>
  <c r="S81" i="189" s="1"/>
  <c r="S85" i="189" s="1"/>
  <c r="S57" i="189"/>
  <c r="X82" i="189"/>
  <c r="S79" i="189"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90" s="1"/>
  <c r="B4" i="177"/>
  <c r="B4" i="176"/>
  <c r="B4" i="175"/>
  <c r="D47"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0"/>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B7078" i="106" l="1"/>
  <c r="D7078" i="106" s="1"/>
  <c r="D36" i="108"/>
  <c r="D14" i="4"/>
  <c r="B2570" i="106" s="1"/>
  <c r="D2570" i="106" s="1"/>
  <c r="G35" i="108"/>
  <c r="B2805" i="106"/>
  <c r="D2805" i="106" s="1"/>
  <c r="H28" i="118"/>
  <c r="H365" i="29"/>
  <c r="B7242" i="106" s="1"/>
  <c r="D7242" i="106" s="1"/>
  <c r="B2724" i="106"/>
  <c r="D2724"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L16" i="11"/>
  <c r="B2061" i="106" s="1"/>
  <c r="D2061" i="106" s="1"/>
  <c r="B4435" i="106"/>
  <c r="D4435" i="106" s="1"/>
  <c r="I151" i="29"/>
  <c r="F59" i="34" s="1"/>
  <c r="B2031" i="106"/>
  <c r="D2031" i="106" s="1"/>
  <c r="C151" i="29"/>
  <c r="B1226" i="106" s="1"/>
  <c r="D1226" i="106" s="1"/>
  <c r="L114" i="29"/>
  <c r="J16" i="4"/>
  <c r="B6226" i="106" s="1"/>
  <c r="D6226" i="106" s="1"/>
  <c r="J151" i="29"/>
  <c r="B7052" i="106" s="1"/>
  <c r="D705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B3678" i="106" s="1"/>
  <c r="D3678"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B1645" i="106"/>
  <c r="D1645" i="106" s="1"/>
  <c r="B3321" i="106"/>
  <c r="D3321" i="106" s="1"/>
  <c r="B1687" i="106"/>
  <c r="D1687" i="106" s="1"/>
  <c r="B3414" i="106" l="1"/>
  <c r="D3414" i="106" s="1"/>
  <c r="D36" i="36"/>
  <c r="D35" i="36"/>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O17" i="118" l="1"/>
  <c r="O20" i="118" s="1"/>
  <c r="K20" i="118"/>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34" i="36" l="1"/>
  <c r="B3411" i="106"/>
  <c r="D3411" i="106" s="1"/>
  <c r="H24" i="118"/>
  <c r="K24" i="118" s="1"/>
  <c r="O23" i="118" s="1"/>
  <c r="O25" i="118" s="1"/>
  <c r="O35" i="118" s="1"/>
  <c r="O37" i="118" s="1"/>
  <c r="C13" i="3"/>
  <c r="B77" i="106" l="1"/>
  <c r="D77"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<sst xmlns="http://schemas.openxmlformats.org/spreadsheetml/2006/main" count="5482" uniqueCount="2216">
  <si>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</si>
  <si>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</si>
  <si>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</si>
  <si>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</si>
  <si>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</si>
  <si>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</si>
  <si>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</si>
  <si>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</si>
  <si>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</si>
  <si>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</si>
  <si>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</si>
  <si>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</si>
  <si>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</si>
  <si>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</si>
  <si>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</si>
  <si>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</si>
  <si>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</si>
  <si>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</si>
  <si>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</si>
  <si>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</si>
  <si>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</si>
  <si>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</si>
  <si>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</si>
  <si>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</si>
  <si>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</si>
  <si>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</si>
  <si>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</si>
  <si>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</si>
  <si>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</si>
  <si>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</si>
  <si>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</si>
  <si>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</si>
  <si>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</si>
  <si>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</si>
  <si>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</si>
  <si>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</si>
  <si>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</si>
  <si>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</si>
  <si>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</si>
  <si>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</si>
  <si>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</si>
  <si>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</si>
  <si>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</si>
  <si>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</si>
  <si>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</si>
  <si>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</si>
  <si>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</si>
  <si>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</si>
  <si>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</si>
  <si>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</si>
  <si>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</si>
  <si>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</si>
  <si>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</si>
  <si>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</si>
  <si>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</si>
  <si>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</si>
  <si>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</si>
  <si>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</si>
  <si>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</si>
  <si>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</si>
  <si>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</si>
  <si>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</si>
  <si>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</si>
  <si>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</si>
  <si>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</si>
  <si>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</si>
  <si>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</si>
  <si>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</si>
  <si>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</si>
  <si>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</si>
  <si>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</si>
  <si>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</si>
  <si>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</si>
  <si>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</si>
  <si>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</si>
  <si>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</si>
  <si>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</si>
  <si>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</si>
  <si>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</si>
  <si>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</si>
  <si>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</si>
  <si>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</si>
  <si>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</si>
  <si>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</si>
  <si>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</si>
  <si>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</si>
  <si>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</si>
  <si>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</si>
  <si>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</si>
  <si>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</si>
  <si>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</si>
  <si>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</si>
  <si>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</si>
  <si>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</si>
  <si>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</si>
  <si>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</si>
  <si>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</si>
  <si>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</si>
  <si>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</si>
  <si>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</si>
  <si>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</si>
  <si>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</si>
  <si>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</si>
  <si>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</si>
  <si>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</si>
  <si>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</si>
  <si>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</si>
  <si>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</si>
  <si>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</si>
  <si>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</si>
  <si>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</si>
  <si>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</si>
  <si>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</si>
  <si>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</si>
  <si>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</si>
  <si>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</si>
  <si>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</si>
  <si>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</si>
  <si>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</si>
  <si>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</si>
  <si>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</si>
  <si>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</si>
  <si>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</si>
  <si>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</si>
  <si>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</si>
  <si>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</si>
  <si>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</si>
  <si>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</si>
  <si>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</si>
  <si>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</si>
  <si>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</si>
  <si>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</si>
  <si>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</si>
  <si>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</si>
  <si>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</si>
  <si>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</si>
  <si>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</si>
  <si>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</si>
  <si>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</si>
  <si>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</si>
  <si>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</si>
  <si>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</si>
  <si>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</si>
  <si>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</si>
  <si>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</si>
  <si>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</si>
  <si>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</si>
  <si>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</si>
  <si>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</si>
  <si>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</si>
  <si>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</si>
  <si>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</si>
  <si>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</si>
  <si>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</si>
  <si>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</si>
  <si>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</si>
  <si>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</si>
  <si>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</si>
  <si>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</si>
  <si>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</si>
  <si>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</si>
  <si>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</si>
  <si>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</si>
  <si>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</si>
  <si>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</si>
  <si>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</si>
  <si>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</si>
  <si>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</si>
  <si>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</si>
  <si>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</si>
  <si>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</si>
  <si>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</si>
  <si>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</si>
  <si>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</si>
  <si>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</si>
  <si>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</si>
  <si>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</si>
  <si>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</si>
  <si>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</si>
  <si>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</si>
  <si>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</si>
  <si>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</si>
  <si>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</si>
  <si>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</si>
  <si>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</si>
  <si>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</si>
  <si>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</si>
  <si>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</si>
  <si>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</si>
  <si>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</si>
  <si>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</si>
  <si>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</si>
  <si>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</si>
  <si>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</si>
  <si>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</si>
  <si>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</si>
  <si>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</si>
  <si>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</si>
  <si>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</si>
  <si>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</si>
  <si>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</si>
  <si>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</si>
  <si>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</si>
  <si>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</si>
  <si>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</si>
  <si>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</si>
  <si>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</si>
  <si>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</si>
  <si>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</si>
  <si>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</si>
  <si>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</si>
  <si>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</si>
  <si>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</si>
  <si>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</si>
  <si>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</si>
  <si>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</si>
  <si>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</si>
  <si>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</si>
  <si>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</si>
  <si>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</si>
  <si>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</si>
  <si>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</si>
  <si>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</si>
  <si>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</si>
  <si>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</si>
  <si>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</si>
  <si>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</si>
  <si>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</si>
  <si>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</si>
  <si>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</si>
  <si>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</si>
  <si>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</si>
  <si>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</si>
  <si>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</si>
  <si>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</si>
  <si>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</si>
  <si>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</si>
  <si>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</si>
  <si>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</si>
  <si>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</si>
  <si>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</si>
  <si>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</si>
  <si>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</si>
  <si>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</si>
  <si>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</si>
  <si>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</si>
  <si>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</si>
  <si>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</si>
  <si>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</si>
  <si>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</si>
  <si>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</si>
  <si>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</si>
  <si>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</si>
  <si>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</si>
  <si>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</si>
  <si>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</si>
  <si>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</si>
  <si>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</si>
  <si>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</si>
  <si>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</si>
  <si>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</si>
  <si>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</si>
  <si>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</si>
  <si>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</si>
  <si>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</si>
  <si>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</si>
  <si>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</si>
  <si>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</si>
  <si>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</si>
  <si>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</si>
  <si>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</si>
  <si>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</si>
  <si>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</si>
  <si>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</si>
  <si>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</si>
  <si>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</si>
  <si>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</si>
  <si>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</si>
  <si>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</si>
  <si>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</si>
  <si>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</si>
  <si>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</si>
  <si>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</si>
  <si>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</si>
  <si>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</si>
  <si>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</si>
  <si>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</si>
  <si>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</si>
  <si>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</si>
  <si>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</si>
  <si>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</si>
  <si>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</si>
  <si>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</si>
  <si>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</si>
  <si>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</si>
  <si>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</si>
  <si>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</si>
  <si>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</si>
  <si>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</si>
  <si>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</si>
  <si>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</si>
  <si>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</si>
  <si>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</si>
  <si>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</si>
  <si>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</si>
  <si>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</si>
  <si>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</si>
  <si>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</si>
  <si>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</si>
  <si>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</si>
  <si>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</si>
  <si>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</si>
  <si>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</si>
  <si>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</si>
  <si>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</si>
  <si>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</si>
  <si>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</si>
  <si>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</si>
  <si>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</si>
  <si>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</si>
  <si>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</si>
  <si>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</si>
  <si>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</si>
  <si>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</si>
  <si>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</si>
  <si>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</si>
  <si>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</si>
  <si>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</si>
  <si>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</si>
  <si>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</si>
  <si>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</si>
  <si>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</si>
  <si>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</si>
  <si>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</si>
  <si>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</si>
  <si>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</si>
  <si>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</si>
  <si>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</si>
  <si>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</si>
  <si>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</si>
  <si>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</si>
  <si>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</si>
  <si>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</si>
  <si>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</si>
  <si>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</si>
  <si>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</si>
  <si>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</si>
  <si>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</si>
  <si>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</si>
  <si>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</si>
  <si>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</si>
  <si>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</si>
  <si>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</si>
  <si>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</si>
  <si>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</si>
  <si>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</si>
  <si>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</si>
  <si>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</si>
  <si>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</si>
  <si>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</si>
  <si>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</si>
  <si>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</si>
  <si>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</si>
  <si>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</si>
  <si>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</si>
  <si>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</si>
  <si>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</si>
  <si>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</si>
  <si>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</si>
  <si>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</si>
  <si>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</si>
  <si>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</si>
  <si>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</si>
  <si>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</si>
  <si>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</si>
  <si>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</si>
  <si>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</si>
  <si>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</si>
  <si>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</si>
  <si>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</si>
  <si>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</si>
  <si>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</si>
  <si>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</si>
  <si>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</si>
  <si>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</si>
  <si>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</si>
  <si>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</si>
  <si>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</si>
  <si>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</si>
  <si>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</si>
  <si>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</si>
  <si>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</si>
  <si>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</si>
  <si>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</si>
  <si>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</si>
  <si>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</si>
  <si>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</si>
  <si>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</si>
  <si>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</si>
  <si>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</si>
  <si>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</si>
  <si>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</si>
  <si>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</si>
  <si>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</si>
  <si>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</si>
  <si>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</si>
  <si>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</si>
  <si>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</si>
  <si>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</si>
  <si>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</si>
  <si>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</si>
  <si>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</si>
  <si>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</si>
  <si>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</si>
  <si>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</si>
  <si>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</si>
  <si>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</si>
  <si>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</si>
  <si>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</si>
  <si>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</si>
  <si>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</si>
  <si>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</si>
  <si>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</si>
  <si>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</si>
  <si>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</si>
  <si>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</si>
  <si>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</si>
  <si>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</si>
  <si>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</si>
  <si>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</si>
  <si>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</si>
  <si>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</si>
  <si>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</si>
  <si>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</si>
  <si>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</si>
  <si>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</si>
  <si>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</si>
  <si>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</si>
  <si>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</si>
  <si>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</si>
  <si>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</si>
  <si>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</si>
  <si>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</si>
  <si>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</si>
  <si>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</si>
  <si>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</si>
  <si>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</si>
  <si>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</si>
  <si>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</si>
  <si>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</si>
  <si>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</si>
  <si>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</si>
  <si>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</si>
  <si>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</si>
  <si>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</si>
  <si>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</si>
  <si>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</si>
  <si>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</si>
  <si>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</si>
  <si>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</si>
  <si>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</si>
  <si>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</si>
  <si>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</si>
  <si>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</si>
  <si>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</si>
  <si>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</si>
  <si>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</si>
  <si>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</si>
  <si>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</si>
  <si>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</si>
  <si>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</si>
  <si>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</si>
  <si>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</si>
  <si>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</si>
  <si>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</si>
  <si>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</si>
  <si>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</si>
  <si>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</si>
  <si>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</si>
  <si>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</si>
  <si>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</si>
  <si>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</si>
  <si>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</si>
  <si>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</si>
  <si>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</si>
  <si>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</si>
  <si>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</si>
  <si>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</si>
  <si>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</si>
  <si>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</si>
  <si>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</si>
  <si>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</si>
  <si>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</si>
  <si>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</si>
  <si>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</si>
  <si>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</si>
  <si>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</si>
  <si>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</si>
  <si>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</si>
  <si>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</si>
  <si>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</si>
  <si>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</si>
  <si>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</si>
  <si>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</si>
  <si>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</si>
  <si>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</si>
  <si>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</si>
  <si>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</si>
  <si>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</si>
  <si>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</si>
  <si>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</si>
  <si>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</si>
  <si>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</si>
  <si>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</si>
  <si>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</si>
  <si>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</si>
  <si>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</si>
  <si>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</si>
  <si>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</si>
  <si>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</si>
  <si>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</si>
  <si>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</si>
  <si>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</si>
  <si>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</si>
  <si>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</si>
  <si>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</si>
  <si>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</si>
  <si>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</si>
  <si>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</si>
  <si>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</si>
  <si>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</si>
  <si>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</si>
  <si>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</si>
  <si>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</si>
  <si>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</si>
  <si>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</si>
  <si>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</si>
  <si>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</si>
  <si>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</si>
  <si>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</si>
  <si>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</si>
  <si>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</si>
  <si>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</si>
  <si>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</si>
  <si>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</si>
  <si>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</si>
  <si>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</si>
  <si>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</si>
  <si>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</si>
  <si>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</si>
  <si>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</si>
  <si>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</si>
  <si>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</si>
  <si>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</si>
  <si>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</si>
  <si>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</si>
  <si>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</si>
  <si>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</si>
  <si>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</si>
  <si>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</si>
  <si>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</si>
  <si>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</si>
  <si>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</si>
  <si>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</si>
  <si>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</si>
  <si>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</si>
  <si>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</si>
  <si>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</si>
  <si>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</si>
  <si>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</si>
  <si>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</si>
  <si>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</si>
  <si>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</si>
  <si>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</si>
  <si>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</si>
  <si>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</si>
  <si>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</si>
  <si>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</si>
  <si>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</si>
  <si>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</si>
  <si>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</si>
  <si>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</si>
  <si>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</si>
  <si>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</si>
  <si>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</si>
  <si>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</si>
  <si>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</si>
  <si>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</si>
  <si>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</si>
  <si>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</si>
  <si>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</si>
  <si>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</si>
  <si>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</si>
  <si>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</si>
  <si>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</si>
  <si>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</si>
  <si>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</si>
  <si>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</si>
  <si>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</si>
  <si>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</si>
  <si>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</si>
  <si>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</si>
  <si>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</si>
  <si>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</si>
  <si>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</si>
  <si>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</si>
  <si>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</si>
  <si>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</si>
  <si>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</si>
  <si>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</si>
  <si>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</si>
  <si>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</si>
  <si>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</si>
  <si>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</si>
  <si>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</si>
  <si>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</si>
  <si>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</si>
  <si>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</si>
  <si>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</si>
  <si>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</si>
  <si>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</si>
  <si>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</si>
  <si>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</si>
  <si>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</si>
  <si>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</si>
  <si>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</si>
  <si>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</si>
  <si>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</si>
  <si>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</si>
  <si>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</si>
  <si>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</si>
  <si>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</si>
  <si>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</si>
  <si>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</si>
  <si>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</si>
  <si>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</si>
  <si>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</si>
  <si>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</si>
  <si>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</si>
  <si>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</si>
  <si>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</si>
  <si>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</si>
  <si>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</si>
  <si>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</si>
  <si>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</si>
  <si>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</si>
  <si>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</si>
  <si>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</si>
  <si>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</si>
  <si>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</si>
  <si>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</si>
  <si>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</si>
  <si>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</si>
  <si>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</si>
  <si>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</si>
  <si>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</si>
  <si>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</si>
  <si>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</si>
  <si>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</si>
  <si>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</si>
  <si>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</si>
  <si>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</si>
  <si>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</si>
  <si>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</si>
  <si>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</si>
  <si>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</si>
  <si>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</si>
  <si>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</si>
  <si>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</si>
  <si>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</si>
  <si>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</si>
  <si>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</si>
  <si>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</si>
  <si>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</si>
  <si>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</si>
  <si>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</si>
  <si>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</si>
  <si>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</si>
  <si>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</si>
  <si>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</si>
  <si>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</si>
  <si>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</si>
  <si>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</si>
  <si>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</si>
  <si>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</si>
  <si>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</si>
  <si>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</si>
  <si>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</si>
  <si>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</si>
  <si>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</si>
  <si>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</si>
  <si>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</si>
  <si>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</si>
  <si>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</si>
  <si>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</si>
  <si>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</si>
  <si>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</si>
  <si>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</si>
  <si>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</si>
  <si>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</si>
  <si>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</si>
  <si>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</si>
  <si>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</si>
  <si>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</si>
  <si>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</si>
  <si>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</si>
  <si>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</si>
  <si>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</si>
  <si>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</si>
  <si>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</si>
  <si>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</si>
  <si>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</si>
  <si>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</si>
  <si>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</si>
  <si>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</si>
  <si>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</si>
  <si>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</si>
  <si>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</si>
  <si>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</si>
  <si>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</si>
  <si>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</si>
  <si>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</si>
  <si>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</si>
  <si>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</si>
  <si>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</si>
  <si>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</si>
  <si>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</si>
  <si>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</si>
  <si>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</si>
  <si>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</si>
  <si>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</si>
  <si>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</si>
  <si>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</si>
  <si>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</si>
  <si>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</si>
  <si>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</si>
  <si>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</si>
  <si>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</si>
  <si>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</si>
  <si>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</si>
  <si>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</si>
  <si>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</si>
  <si>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</si>
  <si>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</si>
  <si>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</si>
  <si>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</si>
  <si>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</si>
  <si>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</si>
  <si>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</si>
  <si>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</si>
  <si>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</si>
  <si>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</si>
  <si>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</si>
  <si>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</si>
  <si>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</si>
  <si>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</si>
  <si>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</si>
  <si>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</si>
  <si>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</si>
  <si>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</si>
  <si>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</si>
  <si>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</si>
  <si>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</si>
  <si>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</si>
  <si>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</si>
  <si>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</si>
  <si>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</si>
  <si>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</si>
  <si>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</si>
  <si>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</si>
  <si>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</si>
  <si>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</si>
  <si>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</si>
  <si>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</si>
  <si>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</si>
  <si>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</si>
  <si>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</si>
  <si>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</si>
  <si>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</si>
  <si>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</si>
  <si>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</si>
  <si>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</si>
  <si>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</si>
  <si>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</si>
  <si>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</si>
  <si>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</si>
  <si>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</si>
  <si>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</si>
  <si>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</si>
  <si>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</si>
  <si>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</si>
  <si>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</si>
  <si>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</si>
  <si>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</si>
  <si>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</si>
  <si>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</si>
  <si>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</si>
  <si>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</si>
  <si>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</si>
  <si>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</si>
  <si>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</si>
  <si>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</si>
  <si>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</si>
  <si>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</si>
  <si>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</si>
  <si>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</si>
  <si>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</si>
  <si>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</si>
  <si>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</si>
  <si>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</si>
  <si>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</si>
  <si>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</si>
  <si>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</si>
  <si>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</si>
  <si>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</si>
  <si>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</si>
  <si>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</si>
  <si>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</si>
  <si>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</si>
  <si>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</si>
  <si>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</si>
  <si>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</si>
  <si>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</si>
  <si>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</si>
  <si>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</si>
  <si>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</si>
  <si>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</si>
  <si>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</si>
  <si>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</si>
  <si>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</si>
  <si>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</si>
  <si>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</si>
  <si>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</si>
  <si>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</si>
  <si>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</si>
  <si>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</si>
  <si>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</si>
  <si>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</si>
  <si>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</si>
  <si>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</si>
  <si>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</si>
  <si>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</si>
  <si>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</si>
  <si>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</si>
  <si>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</si>
  <si>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</si>
  <si>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</si>
  <si>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</si>
  <si>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</si>
  <si>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</si>
  <si>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</si>
  <si>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</si>
  <si>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</si>
  <si>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</si>
  <si>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</si>
  <si>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</si>
  <si>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</si>
  <si>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</si>
  <si>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</si>
  <si>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</si>
  <si>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</si>
  <si>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</si>
  <si>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</si>
  <si>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</si>
  <si>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</si>
  <si>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</si>
  <si>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</si>
  <si>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</si>
  <si>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</si>
  <si>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</si>
  <si>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</si>
  <si>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</si>
  <si>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</si>
  <si>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</si>
  <si>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</si>
  <si>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</si>
  <si>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</si>
  <si>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</si>
  <si>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</si>
  <si>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</si>
  <si>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</si>
  <si>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</si>
  <si>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</si>
  <si>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</si>
  <si>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</si>
  <si>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</si>
  <si>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</si>
  <si>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</si>
  <si>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</si>
  <si>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</si>
  <si>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</si>
  <si>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</si>
  <si>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</si>
  <si>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</si>
  <si>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</si>
  <si>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</si>
  <si>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</si>
  <si>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</si>
  <si>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</si>
  <si>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</si>
  <si>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</si>
  <si>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</si>
  <si>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</si>
  <si>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</si>
  <si>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</si>
  <si>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</si>
  <si>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</si>
  <si>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</si>
  <si>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</si>
  <si>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</si>
  <si>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</si>
  <si>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</si>
  <si>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</si>
  <si>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</si>
  <si>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</si>
  <si>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</si>
  <si>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</si>
  <si>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</si>
  <si>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</si>
  <si>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</si>
  <si>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</si>
  <si>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</si>
  <si>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</si>
  <si>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</si>
  <si>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</si>
  <si>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</si>
  <si>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</si>
  <si>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</si>
  <si>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</si>
  <si>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</si>
  <si>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</si>
  <si>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</si>
  <si>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</si>
  <si>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</si>
  <si>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</si>
  <si>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</si>
  <si>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</si>
  <si>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</si>
  <si>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</si>
  <si>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</si>
  <si>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</si>
  <si>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</si>
  <si>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</si>
  <si>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</si>
  <si>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</si>
  <si>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</si>
  <si>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</si>
  <si>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</si>
  <si>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</si>
  <si>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</si>
  <si>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</si>
  <si>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</si>
  <si>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</si>
  <si>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</si>
  <si>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</si>
  <si>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</si>
  <si>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</si>
  <si>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</si>
  <si>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</si>
  <si>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</si>
  <si>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</si>
  <si>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</si>
  <si>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</si>
  <si>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</si>
  <si>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</si>
  <si>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</si>
  <si>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</si>
  <si>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</si>
  <si>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</si>
  <si>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</si>
  <si>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</si>
  <si>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</si>
  <si>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</si>
  <si>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</si>
  <si>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</si>
  <si>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</si>
  <si>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</si>
  <si>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</si>
  <si>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</si>
  <si>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</si>
  <si>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</si>
  <si>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</si>
  <si>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</si>
  <si>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</si>
  <si>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</si>
  <si>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</si>
  <si>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</si>
  <si>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</si>
  <si>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</si>
  <si>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</si>
  <si>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</si>
  <si>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</si>
  <si>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</si>
  <si>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</si>
  <si>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</si>
  <si>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</si>
  <si>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</si>
  <si>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</si>
  <si>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</si>
  <si>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</si>
  <si>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</si>
  <si>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</si>
  <si>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</si>
  <si>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</si>
  <si>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</si>
  <si>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</si>
  <si>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</si>
  <si>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</si>
  <si>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</si>
  <si>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</si>
  <si>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</si>
  <si>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</si>
  <si>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</si>
  <si>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</si>
  <si>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</si>
  <si>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</si>
  <si>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</si>
  <si>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</si>
  <si>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</si>
  <si>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</si>
  <si>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</si>
  <si>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</si>
  <si>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</si>
  <si>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</si>
  <si>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</si>
  <si>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</si>
  <si>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</si>
  <si>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</si>
  <si>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</si>
  <si>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</si>
  <si>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</si>
  <si>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</si>
  <si>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</si>
  <si>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</si>
  <si>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</si>
  <si>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</si>
  <si>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</si>
  <si>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</si>
  <si>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</si>
  <si>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</si>
  <si>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</si>
  <si>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</si>
  <si>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</si>
  <si>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</si>
  <si>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</si>
  <si>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</si>
  <si>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</si>
  <si>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</si>
  <si>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</si>
  <si>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</si>
  <si>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</si>
  <si>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</si>
  <si>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</si>
  <si>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</si>
  <si>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</si>
  <si>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</si>
  <si>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</si>
  <si>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</si>
  <si>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</si>
  <si>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</si>
  <si>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</si>
  <si>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</si>
  <si>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</si>
  <si>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</si>
  <si>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</si>
  <si>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</si>
  <si>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</si>
  <si>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</si>
  <si>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</si>
  <si>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</si>
  <si>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</si>
  <si>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</si>
  <si>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</si>
  <si>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</si>
  <si>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</si>
  <si>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</si>
  <si>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</si>
  <si>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</si>
  <si>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</si>
  <si>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</si>
  <si>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</si>
  <si>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</si>
  <si>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</si>
  <si>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</si>
  <si>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</si>
  <si>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</si>
  <si>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</si>
  <si>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</si>
  <si>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</si>
  <si>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</si>
  <si>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</si>
  <si>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</si>
  <si>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</si>
  <si>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</si>
  <si>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</si>
  <si>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</si>
  <si>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</si>
  <si>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</si>
  <si>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</si>
  <si>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</si>
  <si>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</si>
  <si>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</si>
  <si>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</si>
  <si>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</si>
  <si>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</si>
  <si>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</si>
  <si>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</si>
  <si>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</si>
  <si>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</si>
  <si>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</si>
  <si>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</si>
  <si>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</si>
  <si>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</si>
  <si>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</si>
  <si>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</si>
  <si>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</si>
  <si>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</si>
  <si>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</si>
  <si>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</si>
  <si>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</si>
  <si>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</si>
  <si>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</si>
  <si>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</si>
  <si>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</si>
  <si>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</si>
  <si>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</si>
  <si>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</si>
  <si>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</si>
  <si>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</si>
  <si>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</si>
  <si>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</si>
  <si>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</si>
  <si>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</si>
  <si>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</si>
  <si>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</si>
  <si>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</si>
  <si>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</si>
  <si>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</si>
  <si>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</si>
  <si>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</si>
  <si>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</si>
  <si>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</si>
  <si>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</si>
  <si>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</si>
  <si>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</si>
  <si>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</si>
  <si>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</si>
  <si>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</si>
  <si>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</si>
  <si>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</si>
  <si>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</si>
  <si>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</si>
  <si>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</si>
  <si>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</si>
  <si>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</si>
  <si>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</si>
  <si>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</si>
  <si>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</si>
  <si>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</si>
  <si>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</si>
  <si>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</si>
  <si>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</si>
  <si>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</si>
  <si>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</si>
  <si>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</si>
  <si>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</si>
  <si>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</si>
  <si>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</si>
  <si>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</si>
  <si>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</si>
  <si>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</si>
  <si>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</si>
  <si>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</si>
  <si>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</si>
  <si>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</si>
  <si>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</si>
  <si>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</si>
  <si>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</si>
  <si>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</si>
  <si>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</si>
  <si>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</si>
  <si>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</si>
  <si>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</si>
  <si>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</si>
  <si>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</si>
  <si>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</si>
  <si>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</si>
  <si>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</si>
  <si>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</si>
  <si>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</si>
  <si>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</si>
  <si>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</si>
  <si>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</si>
  <si>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</si>
  <si>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</si>
  <si>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</si>
  <si>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</si>
  <si>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</si>
  <si>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</si>
  <si>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</si>
  <si>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</si>
  <si>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</si>
  <si>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</si>
  <si>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</si>
  <si>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</si>
  <si>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</si>
  <si>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</si>
  <si>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</si>
  <si>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</si>
  <si>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</si>
  <si>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</si>
  <si>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</si>
  <si>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</si>
  <si>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</si>
  <si>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</si>
  <si>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</si>
  <si>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</si>
  <si>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</si>
  <si>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</si>
  <si>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</si>
  <si>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</si>
  <si>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</si>
  <si>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</si>
  <si>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</si>
  <si>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</si>
  <si>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</si>
  <si>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</si>
  <si>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</si>
  <si>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</si>
  <si>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</si>
  <si>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</si>
  <si>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</si>
  <si>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</si>
  <si>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</si>
  <si>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</si>
  <si>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</si>
  <si>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</si>
  <si>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</si>
  <si>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</si>
  <si>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</si>
  <si>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</si>
  <si>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</si>
  <si>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</si>
  <si>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</si>
  <si>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</si>
  <si>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</si>
  <si>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</si>
  <si>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</si>
  <si>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</si>
  <si>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</si>
  <si>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</si>
  <si>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</si>
  <si>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</si>
  <si>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</si>
  <si>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</si>
  <si>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</si>
  <si>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</si>
  <si>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</si>
  <si>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</si>
  <si>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</si>
  <si>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</si>
  <si>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</si>
  <si>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</si>
  <si>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</si>
  <si>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</si>
  <si>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</si>
  <si>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</si>
  <si>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</si>
  <si>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</si>
  <si>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</si>
  <si>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</si>
  <si>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</si>
  <si>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</si>
  <si>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</si>
  <si>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</si>
  <si>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</si>
  <si>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</si>
  <si>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</si>
  <si>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</si>
  <si>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</si>
  <si>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</si>
  <si>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</si>
  <si>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</si>
  <si>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</si>
  <si>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</si>
  <si>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</si>
  <si>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</si>
  <si>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</si>
  <si>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</si>
  <si>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</si>
  <si>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</si>
  <si>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</si>
  <si>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</si>
  <si>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</si>
  <si>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</si>
  <si>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</si>
  <si>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</si>
  <si>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</si>
  <si>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</si>
  <si>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</si>
  <si>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</si>
  <si>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</si>
  <si>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</si>
  <si>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</si>
  <si>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</si>
  <si>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</si>
  <si>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</si>
  <si>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</si>
  <si>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</si>
  <si>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</si>
  <si>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</si>
  <si>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</si>
  <si>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</si>
  <si>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</si>
  <si>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</si>
  <si>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</si>
  <si>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</si>
  <si>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</si>
  <si>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</si>
  <si>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</si>
  <si>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</si>
  <si>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</si>
  <si>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</si>
  <si>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</si>
  <si>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</si>
  <si>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</si>
  <si>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</si>
  <si>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</si>
  <si>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</si>
  <si>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</si>
  <si>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</si>
  <si>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</si>
  <si>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</si>
  <si>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</si>
  <si>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</si>
  <si>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</si>
  <si>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</si>
  <si>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</si>
  <si>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</si>
  <si>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</si>
  <si>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</si>
  <si>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</si>
  <si>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</si>
  <si>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</si>
  <si>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</si>
  <si>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</si>
  <si>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</si>
  <si>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</si>
  <si>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</si>
  <si>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</si>
  <si>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</si>
  <si>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</si>
  <si>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</si>
  <si>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</si>
  <si>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</si>
  <si>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</si>
  <si>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</si>
  <si>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</si>
  <si>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</si>
  <si>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</si>
  <si>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</si>
  <si>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</si>
  <si>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</si>
  <si>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</si>
  <si>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</si>
  <si>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</si>
  <si>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</si>
  <si>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</si>
  <si>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</si>
  <si>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</si>
  <si>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</si>
  <si>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</si>
  <si>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</si>
  <si>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</si>
  <si>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</si>
  <si>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</si>
  <si>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</si>
  <si>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</si>
  <si>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</si>
  <si>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</si>
  <si>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</si>
  <si>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</si>
  <si>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</si>
  <si>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</si>
  <si>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</si>
  <si>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</si>
  <si>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</si>
  <si>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</si>
  <si>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</si>
  <si>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</si>
  <si>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</si>
  <si>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</si>
  <si>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</si>
  <si>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</si>
  <si>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</si>
  <si>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</si>
  <si>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</si>
  <si>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</si>
  <si>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</si>
  <si>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</si>
  <si>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</si>
  <si>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</si>
  <si>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</si>
  <si>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</si>
  <si>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</si>
  <si>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</si>
  <si>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</si>
  <si>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</si>
  <si>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</si>
  <si>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</si>
  <si>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</si>
  <si>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</si>
  <si>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</si>
  <si>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</si>
  <si>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</si>
  <si>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</si>
  <si>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</si>
  <si>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</si>
  <si>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</si>
  <si>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</si>
  <si>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</si>
  <si>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</si>
  <si>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</si>
  <si>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</si>
  <si>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</si>
  <si>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</si>
  <si>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</si>
  <si>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</si>
  <si>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</si>
  <si>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</si>
  <si>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</si>
  <si>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</si>
  <si>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</si>
  <si>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</si>
  <si>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</si>
  <si>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</si>
  <si>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</si>
  <si>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</si>
  <si>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</si>
  <si>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</si>
  <si>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</si>
  <si>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</si>
  <si>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</si>
  <si>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</si>
  <si>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</si>
  <si>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</si>
  <si>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</si>
  <si>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</si>
  <si>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</si>
  <si>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</si>
  <si>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</si>
  <si>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</si>
  <si>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</si>
  <si>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</si>
  <si>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</si>
  <si>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</si>
  <si>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</si>
  <si>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</si>
  <si>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</si>
  <si>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</si>
  <si>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</si>
  <si>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</si>
  <si>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</si>
  <si>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</si>
  <si>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</si>
  <si>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</si>
  <si>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</si>
  <si>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</si>
  <si>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</si>
  <si>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</si>
  <si>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</si>
  <si>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</si>
  <si>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</si>
  <si>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</si>
  <si>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</si>
  <si>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</si>
  <si>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</si>
  <si>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</si>
  <si>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</si>
  <si>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</si>
  <si>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</si>
  <si>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</si>
  <si>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</si>
  <si>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</si>
  <si>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</si>
  <si>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</si>
  <si>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</si>
  <si>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</si>
  <si>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</si>
  <si>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</si>
  <si>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</si>
  <si>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</si>
  <si>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</si>
  <si>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</si>
  <si>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</si>
  <si>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</si>
  <si>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</si>
  <si>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</si>
  <si>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</si>
  <si>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</si>
  <si>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</si>
  <si>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</si>
  <si>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</si>
  <si>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</si>
  <si>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</si>
  <si>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</si>
  <si>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</si>
  <si>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</si>
  <si>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</si>
  <si>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</si>
  <si>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</si>
  <si>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</si>
  <si>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</si>
  <si>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</si>
  <si>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</si>
  <si>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</si>
  <si>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</si>
  <si>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</si>
  <si>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</si>
  <si>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</si>
  <si>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</si>
  <si>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</si>
  <si>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</si>
  <si>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</si>
  <si>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</si>
  <si>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</si>
  <si>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</si>
  <si>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</si>
  <si>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</si>
  <si>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</si>
  <si>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</si>
  <si>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</si>
  <si>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</si>
  <si>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</si>
  <si>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</si>
  <si>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</si>
  <si>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</si>
  <si>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</si>
  <si>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</si>
  <si>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</si>
  <si>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</si>
  <si>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</si>
  <si>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</si>
  <si>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</si>
  <si>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</si>
  <si>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</si>
  <si>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</si>
  <si>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</si>
  <si>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</si>
  <si>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</si>
  <si>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</si>
  <si>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</si>
  <si>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</si>
  <si>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</si>
  <si>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</si>
  <si>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</si>
  <si>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</si>
  <si>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</si>
  <si>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</si>
  <si>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</si>
  <si>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</si>
  <si>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</si>
  <si>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</si>
  <si>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</si>
  <si>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</si>
  <si>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</si>
  <si>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</si>
  <si>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</si>
  <si>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</si>
  <si>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</si>
  <si>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</si>
  <si>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</si>
  <si>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</si>
  <si>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</si>
  <si>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</si>
  <si>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</si>
  <si>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</si>
  <si>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</si>
  <si>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</si>
  <si>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</si>
  <si>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</si>
  <si>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</si>
  <si>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</si>
  <si>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</si>
  <si>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</si>
  <si>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</si>
  <si>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</si>
  <si>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</si>
  <si>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</si>
  <si>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</si>
  <si>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</si>
  <si>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</si>
  <si>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</si>
  <si>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</si>
  <si>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</si>
  <si>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</si>
  <si>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</si>
  <si>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</si>
  <si>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</si>
  <si>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</si>
  <si>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</si>
  <si>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</si>
  <si>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</si>
  <si>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</si>
  <si>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</si>
  <si>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</si>
  <si>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</si>
  <si>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</si>
  <si>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</si>
  <si>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</si>
  <si>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</si>
  <si>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</si>
  <si>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</si>
  <si>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</si>
  <si>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</si>
  <si>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</si>
  <si>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</si>
  <si>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</si>
  <si>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</si>
  <si>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</si>
  <si>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</si>
  <si>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</si>
  <si>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</si>
  <si>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</si>
  <si>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</si>
  <si>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</si>
  <si>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</si>
  <si>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</si>
  <si>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</si>
  <si>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</si>
  <si>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</si>
  <si>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</si>
  <si>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</si>
  <si>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</si>
  <si>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</si>
  <si>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</si>
  <si>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</si>
  <si>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</si>
  <si>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</si>
  <si>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</si>
  <si>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</si>
  <si>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</si>
  <si>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</si>
  <si>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</si>
  <si>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</si>
  <si>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</si>
  <si>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</si>
  <si>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</si>
  <si>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</si>
  <si>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</si>
  <si>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</si>
  <si>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</si>
  <si>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</si>
  <si>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</si>
  <si>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</si>
  <si>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</si>
  <si>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</si>
  <si>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</si>
  <si>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</si>
  <si>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</si>
  <si>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</si>
  <si>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</si>
  <si>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</si>
  <si>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</si>
  <si>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</si>
  <si>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</si>
  <si>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</si>
  <si>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</si>
  <si>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</si>
  <si>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</si>
  <si>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</si>
  <si>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</si>
  <si>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</si>
  <si>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</si>
  <si>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</si>
  <si>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</si>
  <si>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</si>
  <si>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</si>
  <si>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</si>
  <si>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</si>
  <si>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</si>
  <si>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</si>
  <si>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</si>
  <si>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</si>
  <si>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</si>
  <si>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</si>
  <si>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</si>
  <si>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</si>
  <si>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</si>
  <si>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</si>
  <si>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</si>
  <si>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</si>
  <si>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</si>
  <si>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</si>
  <si>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</si>
  <si>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</si>
  <si>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</si>
  <si>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</si>
  <si>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</si>
  <si>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</si>
  <si>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</si>
  <si>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</si>
  <si>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</si>
  <si>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</si>
  <si>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</si>
  <si>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</si>
  <si>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</si>
  <si>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</si>
  <si>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</si>
  <si>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</si>
  <si>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</si>
  <si>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</si>
  <si>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</si>
  <si>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</si>
  <si>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</si>
  <si>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</si>
  <si>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</si>
  <si>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</si>
  <si>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</si>
  <si>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</si>
  <si>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</si>
  <si>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</si>
  <si>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</si>
  <si>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</si>
  <si>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</si>
  <si>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</si>
  <si>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</si>
  <si>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</si>
  <si>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</si>
  <si>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</si>
  <si>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</si>
  <si>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</si>
  <si>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</si>
  <si>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</si>
  <si>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</si>
  <si>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</si>
  <si>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</si>
  <si>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</si>
  <si>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</si>
  <si>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</si>
  <si>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</si>
  <si>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</si>
  <si>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</si>
  <si>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</si>
  <si>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</si>
  <si>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</si>
  <si>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</si>
  <si>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</si>
  <si>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</si>
  <si>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</si>
  <si>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</si>
  <si>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</si>
  <si>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</si>
  <si>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</si>
  <si>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</si>
  <si>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</si>
  <si>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</si>
  <si>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</si>
  <si>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</si>
  <si>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</si>
  <si>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</si>
  <si>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</si>
  <si>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</si>
  <si>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</si>
  <si>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</si>
  <si>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</si>
  <si>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</si>
  <si>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</si>
  <si>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</si>
  <si>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</si>
  <si>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</si>
  <si>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</si>
  <si>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</si>
  <si>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</si>
  <si>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</si>
  <si>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</si>
  <si>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</si>
  <si>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</si>
  <si>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</si>
  <si>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</si>
  <si>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</si>
  <si>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</si>
  <si>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</si>
  <si>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</si>
  <si>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</si>
  <si>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</si>
  <si>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</si>
  <si>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</si>
  <si>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</si>
  <si>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</si>
  <si>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</si>
  <si>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</si>
  <si>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</si>
  <si>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</si>
  <si>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</si>
  <si>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</si>
  <si>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</si>
  <si>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</si>
  <si>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</si>
  <si>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</si>
  <si>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</si>
  <si>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</si>
  <si>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</si>
  <si>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</si>
  <si>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</si>
  <si>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</si>
  <si>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</si>
  <si>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</si>
  <si>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</si>
  <si>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</si>
  <si>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</si>
  <si>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</si>
  <si>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</si>
  <si>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</si>
  <si>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</si>
  <si>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</si>
  <si>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</si>
  <si>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</si>
  <si>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</si>
  <si>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</si>
  <si>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</si>
  <si>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</si>
  <si>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</si>
  <si>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</si>
  <si>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</si>
  <si>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</si>
  <si>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</si>
  <si>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</si>
  <si>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</si>
  <si>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</si>
  <si>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</si>
  <si>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</si>
  <si>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</si>
  <si>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</si>
  <si>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</si>
  <si>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</si>
  <si>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</si>
  <si>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</si>
  <si>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</si>
  <si>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</si>
  <si>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</si>
  <si>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</si>
  <si>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</si>
  <si>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</si>
  <si>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</si>
  <si>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</si>
  <si>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</si>
  <si>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</si>
  <si>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</si>
  <si>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</si>
  <si>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</si>
  <si>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</si>
  <si>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</si>
  <si>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</si>
  <si>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</si>
  <si>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</si>
  <si>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</si>
  <si>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</si>
  <si>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</si>
  <si>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</si>
  <si>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</si>
  <si>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</si>
  <si>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</si>
  <si>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</si>
  <si>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</si>
  <si>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</si>
  <si>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</si>
  <si>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</si>
  <si>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</si>
  <si>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</si>
  <si>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</si>
  <si>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</si>
  <si>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</si>
  <si>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</si>
  <si>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</si>
  <si>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</si>
  <si>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</si>
  <si>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</si>
  <si>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</si>
  <si>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</si>
  <si>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</si>
  <si>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</si>
  <si>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</si>
  <si>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</si>
  <si>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</si>
  <si>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</si>
  <si>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</si>
  <si>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</si>
  <si>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</si>
  <si>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</si>
  <si>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</si>
  <si>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</si>
  <si>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</si>
  <si>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</si>
  <si>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</si>
  <si>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</si>
  <si>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</si>
  <si>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</si>
  <si>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</si>
  <si>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</si>
  <si>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</si>
  <si>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</si>
  <si>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</si>
  <si>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</si>
  <si>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</si>
  <si>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</si>
  <si>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</si>
  <si>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</si>
  <si>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</si>
  <si>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</si>
  <si>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</si>
  <si>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</si>
  <si>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</si>
  <si>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</si>
  <si>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</si>
  <si>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</si>
  <si>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</si>
  <si>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</si>
  <si>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</si>
  <si>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</si>
  <si>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</si>
  <si>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</si>
  <si>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</si>
  <si>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</si>
  <si>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</si>
  <si>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</si>
  <si>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</si>
  <si>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</si>
  <si>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</si>
  <si>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</si>
  <si>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</si>
  <si>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</si>
  <si>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</si>
  <si>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</si>
  <si>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</si>
  <si>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</si>
  <si>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</si>
  <si>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</si>
  <si>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</si>
  <si>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</si>
  <si>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</si>
  <si>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</si>
  <si>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</si>
  <si>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</si>
  <si>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</si>
  <si>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</si>
  <si>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</si>
  <si>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</si>
  <si>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</si>
  <si>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</si>
  <si>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</si>
  <si>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</si>
  <si>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</si>
  <si>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</si>
  <si>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</si>
  <si>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</si>
  <si>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</si>
  <si>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</si>
  <si>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</si>
  <si>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</si>
  <si>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</si>
  <si>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</si>
  <si>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</si>
  <si>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</si>
  <si>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</si>
  <si>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</si>
  <si>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</si>
  <si>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</si>
  <si>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</si>
  <si>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</si>
  <si>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</si>
  <si>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</si>
  <si>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</si>
  <si>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</si>
  <si>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</si>
  <si>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</si>
  <si>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</si>
  <si>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</si>
  <si>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</si>
  <si>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</si>
  <si>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</si>
  <si>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</si>
  <si>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</si>
  <si>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</si>
  <si>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</si>
  <si>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</si>
  <si>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</si>
  <si>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</si>
  <si>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</si>
  <si>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</si>
  <si>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</si>
  <si>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</si>
  <si>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</si>
  <si>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</si>
  <si>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</si>
  <si>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</si>
  <si>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</si>
  <si>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</si>
  <si>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</si>
  <si>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</si>
  <si>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</si>
  <si>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</si>
  <si>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</si>
  <si>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</si>
  <si>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</si>
  <si>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</si>
  <si>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</si>
  <si>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</si>
  <si>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</si>
  <si>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</si>
  <si>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</si>
  <si>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</si>
  <si>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</si>
  <si>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</si>
  <si>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</si>
  <si>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</si>
  <si>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</si>
  <si>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</si>
  <si>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</si>
  <si>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</si>
  <si>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</si>
  <si>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</si>
  <si>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</si>
  <si>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</si>
  <si>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</si>
  <si>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</si>
  <si>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</si>
  <si>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</si>
  <si>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</si>
  <si>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</si>
  <si>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</si>
  <si>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</si>
  <si>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</si>
  <si>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</si>
  <si>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</si>
  <si>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</si>
  <si>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</si>
  <si>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</si>
  <si>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</si>
  <si>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</si>
  <si>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</si>
  <si>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</si>
  <si>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</si>
  <si>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</si>
  <si>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</si>
  <si>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</si>
  <si>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</si>
  <si>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</si>
  <si>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</si>
  <si>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</si>
  <si>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</si>
  <si>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</si>
  <si>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</si>
  <si>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</si>
  <si>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</si>
  <si>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</si>
  <si>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2019-001</t>
  </si>
  <si>
    <t>Lack of Segregation of Duties</t>
  </si>
  <si>
    <t>Unresolved - See Finding 2020-001</t>
  </si>
  <si>
    <t>47-098-0000-61</t>
  </si>
  <si>
    <t>Whiteside/Carroll</t>
  </si>
  <si>
    <t>Bi-County Special Education Cooperative</t>
  </si>
  <si>
    <t>2317 E Lincolnway, Ste. A</t>
  </si>
  <si>
    <t>Sterling</t>
  </si>
  <si>
    <t>lheston@bi-county.org</t>
  </si>
  <si>
    <t>Jason Hohulin, CPA</t>
  </si>
  <si>
    <t>jhohulin@gorenzcpa.com</t>
  </si>
  <si>
    <t>x</t>
  </si>
  <si>
    <t>815-622-0858</t>
  </si>
  <si>
    <t>815-622-3182</t>
  </si>
  <si>
    <r>
      <t>CORRECTIVE ACTION PLAN FOR CURRENT YEAR AUDIT FINDINGS</t>
    </r>
    <r>
      <rPr>
        <b/>
        <vertAlign val="superscript"/>
        <sz val="9"/>
        <rFont val="Arial"/>
        <family val="2"/>
      </rPr>
      <t>21</t>
    </r>
  </si>
  <si>
    <t>Corrective Action Plan</t>
  </si>
  <si>
    <t>Finding No.:</t>
  </si>
  <si>
    <t>Condition:</t>
  </si>
  <si>
    <t xml:space="preserve">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
  </si>
  <si>
    <t>Plan:</t>
  </si>
  <si>
    <t xml:space="preserve">The Cooperative will continue to monitor their internal control system. Management oversight and other mitigating controls have lowered risks associated with inadequate segregation of duties. Assessment of internal controls will be performed annually. </t>
  </si>
  <si>
    <t>Anticipated Date of Completion:</t>
  </si>
  <si>
    <t>Name of Contact Person:</t>
  </si>
  <si>
    <t>Management Response:</t>
  </si>
  <si>
    <t xml:space="preserve">The Board of Control has determined that the current internal control system is </t>
  </si>
  <si>
    <t xml:space="preserve">acceptable, providing a tolerable amount of risk. </t>
  </si>
  <si>
    <r>
      <t>21</t>
    </r>
    <r>
      <rPr>
        <sz val="8"/>
        <rFont val="Arial"/>
        <family val="2"/>
      </rPr>
      <t xml:space="preserve">  Must address </t>
    </r>
    <r>
      <rPr>
        <b/>
        <sz val="8"/>
        <rFont val="Arial"/>
        <family val="2"/>
      </rPr>
      <t>each</t>
    </r>
    <r>
      <rPr>
        <sz val="8"/>
        <rFont val="Arial"/>
        <family val="2"/>
      </rPr>
      <t xml:space="preserve"> audit finding  - §200.511 ( c)</t>
    </r>
  </si>
  <si>
    <t>2020-</t>
  </si>
  <si>
    <t>Year Ending June 30, 2020</t>
  </si>
  <si>
    <t xml:space="preserve">Segregation of duties among accounting personnel is an integral part of an internal control structure. </t>
  </si>
  <si>
    <t xml:space="preserve">A limited number of individuals have the primary responsibility for performing most of the accounting and financial duties including key functions of reconciling, and reporting cash transactions. This structures reduces certain aspects of the internal control system which rely on adequate segregation of duties. </t>
  </si>
  <si>
    <t xml:space="preserve">Most Cooperative accounting and financial records are maintained by a limited number of individuals. </t>
  </si>
  <si>
    <t xml:space="preserve">Inadequate segregation of duties increases the risk of misstatements in the financial statements. </t>
  </si>
  <si>
    <t xml:space="preserve">A limited number of individuals have the ability to complete and record accounting functions which ideally would be segregated. </t>
  </si>
  <si>
    <t xml:space="preserve">The Board of Control should perform an assessment of internal controls, at least annually. </t>
  </si>
  <si>
    <t xml:space="preserve">The Board of Control's most recent assessment has determined that the current internal control system is acceptable. The internal control system will continue to be monitored. </t>
  </si>
  <si>
    <t>BI-COUNTY SPECIAL EDUCATION COOPERATIVE</t>
  </si>
  <si>
    <t xml:space="preserve">                            YEAR ENDED JUNE 30, 2020                    </t>
  </si>
  <si>
    <t>Restricted</t>
  </si>
  <si>
    <t>ISBE</t>
  </si>
  <si>
    <t xml:space="preserve">          Receipts/Revenues          </t>
  </si>
  <si>
    <t xml:space="preserve">  Expenditures/Disbursements  </t>
  </si>
  <si>
    <t>Major Program Determination</t>
  </si>
  <si>
    <t>Balance</t>
  </si>
  <si>
    <t>Project</t>
  </si>
  <si>
    <t>Prior to</t>
  </si>
  <si>
    <t>7/01/19 -</t>
  </si>
  <si>
    <t>7/01/19-6/30/20</t>
  </si>
  <si>
    <t>Final</t>
  </si>
  <si>
    <t>Federal Grantor/Pass-Through Grantor, Subrecipients,</t>
  </si>
  <si>
    <t>Number</t>
  </si>
  <si>
    <t>6/30/19</t>
  </si>
  <si>
    <t>6/30/20</t>
  </si>
  <si>
    <t xml:space="preserve">Pass through to </t>
  </si>
  <si>
    <t>Encumbrances</t>
  </si>
  <si>
    <t>Type A/B</t>
  </si>
  <si>
    <t>Risk</t>
  </si>
  <si>
    <t>Audited as a</t>
  </si>
  <si>
    <t>Program Title &amp; Major Program Designation</t>
  </si>
  <si>
    <t>Program</t>
  </si>
  <si>
    <t>Low / High</t>
  </si>
  <si>
    <t>Major Program</t>
  </si>
  <si>
    <t xml:space="preserve">U.S. Department of Agriculture - </t>
  </si>
  <si>
    <t xml:space="preserve">   Pass-through program from</t>
  </si>
  <si>
    <t xml:space="preserve">   Illinois State Board of Education</t>
  </si>
  <si>
    <t>National School Lunch Program (Acct #2200)</t>
  </si>
  <si>
    <t>19-4210-00</t>
  </si>
  <si>
    <t>(3)</t>
  </si>
  <si>
    <t>N/A</t>
  </si>
  <si>
    <t>B</t>
  </si>
  <si>
    <t>low</t>
  </si>
  <si>
    <t>no</t>
  </si>
  <si>
    <t>20-4210-00</t>
  </si>
  <si>
    <t>(2)</t>
  </si>
  <si>
    <t>Subrecipient - Rock Falls Elementary School District #13</t>
  </si>
  <si>
    <t>School Breakfast Program (Acct #2200)</t>
  </si>
  <si>
    <t>19-4220-00</t>
  </si>
  <si>
    <t>20-4220-00</t>
  </si>
  <si>
    <t>Department of Defense (3) Fruits &amp; Vegetables</t>
  </si>
  <si>
    <t>19-4299-00</t>
  </si>
  <si>
    <t>20-4299-00</t>
  </si>
  <si>
    <t>Food Donation (3)</t>
  </si>
  <si>
    <t>15-4299-00</t>
  </si>
  <si>
    <t>16-4299-00</t>
  </si>
  <si>
    <t>Total U.S. Department of Agriculture - Pass-through program</t>
  </si>
  <si>
    <t xml:space="preserve">US Department of Education - </t>
  </si>
  <si>
    <t>IDEA - Flow-Through</t>
  </si>
  <si>
    <t>84.027</t>
  </si>
  <si>
    <t>19-4620-00</t>
  </si>
  <si>
    <t>A-Cluster</t>
  </si>
  <si>
    <t>yes</t>
  </si>
  <si>
    <t xml:space="preserve">  Revenue - 2200</t>
  </si>
  <si>
    <t>(M)</t>
  </si>
  <si>
    <t>20-4620-00</t>
  </si>
  <si>
    <t>Subrecipient - River Bend CUSD #2</t>
  </si>
  <si>
    <t>Subrecipient - Sterling School District #5</t>
  </si>
  <si>
    <t>Fed-Special Education-Preschool Flow-Through</t>
  </si>
  <si>
    <t>84.173</t>
  </si>
  <si>
    <t>19-4600-00</t>
  </si>
  <si>
    <t>20-4600-00</t>
  </si>
  <si>
    <t>Total U.S. Department of Education - Pass-through programs</t>
  </si>
  <si>
    <t xml:space="preserve">   From Illinois State Board of Education</t>
  </si>
  <si>
    <t>U.S. Department of Education -</t>
  </si>
  <si>
    <t xml:space="preserve">   Illinois Department of Human Services</t>
  </si>
  <si>
    <t>S.T.E.P.    (Note #2)</t>
  </si>
  <si>
    <t>46CWF00114</t>
  </si>
  <si>
    <t>Total US Department of Education - Pass-through programs</t>
  </si>
  <si>
    <t>US Department of Health and Human Services:</t>
  </si>
  <si>
    <t xml:space="preserve">   Illinois Department of Healthcare and Family Services:</t>
  </si>
  <si>
    <t xml:space="preserve">   Northern Illinois Association</t>
  </si>
  <si>
    <t>Medicaid-Administrative Outreach</t>
  </si>
  <si>
    <t>19-4991-00</t>
  </si>
  <si>
    <t>20-4991-00</t>
  </si>
  <si>
    <t>Total U.S. Department of Health and Human Services - Pass-through programs</t>
  </si>
  <si>
    <t>Total Federal Awards</t>
  </si>
  <si>
    <t>Restricted Balance</t>
  </si>
  <si>
    <t>Total  Federal Awards Passed Through Illinois State Board of Education</t>
  </si>
  <si>
    <t>Coverage</t>
  </si>
  <si>
    <t>Total Federal Awards Passes Through Other Entities</t>
  </si>
  <si>
    <t>(M) Indicates Major Federal Financial Assistance Program.</t>
  </si>
  <si>
    <t>(1) Prepayment from ISBE</t>
  </si>
  <si>
    <t>Percent of</t>
  </si>
  <si>
    <t>(2)  Project Not Complete as of June 30, 2020</t>
  </si>
  <si>
    <t>(3) Revenue Flowed Through to Rock Falls Elementary School #13, Sterling CUSD # 5 and River Bend School District #2 Reported in Revenue Function 2200</t>
  </si>
  <si>
    <t>IDEA Cluster</t>
  </si>
  <si>
    <t>Unmodified</t>
  </si>
  <si>
    <t>IDEA - Flow Through - Sterling School District #5</t>
  </si>
  <si>
    <t>IDEA - Flow Through - River Bend School District #2</t>
  </si>
  <si>
    <t>School Lunch - Rock Falls Elementary #13</t>
  </si>
  <si>
    <t>School Breakfast - Rock Falls Elementary #13</t>
  </si>
  <si>
    <t>The accompanying Schedule of Expenditures of Federal Awards includes the federal grant activity of Bi-County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</si>
  <si>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Bi-County Special Ed. Cooperative provided federal awards to subrecipients as follows:</t>
  </si>
  <si>
    <t>2019-002</t>
  </si>
  <si>
    <t>IDEA - Preschool - Flow Through - Sterling School District #5</t>
  </si>
  <si>
    <t>Fruits &amp; Veg - Rock Falls Elementary #13</t>
  </si>
  <si>
    <t xml:space="preserve"> Subrecipient - Rock Falls Elementary School District #13</t>
  </si>
  <si>
    <t xml:space="preserve">                                                                      Total CFDA</t>
  </si>
  <si>
    <t xml:space="preserve">                                                                     Total CFDA</t>
  </si>
  <si>
    <t xml:space="preserve">                                                                     Total IDEA Cluster</t>
  </si>
  <si>
    <t xml:space="preserve">                                                  Subtotal CFDA </t>
  </si>
  <si>
    <t xml:space="preserve">                                                 Subtotal CFDA</t>
  </si>
  <si>
    <t xml:space="preserve">                                                   Subtotal CFDA</t>
  </si>
  <si>
    <t>Note 6: Relationship to Basic Financial Reports and Programs Financial Reports</t>
  </si>
  <si>
    <t xml:space="preserve">agree with amounts reported in the Program Financial Reports for programs, which have filed final </t>
  </si>
  <si>
    <t>reports as of June 30, 2020.</t>
  </si>
  <si>
    <t xml:space="preserve"> as receipts from Federal Sources. Amounts reported in the accompanying Schedule of Federal Awards</t>
  </si>
  <si>
    <t>Federal awards received are reflected in the District's financial statement within the Educational Fund</t>
  </si>
  <si>
    <t>Suspended or Disbarred Vendors</t>
  </si>
  <si>
    <t>Resolved</t>
  </si>
  <si>
    <t>Part C - 20 - See Finding 2020-001</t>
  </si>
  <si>
    <t>NONE</t>
  </si>
  <si>
    <t>Rock Falls Elementary #13</t>
  </si>
  <si>
    <t>Page 16, Line 73 - Liability &amp; Property Insurance</t>
  </si>
  <si>
    <t>Laurie Fane, Director</t>
  </si>
  <si>
    <t>Less: Value of Commodities</t>
  </si>
  <si>
    <t>Laurie A. Fane</t>
  </si>
  <si>
    <t>The following amounts were expended in the form of non-cash assistance by Bi-County Special Education Cooperative and are included in the Schedule of Expenditures of Federal Awards:</t>
  </si>
  <si>
    <t>xxx</t>
  </si>
  <si>
    <t>See PDF version</t>
  </si>
  <si>
    <t xml:space="preserve">   Bi-County Special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</si>
</sst>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0&quot;_);_(@_)"/>
    <numFmt numFmtId="186" formatCode="0.000_)"/>
    <numFmt numFmtId="187" formatCode="_(* #,##0_);_(* \(#,##0\);_(* &quot;-&quot;??_);_(@_)"/>
    <numFmt numFmtId="188" formatCode="_(* #,##0_);_(* \(#,##0\);_(* &quot; &quot;_);_(@_)"/>
  </numFmts>
  <fonts count="1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1"/>
      <name val="Garamond"/>
      <family val="1"/>
    </font>
    <font>
      <sz val="11"/>
      <name val="Times New Roman"/>
      <family val="1"/>
    </font>
    <font>
      <sz val="11"/>
      <name val="Courier"/>
      <family val="3"/>
    </font>
    <font>
      <sz val="11"/>
      <name val="Garamond"/>
      <family val="1"/>
    </font>
    <font>
      <b/>
      <u/>
      <sz val="11"/>
      <name val="Garamond"/>
      <family val="1"/>
    </font>
    <font>
      <sz val="10"/>
      <name val="Courier"/>
    </font>
    <font>
      <b/>
      <sz val="11"/>
      <name val="Times New Roman"/>
      <family val="1"/>
    </font>
    <font>
      <u val="singleAccounting"/>
      <sz val="11"/>
      <name val="Garamond"/>
      <family val="1"/>
    </font>
    <font>
      <u val="singleAccounting"/>
      <sz val="11"/>
      <name val="Times New Roman"/>
      <family val="1"/>
    </font>
    <font>
      <b/>
      <u val="singleAccounting"/>
      <sz val="11"/>
      <name val="Times New Roman"/>
      <family val="1"/>
    </font>
    <font>
      <b/>
      <u val="singleAccounting"/>
      <sz val="11"/>
      <name val="Garamond"/>
      <family val="1"/>
    </font>
    <font>
      <u/>
      <sz val="11"/>
      <name val="Times New Roman"/>
      <family val="1"/>
    </font>
    <font>
      <u/>
      <sz val="11"/>
      <name val="Garamond"/>
      <family val="1"/>
    </font>
    <font>
      <b/>
      <u/>
      <sz val="11"/>
      <name val="Times New Roman"/>
      <family val="1"/>
    </font>
    <font>
      <sz val="11"/>
      <name val="Cambria"/>
      <family val="1"/>
    </font>
    <font>
      <sz val="11"/>
      <color theme="1"/>
      <name val="Times New Roman"/>
      <family val="1"/>
    </font>
    <font>
      <u val="doubleAccounting"/>
      <sz val="11"/>
      <name val="Garamond"/>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8" fillId="0" borderId="0"/>
    <xf numFmtId="37" fontId="148" fillId="0" borderId="0" applyProtection="0"/>
    <xf numFmtId="37" fontId="154" fillId="0" borderId="0"/>
    <xf numFmtId="43" fontId="46" fillId="0" borderId="0" applyFont="0" applyFill="0" applyBorder="0" applyAlignment="0" applyProtection="0"/>
    <xf numFmtId="37" fontId="148" fillId="0" borderId="0"/>
    <xf numFmtId="43" fontId="46" fillId="0" borderId="0" applyFont="0" applyFill="0" applyBorder="0" applyAlignment="0" applyProtection="0"/>
    <xf numFmtId="9" fontId="46" fillId="0" borderId="0" applyFont="0" applyFill="0" applyBorder="0" applyAlignment="0" applyProtection="0"/>
  </cellStyleXfs>
  <cellXfs count="28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37" fontId="150" fillId="0" borderId="0" xfId="22" applyFont="1" applyAlignment="1">
      <alignment vertical="center"/>
    </xf>
    <xf numFmtId="37" fontId="150" fillId="0" borderId="0" xfId="21" applyFont="1" applyAlignment="1">
      <alignment vertical="center"/>
    </xf>
    <xf numFmtId="37" fontId="151" fillId="0" borderId="0" xfId="21" applyFont="1" applyAlignment="1">
      <alignment vertical="center"/>
    </xf>
    <xf numFmtId="37" fontId="149" fillId="0" borderId="0" xfId="21" applyFont="1" applyAlignment="1">
      <alignment horizontal="center"/>
    </xf>
    <xf numFmtId="37" fontId="152" fillId="0" borderId="0" xfId="21" applyFont="1"/>
    <xf numFmtId="37" fontId="152" fillId="0" borderId="0" xfId="21" applyFont="1" applyAlignment="1">
      <alignment horizontal="centerContinuous"/>
    </xf>
    <xf numFmtId="37" fontId="152" fillId="0" borderId="0" xfId="21" applyFont="1" applyAlignment="1">
      <alignment horizontal="left"/>
    </xf>
    <xf numFmtId="37" fontId="152" fillId="0" borderId="0" xfId="21" applyFont="1" applyAlignment="1">
      <alignment horizontal="center"/>
    </xf>
    <xf numFmtId="37" fontId="151" fillId="0" borderId="0" xfId="22" applyFont="1" applyAlignment="1">
      <alignment vertical="center"/>
    </xf>
    <xf numFmtId="37" fontId="150" fillId="0" borderId="0" xfId="23" applyFont="1" applyAlignment="1">
      <alignment vertical="center"/>
    </xf>
    <xf numFmtId="37" fontId="155" fillId="0" borderId="0" xfId="23" applyFont="1" applyAlignment="1">
      <alignment horizontal="center"/>
    </xf>
    <xf numFmtId="37" fontId="152" fillId="0" borderId="0" xfId="23" applyFont="1"/>
    <xf numFmtId="43" fontId="158" fillId="0" borderId="0" xfId="24" applyFont="1" applyAlignment="1">
      <alignment horizontal="center"/>
    </xf>
    <xf numFmtId="37" fontId="152" fillId="0" borderId="0" xfId="21" quotePrefix="1" applyFont="1" applyAlignment="1">
      <alignment horizontal="center"/>
    </xf>
    <xf numFmtId="14" fontId="153" fillId="0" borderId="0" xfId="23" applyNumberFormat="1" applyFont="1" applyAlignment="1">
      <alignment horizontal="center"/>
    </xf>
    <xf numFmtId="37" fontId="150" fillId="0" borderId="0" xfId="22" applyFont="1" applyAlignment="1">
      <alignment horizontal="left" vertical="center"/>
    </xf>
    <xf numFmtId="37" fontId="152" fillId="0" borderId="0" xfId="23" applyFont="1" applyAlignment="1">
      <alignment horizontal="left"/>
    </xf>
    <xf numFmtId="14" fontId="152" fillId="0" borderId="0" xfId="21" quotePrefix="1" applyNumberFormat="1" applyFont="1" applyAlignment="1">
      <alignment horizontal="center"/>
    </xf>
    <xf numFmtId="14" fontId="152" fillId="0" borderId="0" xfId="21" applyNumberFormat="1" applyFont="1" applyAlignment="1">
      <alignment horizontal="center"/>
    </xf>
    <xf numFmtId="37" fontId="160" fillId="0" borderId="0" xfId="22" applyFont="1" applyAlignment="1">
      <alignment horizontal="center" vertical="center"/>
    </xf>
    <xf numFmtId="37" fontId="155" fillId="0" borderId="0" xfId="22" applyFont="1" applyAlignment="1">
      <alignment horizontal="center" vertical="center"/>
    </xf>
    <xf numFmtId="37" fontId="153" fillId="0" borderId="0" xfId="23" applyFont="1" applyAlignment="1">
      <alignment horizontal="center"/>
    </xf>
    <xf numFmtId="37" fontId="149" fillId="0" borderId="0" xfId="23" applyFont="1" applyAlignment="1">
      <alignment horizontal="center"/>
    </xf>
    <xf numFmtId="37" fontId="152" fillId="0" borderId="0" xfId="23" applyFont="1" applyAlignment="1">
      <alignment horizontal="center"/>
    </xf>
    <xf numFmtId="37" fontId="150" fillId="0" borderId="0" xfId="22" applyFont="1" applyAlignment="1">
      <alignment horizontal="center" vertical="center"/>
    </xf>
    <xf numFmtId="37" fontId="161" fillId="0" borderId="0" xfId="21" applyFont="1" applyAlignment="1">
      <alignment horizontal="left"/>
    </xf>
    <xf numFmtId="43" fontId="156" fillId="0" borderId="0" xfId="24" quotePrefix="1" applyFont="1" applyAlignment="1" applyProtection="1">
      <alignment horizontal="center"/>
    </xf>
    <xf numFmtId="43" fontId="152" fillId="0" borderId="0" xfId="24" quotePrefix="1" applyFont="1" applyAlignment="1" applyProtection="1">
      <alignment horizontal="center"/>
    </xf>
    <xf numFmtId="37" fontId="162" fillId="0" borderId="0" xfId="22" applyFont="1" applyAlignment="1" applyProtection="1">
      <alignment horizontal="center"/>
    </xf>
    <xf numFmtId="43" fontId="153" fillId="0" borderId="0" xfId="24" applyFont="1" applyAlignment="1">
      <alignment horizontal="center"/>
    </xf>
    <xf numFmtId="43" fontId="159" fillId="0" borderId="0" xfId="24" applyFont="1" applyAlignment="1">
      <alignment horizontal="center"/>
    </xf>
    <xf numFmtId="14" fontId="158" fillId="8" borderId="0" xfId="24" applyNumberFormat="1" applyFont="1" applyFill="1" applyAlignment="1">
      <alignment horizontal="center"/>
    </xf>
    <xf numFmtId="37" fontId="161" fillId="0" borderId="0" xfId="23" applyFont="1" applyAlignment="1">
      <alignment horizontal="center"/>
    </xf>
    <xf numFmtId="37" fontId="160" fillId="0" borderId="0" xfId="22" applyFont="1" applyAlignment="1" applyProtection="1">
      <alignment horizontal="center" vertical="center"/>
    </xf>
    <xf numFmtId="37" fontId="161" fillId="0" borderId="0" xfId="21" applyFont="1" applyAlignment="1">
      <alignment horizontal="center"/>
    </xf>
    <xf numFmtId="37" fontId="155" fillId="0" borderId="0" xfId="21" applyFont="1" applyAlignment="1">
      <alignment horizontal="left" vertical="center"/>
    </xf>
    <xf numFmtId="37" fontId="152" fillId="0" borderId="0" xfId="21" applyFont="1" applyAlignment="1">
      <alignment horizontal="center" vertical="center"/>
    </xf>
    <xf numFmtId="37" fontId="152" fillId="0" borderId="0" xfId="21" applyFont="1" applyAlignment="1">
      <alignment vertical="center"/>
    </xf>
    <xf numFmtId="37" fontId="150" fillId="0" borderId="0" xfId="23" applyFont="1" applyAlignment="1">
      <alignment horizontal="center" vertical="center"/>
    </xf>
    <xf numFmtId="37" fontId="155" fillId="0" borderId="0" xfId="21" applyFont="1" applyAlignment="1">
      <alignment vertical="center"/>
    </xf>
    <xf numFmtId="185" fontId="152" fillId="0" borderId="0" xfId="24" applyNumberFormat="1" applyFont="1" applyAlignment="1" applyProtection="1">
      <alignment horizontal="right"/>
    </xf>
    <xf numFmtId="37" fontId="149" fillId="0" borderId="0" xfId="21" applyFont="1" applyAlignment="1">
      <alignment vertical="center"/>
    </xf>
    <xf numFmtId="186" fontId="150" fillId="0" borderId="0" xfId="25" applyNumberFormat="1" applyFont="1" applyAlignment="1">
      <alignment horizontal="center"/>
    </xf>
    <xf numFmtId="37" fontId="152" fillId="27" borderId="0" xfId="21" applyFont="1" applyFill="1" applyAlignment="1">
      <alignment horizontal="center" vertical="center"/>
    </xf>
    <xf numFmtId="185" fontId="152" fillId="0" borderId="0" xfId="26" quotePrefix="1" applyNumberFormat="1" applyFont="1" applyFill="1" applyAlignment="1">
      <alignment vertical="center"/>
    </xf>
    <xf numFmtId="37" fontId="152" fillId="27" borderId="0" xfId="21" applyFont="1" applyFill="1" applyAlignment="1">
      <alignment vertical="center"/>
    </xf>
    <xf numFmtId="187" fontId="152" fillId="0" borderId="0" xfId="26" applyNumberFormat="1" applyFont="1" applyFill="1" applyAlignment="1">
      <alignment vertical="center"/>
    </xf>
    <xf numFmtId="188" fontId="152" fillId="0" borderId="0" xfId="21" applyNumberFormat="1" applyFont="1" applyAlignment="1">
      <alignment horizontal="right" vertical="center"/>
    </xf>
    <xf numFmtId="188" fontId="150" fillId="0" borderId="0" xfId="22" applyNumberFormat="1" applyFont="1" applyAlignment="1" applyProtection="1">
      <alignment horizontal="center" vertical="center"/>
    </xf>
    <xf numFmtId="37" fontId="163" fillId="0" borderId="0" xfId="21" applyFont="1" applyAlignment="1">
      <alignment horizontal="right" vertical="center"/>
    </xf>
    <xf numFmtId="185" fontId="152" fillId="0" borderId="0" xfId="26" applyNumberFormat="1" applyFont="1" applyFill="1" applyAlignment="1">
      <alignment vertical="center"/>
    </xf>
    <xf numFmtId="188" fontId="152" fillId="0" borderId="0" xfId="21" applyNumberFormat="1" applyFont="1" applyAlignment="1">
      <alignment vertical="center"/>
    </xf>
    <xf numFmtId="37" fontId="152" fillId="0" borderId="0" xfId="21" applyFont="1" applyAlignment="1">
      <alignment horizontal="left" vertical="center" indent="1"/>
    </xf>
    <xf numFmtId="37" fontId="152" fillId="0" borderId="0" xfId="21" applyFont="1" applyAlignment="1">
      <alignment horizontal="left" vertical="center"/>
    </xf>
    <xf numFmtId="186" fontId="152" fillId="0" borderId="0" xfId="21" applyNumberFormat="1" applyFont="1" applyAlignment="1">
      <alignment horizontal="center" vertical="center"/>
    </xf>
    <xf numFmtId="185" fontId="156" fillId="0" borderId="0" xfId="26" applyNumberFormat="1" applyFont="1" applyFill="1" applyAlignment="1">
      <alignment vertical="center"/>
    </xf>
    <xf numFmtId="188" fontId="164" fillId="27" borderId="0" xfId="25" applyNumberFormat="1" applyFont="1" applyFill="1"/>
    <xf numFmtId="188" fontId="150" fillId="5" borderId="0" xfId="22" applyNumberFormat="1" applyFont="1" applyFill="1" applyAlignment="1">
      <alignment horizontal="center" vertical="center"/>
    </xf>
    <xf numFmtId="188" fontId="150" fillId="0" borderId="0" xfId="22" applyNumberFormat="1" applyFont="1" applyAlignment="1">
      <alignment horizontal="center" vertical="center"/>
    </xf>
    <xf numFmtId="188" fontId="164" fillId="0" borderId="0" xfId="25" applyNumberFormat="1" applyFont="1"/>
    <xf numFmtId="188" fontId="150" fillId="0" borderId="0" xfId="25" applyNumberFormat="1" applyFont="1" applyAlignment="1">
      <alignment horizontal="right"/>
    </xf>
    <xf numFmtId="188" fontId="150" fillId="0" borderId="0" xfId="25" applyNumberFormat="1" applyFont="1" applyAlignment="1">
      <alignment vertical="center"/>
    </xf>
    <xf numFmtId="37" fontId="150" fillId="0" borderId="0" xfId="25" applyFont="1" applyAlignment="1">
      <alignment horizontal="center"/>
    </xf>
    <xf numFmtId="188" fontId="150" fillId="27" borderId="0" xfId="25" applyNumberFormat="1" applyFont="1" applyFill="1"/>
    <xf numFmtId="188" fontId="150" fillId="27" borderId="0" xfId="25" applyNumberFormat="1" applyFont="1" applyFill="1" applyAlignment="1">
      <alignment horizontal="center"/>
    </xf>
    <xf numFmtId="188" fontId="150" fillId="0" borderId="0" xfId="25" applyNumberFormat="1" applyFont="1"/>
    <xf numFmtId="188" fontId="150" fillId="5" borderId="0" xfId="22" applyNumberFormat="1" applyFont="1" applyFill="1" applyAlignment="1" applyProtection="1">
      <alignment horizontal="center" vertical="center"/>
    </xf>
    <xf numFmtId="188" fontId="150" fillId="27" borderId="0" xfId="25" applyNumberFormat="1" applyFont="1" applyFill="1" applyAlignment="1">
      <alignment vertical="center"/>
    </xf>
    <xf numFmtId="187" fontId="156" fillId="0" borderId="0" xfId="26" applyNumberFormat="1" applyFont="1" applyFill="1" applyAlignment="1">
      <alignment vertical="center"/>
    </xf>
    <xf numFmtId="37" fontId="150" fillId="0" borderId="0" xfId="25" applyFont="1" applyAlignment="1">
      <alignment horizontal="left"/>
    </xf>
    <xf numFmtId="37" fontId="150" fillId="0" borderId="0" xfId="25" applyFont="1"/>
    <xf numFmtId="185" fontId="156" fillId="27" borderId="0" xfId="26" applyNumberFormat="1" applyFont="1" applyFill="1" applyAlignment="1">
      <alignment vertical="center"/>
    </xf>
    <xf numFmtId="188" fontId="152" fillId="27" borderId="0" xfId="21" applyNumberFormat="1" applyFont="1" applyFill="1" applyAlignment="1">
      <alignment vertical="center"/>
    </xf>
    <xf numFmtId="188" fontId="152" fillId="27" borderId="0" xfId="21" applyNumberFormat="1" applyFont="1" applyFill="1" applyAlignment="1">
      <alignment horizontal="center" vertical="center"/>
    </xf>
    <xf numFmtId="188" fontId="156" fillId="0" borderId="0" xfId="26" applyNumberFormat="1" applyFont="1" applyFill="1" applyAlignment="1">
      <alignment vertical="center"/>
    </xf>
    <xf numFmtId="37" fontId="150" fillId="0" borderId="0" xfId="21" applyFont="1" applyAlignment="1">
      <alignment horizontal="left" vertical="center"/>
    </xf>
    <xf numFmtId="186" fontId="150" fillId="0" borderId="0" xfId="21" applyNumberFormat="1" applyFont="1" applyAlignment="1">
      <alignment horizontal="center" vertical="center"/>
    </xf>
    <xf numFmtId="37" fontId="163" fillId="0" borderId="0" xfId="21" applyFont="1" applyAlignment="1">
      <alignment vertical="center"/>
    </xf>
    <xf numFmtId="37" fontId="163" fillId="0" borderId="0" xfId="21" applyFont="1" applyAlignment="1">
      <alignment horizontal="center" vertical="center"/>
    </xf>
    <xf numFmtId="188" fontId="163" fillId="27" borderId="0" xfId="21" applyNumberFormat="1" applyFont="1" applyFill="1" applyAlignment="1">
      <alignment vertical="center"/>
    </xf>
    <xf numFmtId="188" fontId="163" fillId="0" borderId="0" xfId="21" applyNumberFormat="1" applyFont="1" applyAlignment="1">
      <alignment vertical="center"/>
    </xf>
    <xf numFmtId="188" fontId="163" fillId="0" borderId="0" xfId="21" applyNumberFormat="1" applyFont="1" applyAlignment="1">
      <alignment horizontal="right" vertical="center"/>
    </xf>
    <xf numFmtId="186" fontId="163" fillId="0" borderId="0" xfId="21" applyNumberFormat="1" applyFont="1" applyAlignment="1">
      <alignment horizontal="center" vertical="center"/>
    </xf>
    <xf numFmtId="188" fontId="163" fillId="27" borderId="0" xfId="21" applyNumberFormat="1" applyFont="1" applyFill="1" applyAlignment="1">
      <alignment horizontal="center" vertical="center"/>
    </xf>
    <xf numFmtId="188" fontId="156" fillId="27" borderId="0" xfId="26" applyNumberFormat="1" applyFont="1" applyFill="1" applyAlignment="1">
      <alignment vertical="center"/>
    </xf>
    <xf numFmtId="187" fontId="156" fillId="27" borderId="0" xfId="26" applyNumberFormat="1" applyFont="1" applyFill="1" applyAlignment="1">
      <alignment vertical="center"/>
    </xf>
    <xf numFmtId="37" fontId="152" fillId="0" borderId="0" xfId="21" applyFont="1" applyAlignment="1">
      <alignment horizontal="right" vertical="center"/>
    </xf>
    <xf numFmtId="49" fontId="152" fillId="0" borderId="0" xfId="21" applyNumberFormat="1" applyFont="1" applyAlignment="1">
      <alignment horizontal="center" vertical="center"/>
    </xf>
    <xf numFmtId="185" fontId="152" fillId="27" borderId="0" xfId="26" applyNumberFormat="1" applyFont="1" applyFill="1" applyAlignment="1">
      <alignment horizontal="center" vertical="center"/>
    </xf>
    <xf numFmtId="185" fontId="152" fillId="27" borderId="0" xfId="26" applyNumberFormat="1" applyFont="1" applyFill="1" applyAlignment="1">
      <alignment vertical="center"/>
    </xf>
    <xf numFmtId="187" fontId="152" fillId="27" borderId="0" xfId="26" applyNumberFormat="1" applyFont="1" applyFill="1" applyAlignment="1">
      <alignment vertical="center"/>
    </xf>
    <xf numFmtId="185" fontId="152" fillId="0" borderId="0" xfId="26" applyNumberFormat="1" applyFont="1" applyFill="1" applyAlignment="1" applyProtection="1">
      <alignment horizontal="right" vertical="center"/>
    </xf>
    <xf numFmtId="37" fontId="151" fillId="0" borderId="0" xfId="23" applyFont="1" applyAlignment="1">
      <alignment vertical="center"/>
    </xf>
    <xf numFmtId="188" fontId="152" fillId="0" borderId="0" xfId="26" applyNumberFormat="1" applyFont="1" applyFill="1" applyAlignment="1">
      <alignment vertical="center"/>
    </xf>
    <xf numFmtId="185" fontId="152" fillId="0" borderId="0" xfId="26" applyNumberFormat="1" applyFont="1" applyFill="1" applyAlignment="1">
      <alignment horizontal="center" vertical="center"/>
    </xf>
    <xf numFmtId="185" fontId="156" fillId="0" borderId="0" xfId="26" applyNumberFormat="1" applyFont="1" applyFill="1" applyAlignment="1">
      <alignment horizontal="center" vertical="center"/>
    </xf>
    <xf numFmtId="41" fontId="161" fillId="27" borderId="0" xfId="21" applyNumberFormat="1" applyFont="1" applyFill="1" applyAlignment="1">
      <alignment vertical="center"/>
    </xf>
    <xf numFmtId="37" fontId="149" fillId="0" borderId="0" xfId="21" applyFont="1" applyAlignment="1">
      <alignment horizontal="left" vertical="center"/>
    </xf>
    <xf numFmtId="41" fontId="161" fillId="27" borderId="0" xfId="21" applyNumberFormat="1" applyFont="1" applyFill="1" applyAlignment="1">
      <alignment horizontal="center" vertical="center"/>
    </xf>
    <xf numFmtId="185" fontId="152" fillId="27" borderId="0" xfId="26" applyNumberFormat="1" applyFont="1" applyFill="1" applyAlignment="1">
      <alignment horizontal="fill" vertical="center"/>
    </xf>
    <xf numFmtId="185" fontId="152" fillId="27" borderId="0" xfId="26" applyNumberFormat="1" applyFont="1" applyFill="1" applyAlignment="1">
      <alignment horizontal="left" vertical="center"/>
    </xf>
    <xf numFmtId="185" fontId="152" fillId="0" borderId="0" xfId="26" applyNumberFormat="1" applyFont="1" applyAlignment="1">
      <alignment horizontal="left" vertical="center"/>
    </xf>
    <xf numFmtId="185" fontId="152" fillId="0" borderId="0" xfId="26" applyNumberFormat="1" applyFont="1" applyAlignment="1">
      <alignment vertical="center"/>
    </xf>
    <xf numFmtId="185" fontId="152" fillId="0" borderId="0" xfId="24" applyNumberFormat="1" applyFont="1"/>
    <xf numFmtId="37" fontId="152" fillId="0" borderId="0" xfId="21" quotePrefix="1" applyFont="1" applyAlignment="1">
      <alignment horizontal="left" vertical="center"/>
    </xf>
    <xf numFmtId="185" fontId="152" fillId="0" borderId="0" xfId="26" applyNumberFormat="1" applyFont="1" applyFill="1" applyAlignment="1">
      <alignment horizontal="left" vertical="center"/>
    </xf>
    <xf numFmtId="41" fontId="152" fillId="0" borderId="0" xfId="26" applyNumberFormat="1" applyFont="1" applyFill="1" applyAlignment="1">
      <alignment horizontal="fill" vertical="center"/>
    </xf>
    <xf numFmtId="37" fontId="152" fillId="20" borderId="0" xfId="21" applyFont="1" applyFill="1" applyAlignment="1">
      <alignment horizontal="center" vertical="center"/>
    </xf>
    <xf numFmtId="188" fontId="156" fillId="20" borderId="0" xfId="26" applyNumberFormat="1" applyFont="1" applyFill="1" applyAlignment="1">
      <alignment vertical="center"/>
    </xf>
    <xf numFmtId="185" fontId="156" fillId="20" borderId="0" xfId="26" applyNumberFormat="1" applyFont="1" applyFill="1" applyAlignment="1">
      <alignment vertical="center"/>
    </xf>
    <xf numFmtId="37" fontId="152" fillId="20" borderId="0" xfId="21" applyFont="1" applyFill="1" applyAlignment="1">
      <alignment vertical="center"/>
    </xf>
    <xf numFmtId="185" fontId="156" fillId="0" borderId="0" xfId="26" applyNumberFormat="1" applyFont="1" applyFill="1" applyBorder="1" applyAlignment="1">
      <alignment vertical="center"/>
    </xf>
    <xf numFmtId="185" fontId="156" fillId="0" borderId="0" xfId="26" applyNumberFormat="1" applyFont="1" applyFill="1" applyAlignment="1">
      <alignment horizontal="fill" vertical="center"/>
    </xf>
    <xf numFmtId="37" fontId="152" fillId="0" borderId="0" xfId="21" quotePrefix="1" applyFont="1" applyAlignment="1">
      <alignment horizontal="center" vertical="center"/>
    </xf>
    <xf numFmtId="185" fontId="156" fillId="0" borderId="0" xfId="26" applyNumberFormat="1" applyFont="1" applyFill="1" applyAlignment="1" applyProtection="1">
      <alignment vertical="center"/>
    </xf>
    <xf numFmtId="185" fontId="152" fillId="0" borderId="0" xfId="26" applyNumberFormat="1" applyFont="1" applyAlignment="1" applyProtection="1">
      <alignment horizontal="right" vertical="center"/>
    </xf>
    <xf numFmtId="185" fontId="152" fillId="0" borderId="0" xfId="26" applyNumberFormat="1" applyFont="1" applyFill="1" applyBorder="1" applyAlignment="1">
      <alignment vertical="center"/>
    </xf>
    <xf numFmtId="37" fontId="155" fillId="0" borderId="0" xfId="21" quotePrefix="1" applyFont="1" applyAlignment="1">
      <alignment horizontal="left" vertical="center"/>
    </xf>
    <xf numFmtId="37" fontId="149" fillId="0" borderId="0" xfId="21" quotePrefix="1" applyFont="1" applyAlignment="1">
      <alignment horizontal="left" vertical="center"/>
    </xf>
    <xf numFmtId="186" fontId="152" fillId="0" borderId="0" xfId="21" applyNumberFormat="1" applyFont="1" applyAlignment="1">
      <alignment vertical="center"/>
    </xf>
    <xf numFmtId="185" fontId="152" fillId="0" borderId="0" xfId="26" applyNumberFormat="1" applyFont="1" applyBorder="1" applyAlignment="1">
      <alignment vertical="center"/>
    </xf>
    <xf numFmtId="187" fontId="156" fillId="0" borderId="0" xfId="26" applyNumberFormat="1" applyFont="1" applyAlignment="1">
      <alignment vertical="center"/>
    </xf>
    <xf numFmtId="185" fontId="156" fillId="0" borderId="0" xfId="26" applyNumberFormat="1" applyFont="1" applyBorder="1" applyAlignment="1">
      <alignment vertical="center"/>
    </xf>
    <xf numFmtId="185" fontId="156" fillId="0" borderId="0" xfId="26" applyNumberFormat="1" applyFont="1" applyAlignment="1" applyProtection="1">
      <alignment vertical="center"/>
    </xf>
    <xf numFmtId="187" fontId="165" fillId="0" borderId="0" xfId="26" applyNumberFormat="1" applyFont="1" applyAlignment="1">
      <alignment vertical="center"/>
    </xf>
    <xf numFmtId="37" fontId="150" fillId="0" borderId="76" xfId="23" applyFont="1" applyBorder="1" applyAlignment="1">
      <alignment vertical="center"/>
    </xf>
    <xf numFmtId="49" fontId="149" fillId="0" borderId="0" xfId="21" applyNumberFormat="1" applyFont="1" applyAlignment="1">
      <alignment horizontal="center" vertical="center"/>
    </xf>
    <xf numFmtId="37" fontId="149" fillId="0" borderId="0" xfId="21" applyFont="1" applyAlignment="1">
      <alignment horizontal="center" vertical="center"/>
    </xf>
    <xf numFmtId="187" fontId="152" fillId="0" borderId="0" xfId="26" applyNumberFormat="1" applyFont="1" applyAlignment="1">
      <alignment vertical="center"/>
    </xf>
    <xf numFmtId="185" fontId="149" fillId="0" borderId="0" xfId="26" applyNumberFormat="1" applyFont="1" applyAlignment="1">
      <alignment vertical="center"/>
    </xf>
    <xf numFmtId="185" fontId="149" fillId="0" borderId="0" xfId="26" applyNumberFormat="1" applyFont="1" applyAlignment="1" applyProtection="1">
      <alignment horizontal="right" vertical="center"/>
    </xf>
    <xf numFmtId="37" fontId="151" fillId="0" borderId="0" xfId="23" applyFont="1" applyAlignment="1">
      <alignment horizontal="center" vertical="center"/>
    </xf>
    <xf numFmtId="185" fontId="149" fillId="0" borderId="0" xfId="24" applyNumberFormat="1" applyFont="1" applyAlignment="1" applyProtection="1">
      <alignment horizontal="right"/>
    </xf>
    <xf numFmtId="185" fontId="152" fillId="0" borderId="0" xfId="21" applyNumberFormat="1" applyFont="1" applyAlignment="1">
      <alignment vertical="center"/>
    </xf>
    <xf numFmtId="185" fontId="152" fillId="0" borderId="0" xfId="21" applyNumberFormat="1" applyFont="1" applyAlignment="1">
      <alignment horizontal="center" vertical="center"/>
    </xf>
    <xf numFmtId="10" fontId="151" fillId="0" borderId="0" xfId="27" applyNumberFormat="1" applyFont="1" applyAlignment="1">
      <alignment vertical="center"/>
    </xf>
    <xf numFmtId="185" fontId="152" fillId="0" borderId="0" xfId="23" applyNumberFormat="1" applyFont="1"/>
    <xf numFmtId="188" fontId="151" fillId="5" borderId="0" xfId="22" applyNumberFormat="1" applyFont="1" applyFill="1" applyAlignment="1">
      <alignment horizontal="center" vertical="center"/>
    </xf>
    <xf numFmtId="9" fontId="150" fillId="0" borderId="0" xfId="27" applyFont="1" applyAlignment="1">
      <alignment vertical="center"/>
    </xf>
    <xf numFmtId="10" fontId="150" fillId="0" borderId="196" xfId="27" applyNumberFormat="1" applyFont="1" applyBorder="1" applyAlignment="1">
      <alignment vertical="center"/>
    </xf>
    <xf numFmtId="188" fontId="152" fillId="0" borderId="0" xfId="23" applyNumberFormat="1" applyFont="1"/>
    <xf numFmtId="37" fontId="150" fillId="0" borderId="0" xfId="21" applyFont="1" applyAlignment="1">
      <alignment horizontal="center" vertical="center"/>
    </xf>
    <xf numFmtId="37" fontId="151" fillId="0" borderId="0" xfId="21" applyFont="1" applyAlignment="1">
      <alignment horizontal="center" vertical="center"/>
    </xf>
    <xf numFmtId="49" fontId="152" fillId="0" borderId="0" xfId="21" quotePrefix="1" applyNumberFormat="1" applyFont="1" applyAlignment="1">
      <alignment horizontal="center" vertical="center"/>
    </xf>
    <xf numFmtId="0" fontId="69" fillId="0" borderId="0" xfId="3" applyFont="1" applyBorder="1" applyAlignment="1" applyProtection="1">
      <alignment horizontal="left"/>
    </xf>
    <xf numFmtId="185" fontId="152" fillId="0" borderId="78" xfId="26" applyNumberFormat="1" applyFont="1" applyFill="1" applyBorder="1" applyAlignment="1">
      <alignment vertical="center"/>
    </xf>
    <xf numFmtId="185" fontId="152" fillId="0" borderId="76" xfId="26" applyNumberFormat="1" applyFont="1" applyFill="1" applyBorder="1" applyAlignment="1">
      <alignment vertical="center"/>
    </xf>
    <xf numFmtId="188" fontId="150" fillId="0" borderId="78" xfId="25" applyNumberFormat="1" applyFont="1" applyBorder="1" applyAlignment="1">
      <alignment vertical="center"/>
    </xf>
    <xf numFmtId="185" fontId="156" fillId="0" borderId="78" xfId="26" applyNumberFormat="1" applyFont="1" applyFill="1" applyBorder="1" applyAlignment="1">
      <alignment vertical="center"/>
    </xf>
    <xf numFmtId="188" fontId="164" fillId="0" borderId="78" xfId="25" applyNumberFormat="1" applyFont="1" applyBorder="1"/>
    <xf numFmtId="185" fontId="152" fillId="27" borderId="78" xfId="26" applyNumberFormat="1" applyFont="1" applyFill="1" applyBorder="1" applyAlignment="1">
      <alignment vertical="center"/>
    </xf>
    <xf numFmtId="41" fontId="152" fillId="0" borderId="0" xfId="26" applyNumberFormat="1" applyFont="1" applyFill="1" applyAlignment="1" applyProtection="1">
      <alignment vertical="center"/>
    </xf>
    <xf numFmtId="41" fontId="152" fillId="0" borderId="0" xfId="21" applyNumberFormat="1" applyFont="1" applyAlignment="1">
      <alignment vertical="center"/>
    </xf>
    <xf numFmtId="41" fontId="152" fillId="27" borderId="0" xfId="21" applyNumberFormat="1" applyFont="1" applyFill="1" applyAlignment="1">
      <alignment vertical="center"/>
    </xf>
    <xf numFmtId="41" fontId="152" fillId="0" borderId="78" xfId="26" applyNumberFormat="1" applyFont="1" applyFill="1" applyBorder="1" applyAlignment="1" applyProtection="1">
      <alignment vertical="center"/>
    </xf>
    <xf numFmtId="188" fontId="152" fillId="0" borderId="78" xfId="26" applyNumberFormat="1" applyFont="1" applyFill="1" applyBorder="1" applyAlignment="1">
      <alignment vertical="center"/>
    </xf>
    <xf numFmtId="41" fontId="152" fillId="0" borderId="76" xfId="26" applyNumberFormat="1" applyFont="1" applyFill="1" applyBorder="1" applyAlignment="1" applyProtection="1">
      <alignment vertical="center"/>
    </xf>
    <xf numFmtId="187" fontId="152" fillId="0" borderId="78" xfId="26" applyNumberFormat="1" applyFont="1" applyFill="1" applyBorder="1" applyAlignment="1">
      <alignment vertical="center"/>
    </xf>
    <xf numFmtId="41" fontId="152" fillId="0" borderId="78" xfId="21" applyNumberFormat="1" applyFont="1" applyBorder="1" applyAlignment="1">
      <alignment vertical="center"/>
    </xf>
    <xf numFmtId="41" fontId="152" fillId="27" borderId="76" xfId="21" applyNumberFormat="1" applyFont="1" applyFill="1" applyBorder="1" applyAlignment="1">
      <alignment vertical="center"/>
    </xf>
    <xf numFmtId="41" fontId="152" fillId="27" borderId="78" xfId="21" applyNumberFormat="1" applyFont="1" applyFill="1" applyBorder="1" applyAlignment="1">
      <alignment vertical="center"/>
    </xf>
    <xf numFmtId="37" fontId="152" fillId="27" borderId="0" xfId="21" applyFont="1" applyFill="1" applyBorder="1" applyAlignment="1">
      <alignment vertical="center"/>
    </xf>
    <xf numFmtId="41" fontId="152" fillId="0" borderId="76" xfId="21" applyNumberFormat="1" applyFont="1" applyBorder="1" applyAlignment="1">
      <alignment vertical="center"/>
    </xf>
    <xf numFmtId="188" fontId="152" fillId="0" borderId="76" xfId="26" applyNumberFormat="1" applyFont="1" applyBorder="1" applyAlignment="1">
      <alignment vertical="center"/>
    </xf>
    <xf numFmtId="187" fontId="152" fillId="0" borderId="78" xfId="26" applyNumberFormat="1" applyFont="1" applyBorder="1" applyAlignment="1">
      <alignment vertical="center"/>
    </xf>
    <xf numFmtId="187" fontId="152" fillId="0" borderId="188" xfId="26" applyNumberFormat="1" applyFont="1" applyBorder="1" applyAlignment="1">
      <alignment vertical="center"/>
    </xf>
    <xf numFmtId="187" fontId="152" fillId="0" borderId="196" xfId="26" applyNumberFormat="1" applyFont="1" applyBorder="1" applyAlignment="1">
      <alignment vertical="center"/>
    </xf>
    <xf numFmtId="0" fontId="2" fillId="0" borderId="155" xfId="19" applyFont="1" applyBorder="1" applyAlignment="1" applyProtection="1">
      <alignment horizontal="left" vertical="top" wrapText="1"/>
      <protection locked="0"/>
    </xf>
    <xf numFmtId="0" fontId="55" fillId="0" borderId="0" xfId="3" applyFont="1" applyAlignment="1" applyProtection="1">
      <alignment horizontal="center" vertic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41" fontId="157" fillId="0" borderId="0" xfId="22" applyNumberFormat="1" applyFont="1" applyAlignment="1">
      <alignment horizontal="center" vertical="center"/>
    </xf>
    <xf numFmtId="14" fontId="159" fillId="0" borderId="0" xfId="23" applyNumberFormat="1" applyFont="1" applyAlignment="1">
      <alignment horizontal="center"/>
    </xf>
    <xf numFmtId="37" fontId="149" fillId="0" borderId="0" xfId="21" applyFont="1" applyAlignment="1">
      <alignment horizontal="center"/>
    </xf>
    <xf numFmtId="0" fontId="153" fillId="0" borderId="0" xfId="21" applyNumberFormat="1" applyFont="1" applyAlignment="1">
      <alignment horizontal="center"/>
    </xf>
    <xf numFmtId="43" fontId="156" fillId="0" borderId="0" xfId="24" applyFont="1" applyBorder="1" applyAlignment="1">
      <alignment horizont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8">
    <cellStyle name="Comma" xfId="1" builtinId="3"/>
    <cellStyle name="Comma 14" xfId="26" xr:uid="{21DAC39E-E193-4FAA-AE2A-B362B853DE51}"/>
    <cellStyle name="Comma 2" xfId="24" xr:uid="{1125F0F6-A41E-4E7F-A1CE-370FB31FFC80}"/>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5" xr:uid="{83B354B9-DE7B-4AB2-BFC1-BB991E26AC97}"/>
    <cellStyle name="Normal 5" xfId="17" xr:uid="{00000000-0005-0000-0000-000009000000}"/>
    <cellStyle name="Normal 5 2" xfId="19" xr:uid="{00000000-0005-0000-0000-00000A000000}"/>
    <cellStyle name="Normal 5 3" xfId="21" xr:uid="{EB9337E9-4B53-4057-A759-9F435E0513A2}"/>
    <cellStyle name="Normal 6" xfId="20" xr:uid="{00000000-0005-0000-0000-00000B000000}"/>
    <cellStyle name="Normal 7" xfId="23" xr:uid="{BD58AF1B-E197-4534-A9DC-08F42EC7D74F}"/>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2" xr:uid="{C7F6DB01-73A6-434E-9600-B4365AB6EA8B}"/>
    <cellStyle name="Normal_THRESHOLD CALCULATOR v3" xfId="13" xr:uid="{00000000-0005-0000-0000-000014000000}"/>
    <cellStyle name="Percent 2" xfId="27" xr:uid="{1238A128-2019-4EDD-BCD6-815107618B5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300470</xdr:colOff>
          <xdr:row>5</xdr:row>
          <xdr:rowOff>51089</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293543</xdr:colOff>
          <xdr:row>5</xdr:row>
          <xdr:rowOff>51089</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26">
        <f>+'AFR20'!E4</f>
        <v>44119</v>
      </c>
      <c r="C1" s="2226"/>
      <c r="D1" s="2227"/>
      <c r="I1" s="2305" t="s">
        <v>402</v>
      </c>
      <c r="J1" s="2306"/>
      <c r="K1" s="2306"/>
      <c r="L1" s="2306"/>
      <c r="M1" s="2306"/>
      <c r="N1" s="2306"/>
      <c r="O1" s="2306"/>
      <c r="P1" s="2306"/>
      <c r="Q1" s="2306"/>
      <c r="R1" s="2306"/>
      <c r="S1" s="2306"/>
    </row>
    <row r="2" spans="1:32" ht="12" customHeight="1" x14ac:dyDescent="0.2">
      <c r="A2" s="1830" t="str">
        <f>"Due to ISBE on "</f>
        <v xml:space="preserve">Due to ISBE on </v>
      </c>
      <c r="B2" s="2228">
        <f>+'AFR20'!F4</f>
        <v>44151</v>
      </c>
      <c r="C2" s="2228"/>
      <c r="D2" s="2229"/>
      <c r="I2" s="2307" t="s">
        <v>1999</v>
      </c>
      <c r="J2" s="2306"/>
      <c r="K2" s="2306"/>
      <c r="L2" s="2306"/>
      <c r="M2" s="2306"/>
      <c r="N2" s="2306"/>
      <c r="O2" s="2306"/>
      <c r="P2" s="2306"/>
      <c r="Q2" s="2306"/>
      <c r="R2" s="2306"/>
      <c r="S2" s="2306"/>
    </row>
    <row r="3" spans="1:32" ht="12" customHeight="1" x14ac:dyDescent="0.2">
      <c r="A3" s="1833" t="str">
        <f>"SD/JA"&amp;MID('AFR20'!E2,3,2)</f>
        <v>SD/JA20</v>
      </c>
      <c r="B3" s="151"/>
      <c r="C3" s="151"/>
      <c r="D3" s="152"/>
      <c r="I3" s="2307" t="s">
        <v>52</v>
      </c>
      <c r="J3" s="2306"/>
      <c r="K3" s="2306"/>
      <c r="L3" s="2306"/>
      <c r="M3" s="2306"/>
      <c r="N3" s="2306"/>
      <c r="O3" s="2306"/>
      <c r="P3" s="2306"/>
      <c r="Q3" s="2306"/>
      <c r="R3" s="2306"/>
      <c r="S3" s="2306"/>
    </row>
    <row r="4" spans="1:32" ht="12" customHeight="1" x14ac:dyDescent="0.2">
      <c r="A4" s="37"/>
      <c r="I4" s="2307" t="s">
        <v>521</v>
      </c>
      <c r="J4" s="2306"/>
      <c r="K4" s="2306"/>
      <c r="L4" s="2306"/>
      <c r="M4" s="2306"/>
      <c r="N4" s="2306"/>
      <c r="O4" s="2306"/>
      <c r="P4" s="2306"/>
      <c r="Q4" s="2306"/>
      <c r="R4" s="2306"/>
      <c r="S4" s="2306"/>
    </row>
    <row r="5" spans="1:32" ht="14.1" customHeight="1" x14ac:dyDescent="0.2">
      <c r="B5" s="101"/>
      <c r="C5" s="26" t="s">
        <v>904</v>
      </c>
      <c r="D5" s="81"/>
      <c r="E5" s="81"/>
      <c r="H5" s="38"/>
      <c r="I5" s="2314" t="s">
        <v>675</v>
      </c>
      <c r="J5" s="2259"/>
      <c r="K5" s="2259"/>
      <c r="L5" s="2259"/>
      <c r="M5" s="2259"/>
      <c r="N5" s="2259"/>
      <c r="O5" s="2259"/>
      <c r="P5" s="2259"/>
      <c r="Q5" s="2259"/>
      <c r="R5" s="2259"/>
      <c r="S5" s="2259"/>
      <c r="AF5" s="1826"/>
    </row>
    <row r="6" spans="1:32" ht="14.1" customHeight="1" x14ac:dyDescent="0.2">
      <c r="B6" s="101" t="s">
        <v>2067</v>
      </c>
      <c r="C6" s="26" t="s">
        <v>905</v>
      </c>
      <c r="D6" s="81"/>
      <c r="E6" s="81"/>
      <c r="I6" s="2313" t="s">
        <v>877</v>
      </c>
      <c r="J6" s="2259"/>
      <c r="K6" s="2259"/>
      <c r="L6" s="2259"/>
      <c r="M6" s="2259"/>
      <c r="N6" s="2259"/>
      <c r="O6" s="2259"/>
      <c r="P6" s="2259"/>
      <c r="Q6" s="2259"/>
      <c r="R6" s="2259"/>
      <c r="S6" s="2259"/>
    </row>
    <row r="7" spans="1:32" ht="12.2" customHeight="1" x14ac:dyDescent="0.2">
      <c r="I7" s="2308" t="str">
        <f>"June 30, "&amp;'AFR20'!E2</f>
        <v>June 30, 2020</v>
      </c>
      <c r="J7" s="2309"/>
      <c r="K7" s="2309"/>
      <c r="L7" s="2309"/>
      <c r="M7" s="2309"/>
      <c r="N7" s="2309"/>
      <c r="O7" s="2309"/>
      <c r="P7" s="2309"/>
      <c r="Q7" s="2309"/>
      <c r="R7" s="2309"/>
      <c r="S7" s="230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10" t="s">
        <v>669</v>
      </c>
      <c r="J9" s="2311"/>
      <c r="K9" s="2311"/>
      <c r="L9" s="2311"/>
      <c r="M9" s="2311"/>
      <c r="N9" s="2311"/>
      <c r="O9" s="2311"/>
      <c r="P9" s="2311"/>
      <c r="Q9" s="2311"/>
      <c r="R9" s="2311"/>
      <c r="S9" s="2312"/>
      <c r="T9" s="2255" t="s">
        <v>530</v>
      </c>
      <c r="U9" s="2256"/>
      <c r="V9" s="2256"/>
      <c r="W9" s="2256"/>
      <c r="X9" s="2256"/>
      <c r="Y9" s="2256"/>
      <c r="Z9" s="2256"/>
      <c r="AA9" s="2257"/>
    </row>
    <row r="10" spans="1:32" ht="13.5" customHeight="1" x14ac:dyDescent="0.2">
      <c r="A10" s="2264" t="s">
        <v>670</v>
      </c>
      <c r="B10" s="2265"/>
      <c r="C10" s="2265"/>
      <c r="D10" s="2265"/>
      <c r="E10" s="2265"/>
      <c r="F10" s="2265"/>
      <c r="G10" s="2265"/>
      <c r="H10" s="2266"/>
      <c r="I10" s="29"/>
      <c r="J10" s="30"/>
      <c r="K10" s="28"/>
      <c r="R10" s="30"/>
      <c r="S10" s="30"/>
      <c r="T10" s="2258"/>
      <c r="U10" s="2259"/>
      <c r="V10" s="2259"/>
      <c r="W10" s="2259"/>
      <c r="X10" s="2259"/>
      <c r="Y10" s="2259"/>
      <c r="Z10" s="2259"/>
      <c r="AA10" s="2260"/>
    </row>
    <row r="11" spans="1:32" ht="14.25" customHeight="1" x14ac:dyDescent="0.2">
      <c r="A11" s="2267" t="s">
        <v>949</v>
      </c>
      <c r="B11" s="2268"/>
      <c r="C11" s="2268"/>
      <c r="D11" s="2268"/>
      <c r="E11" s="2268"/>
      <c r="F11" s="2268"/>
      <c r="G11" s="2268"/>
      <c r="H11" s="2269"/>
      <c r="I11" s="27"/>
      <c r="J11" s="71"/>
      <c r="K11" s="27"/>
      <c r="O11" s="144" t="s">
        <v>2047</v>
      </c>
      <c r="P11" s="97" t="s">
        <v>199</v>
      </c>
      <c r="Q11" s="30"/>
      <c r="R11" s="28"/>
      <c r="S11" s="27"/>
      <c r="T11" s="2261"/>
      <c r="U11" s="2262"/>
      <c r="V11" s="2262"/>
      <c r="W11" s="2262"/>
      <c r="X11" s="2262"/>
      <c r="Y11" s="2262"/>
      <c r="Z11" s="2262"/>
      <c r="AA11" s="226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75">
        <v>47098000061</v>
      </c>
      <c r="B13" s="2276"/>
      <c r="C13" s="2276"/>
      <c r="D13" s="2276"/>
      <c r="E13" s="2276"/>
      <c r="F13" s="2276"/>
      <c r="G13" s="2276"/>
      <c r="H13" s="2277"/>
      <c r="I13" s="31"/>
      <c r="J13" s="30"/>
      <c r="K13" s="28"/>
      <c r="L13" s="30"/>
      <c r="M13" s="30"/>
      <c r="N13" s="30"/>
      <c r="O13" s="30"/>
      <c r="P13" s="30"/>
      <c r="Q13" s="30"/>
      <c r="R13" s="30"/>
      <c r="S13" s="30"/>
      <c r="T13" s="2280" t="s">
        <v>2048</v>
      </c>
      <c r="U13" s="2281"/>
      <c r="V13" s="2281"/>
      <c r="W13" s="2281"/>
      <c r="X13" s="2281"/>
      <c r="Y13" s="2282"/>
      <c r="Z13" s="2282"/>
      <c r="AA13" s="228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73" t="s">
        <v>2060</v>
      </c>
      <c r="B15" s="2278"/>
      <c r="C15" s="2278"/>
      <c r="D15" s="2278"/>
      <c r="E15" s="2278"/>
      <c r="F15" s="2278"/>
      <c r="G15" s="2278"/>
      <c r="H15" s="2279"/>
      <c r="T15" s="2241" t="s">
        <v>2065</v>
      </c>
      <c r="U15" s="2242"/>
      <c r="V15" s="2242"/>
      <c r="W15" s="2242"/>
      <c r="X15" s="2242"/>
      <c r="Y15" s="2284"/>
      <c r="Z15" s="2284"/>
      <c r="AA15" s="228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33" t="s">
        <v>2215</v>
      </c>
      <c r="B17" s="2303"/>
      <c r="C17" s="2303"/>
      <c r="D17" s="2303"/>
      <c r="E17" s="2303"/>
      <c r="F17" s="2303"/>
      <c r="G17" s="2303"/>
      <c r="H17" s="2304"/>
      <c r="T17" s="2290" t="s">
        <v>2049</v>
      </c>
      <c r="U17" s="2291"/>
      <c r="V17" s="2291"/>
      <c r="W17" s="2291"/>
      <c r="X17" s="2291"/>
      <c r="Y17" s="2291"/>
      <c r="Z17" s="2291"/>
      <c r="AA17" s="2292"/>
    </row>
    <row r="18" spans="1:27" ht="13.5" customHeight="1" x14ac:dyDescent="0.2">
      <c r="A18" s="82" t="s">
        <v>527</v>
      </c>
      <c r="B18" s="73"/>
      <c r="C18" s="69"/>
      <c r="D18" s="73"/>
      <c r="E18" s="73"/>
      <c r="F18" s="73"/>
      <c r="G18" s="73"/>
      <c r="H18" s="53"/>
      <c r="I18" s="2300" t="s">
        <v>671</v>
      </c>
      <c r="J18" s="2301"/>
      <c r="K18" s="2301"/>
      <c r="L18" s="2301"/>
      <c r="M18" s="2301"/>
      <c r="N18" s="2301"/>
      <c r="O18" s="2301"/>
      <c r="P18" s="2301"/>
      <c r="Q18" s="2301"/>
      <c r="R18" s="2301"/>
      <c r="S18" s="2302"/>
      <c r="T18" s="82" t="s">
        <v>706</v>
      </c>
      <c r="U18" s="48"/>
      <c r="V18" s="69"/>
      <c r="W18" s="47"/>
      <c r="X18" s="82" t="s">
        <v>264</v>
      </c>
      <c r="Y18" s="78"/>
      <c r="Z18" s="154" t="s">
        <v>672</v>
      </c>
      <c r="AA18" s="44"/>
    </row>
    <row r="19" spans="1:27" ht="13.5" customHeight="1" x14ac:dyDescent="0.2">
      <c r="A19" s="2273" t="s">
        <v>2062</v>
      </c>
      <c r="B19" s="2274"/>
      <c r="C19" s="2274"/>
      <c r="D19" s="2274"/>
      <c r="E19" s="2274"/>
      <c r="F19" s="2274"/>
      <c r="G19" s="2274"/>
      <c r="H19" s="2272"/>
      <c r="I19" s="30"/>
      <c r="J19" s="96"/>
      <c r="K19" s="40"/>
      <c r="L19" s="38"/>
      <c r="M19" s="109" t="s">
        <v>312</v>
      </c>
      <c r="P19" s="27"/>
      <c r="Q19" s="27"/>
      <c r="R19" s="27"/>
      <c r="S19" s="31"/>
      <c r="T19" s="2273" t="s">
        <v>2050</v>
      </c>
      <c r="U19" s="2271"/>
      <c r="V19" s="2271"/>
      <c r="W19" s="2272"/>
      <c r="X19" s="2288" t="s">
        <v>2051</v>
      </c>
      <c r="Y19" s="2289"/>
      <c r="Z19" s="2286">
        <v>61614</v>
      </c>
      <c r="AA19" s="228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70" t="s">
        <v>2063</v>
      </c>
      <c r="B21" s="2271"/>
      <c r="C21" s="2271"/>
      <c r="D21" s="2271"/>
      <c r="E21" s="2271"/>
      <c r="F21" s="2271"/>
      <c r="G21" s="2271"/>
      <c r="H21" s="2272"/>
      <c r="I21" s="2296" t="s">
        <v>673</v>
      </c>
      <c r="J21" s="2259"/>
      <c r="K21" s="2259"/>
      <c r="L21" s="2259"/>
      <c r="M21" s="2259"/>
      <c r="N21" s="2259"/>
      <c r="O21" s="2259"/>
      <c r="P21" s="2259"/>
      <c r="Q21" s="2259"/>
      <c r="R21" s="2259"/>
      <c r="S21" s="2260"/>
      <c r="T21" s="2238" t="s">
        <v>2052</v>
      </c>
      <c r="U21" s="2239"/>
      <c r="V21" s="2239"/>
      <c r="W21" s="2239"/>
      <c r="X21" s="2252" t="s">
        <v>2053</v>
      </c>
      <c r="Y21" s="2253"/>
      <c r="Z21" s="2253"/>
      <c r="AA21" s="2254"/>
    </row>
    <row r="22" spans="1:27" ht="13.5" customHeight="1" x14ac:dyDescent="0.2">
      <c r="A22" s="84" t="s">
        <v>528</v>
      </c>
      <c r="B22" s="56"/>
      <c r="C22" s="56"/>
      <c r="D22" s="56"/>
      <c r="E22" s="56"/>
      <c r="F22" s="56"/>
      <c r="G22" s="56"/>
      <c r="H22" s="57"/>
      <c r="I22" s="2297" t="s">
        <v>1412</v>
      </c>
      <c r="J22" s="2298"/>
      <c r="K22" s="2298"/>
      <c r="L22" s="2298"/>
      <c r="M22" s="2298"/>
      <c r="N22" s="2298"/>
      <c r="O22" s="2298"/>
      <c r="P22" s="2298"/>
      <c r="Q22" s="2298"/>
      <c r="R22" s="2298"/>
      <c r="S22" s="2299"/>
      <c r="T22" s="82" t="s">
        <v>1499</v>
      </c>
      <c r="U22" s="48"/>
      <c r="V22" s="69"/>
      <c r="W22" s="48"/>
      <c r="X22" s="155" t="s">
        <v>1307</v>
      </c>
      <c r="Z22" s="43"/>
      <c r="AA22" s="44"/>
    </row>
    <row r="23" spans="1:27" ht="13.5" customHeight="1" x14ac:dyDescent="0.2">
      <c r="A23" s="2293" t="s">
        <v>2064</v>
      </c>
      <c r="B23" s="2294"/>
      <c r="C23" s="2294"/>
      <c r="D23" s="2294"/>
      <c r="E23" s="2294"/>
      <c r="F23" s="2294"/>
      <c r="G23" s="2294"/>
      <c r="H23" s="2295"/>
      <c r="T23" s="2233" t="s">
        <v>2054</v>
      </c>
      <c r="U23" s="2234"/>
      <c r="V23" s="2234"/>
      <c r="W23" s="2234"/>
      <c r="X23" s="2249">
        <v>44501</v>
      </c>
      <c r="Y23" s="2250"/>
      <c r="Z23" s="2250"/>
      <c r="AA23" s="2251"/>
    </row>
    <row r="24" spans="1:27" ht="14.1" customHeight="1" x14ac:dyDescent="0.2">
      <c r="A24" s="85" t="s">
        <v>672</v>
      </c>
      <c r="B24" s="46"/>
      <c r="C24" s="46"/>
      <c r="D24" s="46"/>
      <c r="E24" s="46"/>
      <c r="F24" s="46"/>
      <c r="G24" s="46"/>
      <c r="H24" s="58"/>
      <c r="J24" s="2335" t="str">
        <f>IF(B5="x",IF(AUDITCHECK!D29="AFR form Incomplete.","",IF(AUDITCHECK!D29="Deficit reduction plan is required.","School District must complete a deficit reduction plan in the 2020-2021 Budget",)),"")</f>
        <v/>
      </c>
      <c r="K24" s="2335"/>
      <c r="L24" s="2335"/>
      <c r="M24" s="2335"/>
      <c r="N24" s="2335"/>
      <c r="O24" s="2335"/>
      <c r="P24" s="2335"/>
      <c r="Q24" s="2335"/>
      <c r="R24" s="2335"/>
      <c r="S24" s="2336"/>
      <c r="T24" s="102" t="s">
        <v>528</v>
      </c>
      <c r="U24" s="103"/>
      <c r="V24" s="103"/>
      <c r="W24" s="103"/>
      <c r="X24" s="104"/>
      <c r="Y24" s="104"/>
      <c r="Z24" s="104"/>
      <c r="AA24" s="105"/>
    </row>
    <row r="25" spans="1:27" ht="14.1" customHeight="1" x14ac:dyDescent="0.2">
      <c r="A25" s="2270">
        <v>61081</v>
      </c>
      <c r="B25" s="2271"/>
      <c r="C25" s="2271"/>
      <c r="D25" s="2271"/>
      <c r="E25" s="2271"/>
      <c r="F25" s="2271"/>
      <c r="G25" s="2271"/>
      <c r="H25" s="2272"/>
      <c r="I25" s="110"/>
      <c r="J25" s="2337"/>
      <c r="K25" s="2337"/>
      <c r="L25" s="2337"/>
      <c r="M25" s="2337"/>
      <c r="N25" s="2337"/>
      <c r="O25" s="2337"/>
      <c r="P25" s="2337"/>
      <c r="Q25" s="2337"/>
      <c r="R25" s="2337"/>
      <c r="S25" s="2338"/>
      <c r="T25" s="2230" t="s">
        <v>2066</v>
      </c>
      <c r="U25" s="2231"/>
      <c r="V25" s="2231"/>
      <c r="W25" s="2231"/>
      <c r="X25" s="2231"/>
      <c r="Y25" s="2231"/>
      <c r="Z25" s="2231"/>
      <c r="AA25" s="22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328" t="s">
        <v>1494</v>
      </c>
      <c r="J27" s="2301"/>
      <c r="K27" s="2301"/>
      <c r="L27" s="2301"/>
      <c r="M27" s="2301"/>
      <c r="N27" s="2301"/>
      <c r="O27" s="2301"/>
      <c r="P27" s="2301"/>
      <c r="Q27" s="2301"/>
      <c r="R27" s="2301"/>
      <c r="S27" s="230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2067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2067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2067</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74"/>
      <c r="Q35" s="2271"/>
      <c r="R35" s="227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33" t="s">
        <v>2211</v>
      </c>
      <c r="B38" s="2303"/>
      <c r="C38" s="2303"/>
      <c r="D38" s="2303"/>
      <c r="E38" s="2303"/>
      <c r="F38" s="2271"/>
      <c r="G38" s="2271"/>
      <c r="H38" s="2272"/>
      <c r="I38" s="2322"/>
      <c r="J38" s="2242"/>
      <c r="K38" s="2242"/>
      <c r="L38" s="2242"/>
      <c r="M38" s="2242"/>
      <c r="N38" s="2242"/>
      <c r="O38" s="2242"/>
      <c r="P38" s="2243"/>
      <c r="Q38" s="2243"/>
      <c r="R38" s="2243"/>
      <c r="S38" s="2244"/>
      <c r="T38" s="2241"/>
      <c r="U38" s="2242"/>
      <c r="V38" s="2242"/>
      <c r="W38" s="2242"/>
      <c r="X38" s="2243"/>
      <c r="Y38" s="2243"/>
      <c r="Z38" s="2243"/>
      <c r="AA38" s="2244"/>
    </row>
    <row r="39" spans="1:27" ht="12" customHeight="1" x14ac:dyDescent="0.2">
      <c r="A39" s="2326" t="s">
        <v>528</v>
      </c>
      <c r="B39" s="2327"/>
      <c r="C39" s="69"/>
      <c r="D39" s="66"/>
      <c r="E39" s="66"/>
      <c r="F39" s="76"/>
      <c r="G39" s="66"/>
      <c r="H39" s="53"/>
      <c r="I39" s="2326" t="s">
        <v>528</v>
      </c>
      <c r="J39" s="2327"/>
      <c r="K39" s="2327"/>
      <c r="L39" s="2327"/>
      <c r="M39" s="2327"/>
      <c r="N39" s="64"/>
      <c r="O39" s="69"/>
      <c r="P39" s="69"/>
      <c r="Q39" s="75"/>
      <c r="R39" s="69"/>
      <c r="S39" s="53"/>
      <c r="T39" s="69" t="s">
        <v>528</v>
      </c>
      <c r="U39" s="48"/>
      <c r="V39" s="69"/>
      <c r="W39" s="47"/>
      <c r="X39" s="75"/>
      <c r="Y39" s="43"/>
      <c r="Z39" s="43"/>
      <c r="AA39" s="44"/>
    </row>
    <row r="40" spans="1:27" ht="13.5" customHeight="1" x14ac:dyDescent="0.2">
      <c r="A40" s="2329" t="s">
        <v>2064</v>
      </c>
      <c r="B40" s="2330"/>
      <c r="C40" s="2331"/>
      <c r="D40" s="2331"/>
      <c r="E40" s="2331"/>
      <c r="F40" s="2332"/>
      <c r="G40" s="2332"/>
      <c r="H40" s="2333"/>
      <c r="I40" s="2245"/>
      <c r="J40" s="2247"/>
      <c r="K40" s="2247"/>
      <c r="L40" s="2247"/>
      <c r="M40" s="2247"/>
      <c r="N40" s="2247"/>
      <c r="O40" s="2247"/>
      <c r="P40" s="2247"/>
      <c r="Q40" s="2247"/>
      <c r="R40" s="2247"/>
      <c r="S40" s="2248"/>
      <c r="T40" s="2245"/>
      <c r="U40" s="2246"/>
      <c r="V40" s="2247"/>
      <c r="W40" s="2247"/>
      <c r="X40" s="2247"/>
      <c r="Y40" s="2247"/>
      <c r="Z40" s="2247"/>
      <c r="AA40" s="224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319" t="s">
        <v>2068</v>
      </c>
      <c r="B42" s="2320"/>
      <c r="C42" s="2321"/>
      <c r="D42" s="2334" t="s">
        <v>2069</v>
      </c>
      <c r="E42" s="2320"/>
      <c r="F42" s="2320"/>
      <c r="G42" s="2320"/>
      <c r="H42" s="2321"/>
      <c r="I42" s="2240"/>
      <c r="J42" s="2236"/>
      <c r="K42" s="2236"/>
      <c r="L42" s="2236"/>
      <c r="M42" s="2236"/>
      <c r="N42" s="2236"/>
      <c r="O42" s="2237"/>
      <c r="P42" s="2235"/>
      <c r="Q42" s="2236"/>
      <c r="R42" s="2236"/>
      <c r="S42" s="2237"/>
      <c r="T42" s="2240"/>
      <c r="U42" s="2236"/>
      <c r="V42" s="2236"/>
      <c r="W42" s="2237"/>
      <c r="X42" s="2235"/>
      <c r="Y42" s="2236"/>
      <c r="Z42" s="2236"/>
      <c r="AA42" s="223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323"/>
      <c r="B44" s="2324"/>
      <c r="C44" s="2324"/>
      <c r="D44" s="2324"/>
      <c r="E44" s="2324"/>
      <c r="F44" s="2324"/>
      <c r="G44" s="2324"/>
      <c r="H44" s="2325"/>
      <c r="I44" s="2315"/>
      <c r="J44" s="2317"/>
      <c r="K44" s="2317"/>
      <c r="L44" s="2317"/>
      <c r="M44" s="2317"/>
      <c r="N44" s="2317"/>
      <c r="O44" s="2317"/>
      <c r="P44" s="2317"/>
      <c r="Q44" s="2317"/>
      <c r="R44" s="2317"/>
      <c r="S44" s="2318"/>
      <c r="T44" s="2315"/>
      <c r="U44" s="2316"/>
      <c r="V44" s="2316"/>
      <c r="W44" s="2316"/>
      <c r="X44" s="2316"/>
      <c r="Y44" s="2316"/>
      <c r="Z44" s="2317"/>
      <c r="AA44" s="231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477"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478"/>
      <c r="B3" s="1293"/>
      <c r="C3" s="1294"/>
      <c r="D3" s="1295" t="s">
        <v>254</v>
      </c>
      <c r="E3" s="1294"/>
      <c r="F3" s="1295" t="s">
        <v>255</v>
      </c>
    </row>
    <row r="4" spans="1:8" ht="13.7" customHeight="1" x14ac:dyDescent="0.2">
      <c r="A4" s="579" t="s">
        <v>1145</v>
      </c>
      <c r="B4" s="1720">
        <f>'Revenues 9-14'!C5</f>
        <v>0</v>
      </c>
      <c r="C4" s="1721"/>
      <c r="D4" s="1722">
        <f>B4-C4</f>
        <v>0</v>
      </c>
      <c r="E4" s="1721"/>
      <c r="F4" s="1722">
        <f>E4-C4</f>
        <v>0</v>
      </c>
    </row>
    <row r="5" spans="1:8" ht="13.7" customHeight="1" x14ac:dyDescent="0.2">
      <c r="A5" s="579" t="s">
        <v>865</v>
      </c>
      <c r="B5" s="1723">
        <f>'Revenues 9-14'!D5</f>
        <v>0</v>
      </c>
      <c r="C5" s="1663"/>
      <c r="D5" s="1724">
        <f t="shared" ref="D5:D18" si="0">B5-C5</f>
        <v>0</v>
      </c>
      <c r="E5" s="1663"/>
      <c r="F5" s="1724">
        <f>E5-C5</f>
        <v>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0</v>
      </c>
      <c r="C7" s="1663"/>
      <c r="D7" s="1724">
        <f t="shared" si="0"/>
        <v>0</v>
      </c>
      <c r="E7" s="1663"/>
      <c r="F7" s="1724">
        <f t="shared" si="1"/>
        <v>0</v>
      </c>
    </row>
    <row r="8" spans="1:8" ht="13.7" customHeight="1" x14ac:dyDescent="0.2">
      <c r="A8" s="579" t="s">
        <v>1169</v>
      </c>
      <c r="B8" s="1723">
        <f>'Revenues 9-14'!G5</f>
        <v>0</v>
      </c>
      <c r="C8" s="1663"/>
      <c r="D8" s="1724">
        <f t="shared" si="0"/>
        <v>0</v>
      </c>
      <c r="E8" s="1663"/>
      <c r="F8" s="1724">
        <f t="shared" si="1"/>
        <v>0</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0</v>
      </c>
      <c r="C16" s="1663"/>
      <c r="D16" s="1724">
        <f t="shared" si="0"/>
        <v>0</v>
      </c>
      <c r="E16" s="1663"/>
      <c r="F16" s="1724">
        <f t="shared" si="1"/>
        <v>0</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0</v>
      </c>
      <c r="C19" s="1725">
        <f>SUM(C4:C18)</f>
        <v>0</v>
      </c>
      <c r="D19" s="1725">
        <f>SUM(D4:D18)</f>
        <v>0</v>
      </c>
      <c r="E19" s="1725">
        <f>SUM(E4:E18)</f>
        <v>0</v>
      </c>
      <c r="F19" s="1725">
        <f>SUM(F4:F18)</f>
        <v>0</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83" t="s">
        <v>625</v>
      </c>
      <c r="B1" s="2484"/>
      <c r="C1" s="585"/>
    </row>
    <row r="2" spans="1:7" ht="33.75" x14ac:dyDescent="0.2">
      <c r="A2" s="2492" t="s">
        <v>1775</v>
      </c>
      <c r="B2" s="249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496" t="s">
        <v>1104</v>
      </c>
      <c r="B3" s="2497"/>
      <c r="C3" s="2485"/>
      <c r="D3" s="2486"/>
      <c r="E3" s="2486"/>
      <c r="F3" s="2487"/>
    </row>
    <row r="4" spans="1:7" ht="12.75" customHeight="1" thickBot="1" x14ac:dyDescent="0.25">
      <c r="A4" s="2494" t="s">
        <v>626</v>
      </c>
      <c r="B4" s="2495"/>
      <c r="C4" s="1655"/>
      <c r="D4" s="1655"/>
      <c r="E4" s="1655"/>
      <c r="F4" s="1731">
        <f>SUM(C4+D4)-E4</f>
        <v>0</v>
      </c>
    </row>
    <row r="5" spans="1:7" ht="15.75" customHeight="1" thickTop="1" x14ac:dyDescent="0.2">
      <c r="A5" s="2479" t="s">
        <v>1101</v>
      </c>
      <c r="B5" s="2480"/>
      <c r="C5" s="2488"/>
      <c r="D5" s="2489"/>
      <c r="E5" s="2489"/>
      <c r="F5" s="249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481" t="s">
        <v>627</v>
      </c>
      <c r="B15" s="2482"/>
      <c r="C15" s="1731">
        <f>SUM(C6:C14)</f>
        <v>0</v>
      </c>
      <c r="D15" s="1731">
        <f>SUM(D6:D14)</f>
        <v>0</v>
      </c>
      <c r="E15" s="1731">
        <f>SUM(E6:E14)</f>
        <v>0</v>
      </c>
      <c r="F15" s="1731">
        <f>SUM(F6:F14)</f>
        <v>0</v>
      </c>
      <c r="G15" s="473"/>
    </row>
    <row r="16" spans="1:7" s="197" customFormat="1" ht="15.75" customHeight="1" thickTop="1" x14ac:dyDescent="0.2">
      <c r="A16" s="2491" t="s">
        <v>1102</v>
      </c>
      <c r="B16" s="2480"/>
      <c r="C16" s="2488"/>
      <c r="D16" s="2489"/>
      <c r="E16" s="2489"/>
      <c r="F16" s="2490"/>
    </row>
    <row r="17" spans="1:11" ht="12.75" customHeight="1" thickBot="1" x14ac:dyDescent="0.25">
      <c r="A17" s="2504" t="s">
        <v>64</v>
      </c>
      <c r="B17" s="2505"/>
      <c r="C17" s="1732"/>
      <c r="D17" s="1663"/>
      <c r="E17" s="1732"/>
      <c r="F17" s="1731">
        <f>SUM(C17+D17)-E17</f>
        <v>0</v>
      </c>
    </row>
    <row r="18" spans="1:11" ht="12.75" customHeight="1" thickTop="1" thickBot="1" x14ac:dyDescent="0.25">
      <c r="A18" s="2504" t="s">
        <v>6</v>
      </c>
      <c r="B18" s="2505"/>
      <c r="C18" s="1732"/>
      <c r="D18" s="1663"/>
      <c r="E18" s="1732"/>
      <c r="F18" s="1731">
        <f>SUM(C18+D18)-E18</f>
        <v>0</v>
      </c>
    </row>
    <row r="19" spans="1:11" ht="12.75" customHeight="1" thickTop="1" thickBot="1" x14ac:dyDescent="0.25">
      <c r="A19" s="2504" t="s">
        <v>385</v>
      </c>
      <c r="B19" s="2505"/>
      <c r="C19" s="1732"/>
      <c r="D19" s="1663"/>
      <c r="E19" s="1732"/>
      <c r="F19" s="1731">
        <f>SUM(C19+D19)-E19</f>
        <v>0</v>
      </c>
    </row>
    <row r="20" spans="1:11" ht="12.75" customHeight="1" thickTop="1" thickBot="1" x14ac:dyDescent="0.25">
      <c r="A20" s="2504" t="s">
        <v>445</v>
      </c>
      <c r="B20" s="2505"/>
      <c r="C20" s="1732"/>
      <c r="D20" s="1663"/>
      <c r="E20" s="1732"/>
      <c r="F20" s="1731">
        <f>SUM(C20+D20)-E20</f>
        <v>0</v>
      </c>
    </row>
    <row r="21" spans="1:11" ht="14.25" thickTop="1" thickBot="1" x14ac:dyDescent="0.25">
      <c r="A21" s="2481" t="s">
        <v>628</v>
      </c>
      <c r="B21" s="2482"/>
      <c r="C21" s="1731">
        <f>SUM(C17:C20)</f>
        <v>0</v>
      </c>
      <c r="D21" s="1731">
        <f>SUM(D17:D20)</f>
        <v>0</v>
      </c>
      <c r="E21" s="1731">
        <f>SUM(E17:E20)</f>
        <v>0</v>
      </c>
      <c r="F21" s="1731">
        <f>SUM(F17:F20)</f>
        <v>0</v>
      </c>
      <c r="G21" s="473"/>
    </row>
    <row r="22" spans="1:11" ht="15.75" customHeight="1" thickTop="1" x14ac:dyDescent="0.2">
      <c r="A22" s="2506" t="s">
        <v>1103</v>
      </c>
      <c r="B22" s="2480"/>
      <c r="C22" s="2488"/>
      <c r="D22" s="2489"/>
      <c r="E22" s="2489"/>
      <c r="F22" s="2490"/>
    </row>
    <row r="23" spans="1:11" ht="13.5" thickBot="1" x14ac:dyDescent="0.25">
      <c r="A23" s="2494" t="s">
        <v>629</v>
      </c>
      <c r="B23" s="2495"/>
      <c r="C23" s="1655"/>
      <c r="D23" s="1655"/>
      <c r="E23" s="1655"/>
      <c r="F23" s="1731">
        <f>SUM(C23+D23)-E23</f>
        <v>0</v>
      </c>
      <c r="G23" s="473"/>
    </row>
    <row r="24" spans="1:11" ht="15.75" customHeight="1" thickTop="1" x14ac:dyDescent="0.2">
      <c r="A24" s="2506" t="s">
        <v>2002</v>
      </c>
      <c r="B24" s="2480"/>
      <c r="C24" s="2488"/>
      <c r="D24" s="2489"/>
      <c r="E24" s="2489"/>
      <c r="F24" s="2490"/>
    </row>
    <row r="25" spans="1:11" ht="13.5" thickBot="1" x14ac:dyDescent="0.25">
      <c r="A25" s="2494" t="s">
        <v>2003</v>
      </c>
      <c r="B25" s="2495"/>
      <c r="C25" s="1655"/>
      <c r="D25" s="1655"/>
      <c r="E25" s="1655"/>
      <c r="F25" s="1731">
        <f>SUM(C25+D25)-E25</f>
        <v>0</v>
      </c>
      <c r="G25" s="473"/>
    </row>
    <row r="26" spans="1:11" ht="15.75" customHeight="1" thickTop="1" x14ac:dyDescent="0.2">
      <c r="A26" s="2479" t="s">
        <v>652</v>
      </c>
      <c r="B26" s="2480"/>
      <c r="C26" s="589"/>
      <c r="D26" s="589"/>
      <c r="E26" s="589"/>
      <c r="F26" s="590"/>
    </row>
    <row r="27" spans="1:11" ht="13.5" thickBot="1" x14ac:dyDescent="0.25">
      <c r="A27" s="2481" t="s">
        <v>1061</v>
      </c>
      <c r="B27" s="2482"/>
      <c r="C27" s="1663"/>
      <c r="D27" s="1663"/>
      <c r="E27" s="1663"/>
      <c r="F27" s="1731">
        <f>SUM(C27+D27)-E27</f>
        <v>0</v>
      </c>
      <c r="G27" s="473"/>
    </row>
    <row r="28" spans="1:11" ht="7.5" customHeight="1" thickTop="1" x14ac:dyDescent="0.2">
      <c r="A28" s="489"/>
    </row>
    <row r="29" spans="1:11" ht="23.25" customHeight="1" x14ac:dyDescent="0.2">
      <c r="A29" s="2507" t="s">
        <v>578</v>
      </c>
      <c r="B29" s="2484"/>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1873</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498" t="s">
        <v>580</v>
      </c>
      <c r="C52" s="2499"/>
      <c r="D52" s="2499"/>
      <c r="E52" s="603" t="s">
        <v>840</v>
      </c>
      <c r="F52" s="2500"/>
      <c r="G52" s="2501"/>
      <c r="H52" s="596"/>
      <c r="I52" s="596"/>
      <c r="J52" s="600"/>
    </row>
    <row r="53" spans="1:11" ht="11.25" customHeight="1" x14ac:dyDescent="0.2">
      <c r="A53" s="604" t="s">
        <v>907</v>
      </c>
      <c r="B53" s="605" t="s">
        <v>945</v>
      </c>
      <c r="C53" s="600"/>
      <c r="D53" s="597"/>
      <c r="E53" s="603" t="s">
        <v>494</v>
      </c>
      <c r="F53" s="2502"/>
      <c r="G53" s="2503"/>
      <c r="H53" s="596"/>
      <c r="I53" s="596"/>
      <c r="J53" s="600"/>
    </row>
    <row r="54" spans="1:11" ht="11.25" customHeight="1" x14ac:dyDescent="0.2">
      <c r="A54" s="606" t="s">
        <v>908</v>
      </c>
      <c r="B54" s="601" t="s">
        <v>946</v>
      </c>
      <c r="C54" s="600"/>
      <c r="D54" s="597"/>
      <c r="E54" s="603" t="s">
        <v>495</v>
      </c>
      <c r="F54" s="2502"/>
      <c r="G54" s="25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34" t="s">
        <v>851</v>
      </c>
      <c r="B1" s="2535"/>
      <c r="C1" s="2535"/>
      <c r="D1" s="2535"/>
      <c r="E1" s="2535"/>
      <c r="F1" s="2535"/>
      <c r="G1" s="2536"/>
      <c r="H1" s="1297"/>
      <c r="I1" s="614"/>
      <c r="J1" s="400"/>
    </row>
    <row r="2" spans="1:11" ht="26.25" x14ac:dyDescent="0.2">
      <c r="A2" s="2511" t="s">
        <v>1658</v>
      </c>
      <c r="B2" s="2512"/>
      <c r="C2" s="2512"/>
      <c r="D2" s="2512"/>
      <c r="E2" s="2513"/>
      <c r="F2" s="615" t="s">
        <v>898</v>
      </c>
      <c r="G2" s="616" t="s">
        <v>1655</v>
      </c>
      <c r="H2" s="616" t="s">
        <v>407</v>
      </c>
      <c r="I2" s="616" t="s">
        <v>1148</v>
      </c>
      <c r="J2" s="616" t="s">
        <v>1785</v>
      </c>
      <c r="K2" s="616" t="s">
        <v>137</v>
      </c>
    </row>
    <row r="3" spans="1:11" x14ac:dyDescent="0.2">
      <c r="A3" s="2514" t="str">
        <f>"Cash Basis Fund Balance as of July 1, "&amp;'AFR20'!E2-1</f>
        <v>Cash Basis Fund Balance as of July 1, 2019</v>
      </c>
      <c r="B3" s="2515"/>
      <c r="C3" s="2515"/>
      <c r="D3" s="2515"/>
      <c r="E3" s="2516"/>
      <c r="F3" s="617"/>
      <c r="G3" s="1743"/>
      <c r="H3" s="1743"/>
      <c r="I3" s="1743"/>
      <c r="J3" s="1744"/>
      <c r="K3" s="1744"/>
    </row>
    <row r="4" spans="1:11" x14ac:dyDescent="0.2">
      <c r="A4" s="2517" t="s">
        <v>366</v>
      </c>
      <c r="B4" s="2518"/>
      <c r="C4" s="2518"/>
      <c r="D4" s="2518"/>
      <c r="E4" s="2499"/>
      <c r="F4" s="620"/>
      <c r="G4" s="1745"/>
      <c r="H4" s="1746"/>
      <c r="I4" s="1745"/>
      <c r="J4" s="1747"/>
      <c r="K4" s="1747"/>
    </row>
    <row r="5" spans="1:11" x14ac:dyDescent="0.2">
      <c r="A5" s="2537" t="s">
        <v>1060</v>
      </c>
      <c r="B5" s="2508"/>
      <c r="C5" s="2508"/>
      <c r="D5" s="2508"/>
      <c r="E5" s="2538"/>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537" t="s">
        <v>1786</v>
      </c>
      <c r="B10" s="2508"/>
      <c r="C10" s="2508"/>
      <c r="D10" s="2508"/>
      <c r="E10" s="2539"/>
      <c r="F10" s="633" t="s">
        <v>857</v>
      </c>
      <c r="G10" s="1752"/>
      <c r="H10" s="1753"/>
      <c r="I10" s="1743"/>
      <c r="J10" s="1744"/>
      <c r="K10" s="1744"/>
    </row>
    <row r="11" spans="1:11" x14ac:dyDescent="0.2">
      <c r="A11" s="2537" t="s">
        <v>159</v>
      </c>
      <c r="B11" s="2508"/>
      <c r="C11" s="2508"/>
      <c r="D11" s="2508"/>
      <c r="E11" s="2538"/>
      <c r="F11" s="622" t="s">
        <v>847</v>
      </c>
      <c r="G11" s="1748"/>
      <c r="H11" s="1743"/>
      <c r="I11" s="1743"/>
      <c r="J11" s="1744"/>
      <c r="K11" s="1750"/>
    </row>
    <row r="12" spans="1:11" ht="13.5" thickBot="1" x14ac:dyDescent="0.25">
      <c r="A12" s="2525" t="s">
        <v>899</v>
      </c>
      <c r="B12" s="2526"/>
      <c r="C12" s="2526"/>
      <c r="D12" s="2526"/>
      <c r="E12" s="2527"/>
      <c r="F12" s="1432"/>
      <c r="G12" s="1754">
        <f>SUM(G5:G11)</f>
        <v>0</v>
      </c>
      <c r="H12" s="1754">
        <f>SUM(H5:H11)</f>
        <v>0</v>
      </c>
      <c r="I12" s="1754">
        <f>SUM(I5:I11)</f>
        <v>0</v>
      </c>
      <c r="J12" s="1754">
        <f>SUM(J5:J11)</f>
        <v>0</v>
      </c>
      <c r="K12" s="1754">
        <f>SUM(K5:K11)</f>
        <v>0</v>
      </c>
    </row>
    <row r="13" spans="1:11" ht="13.5" thickTop="1" x14ac:dyDescent="0.2">
      <c r="A13" s="2519" t="s">
        <v>367</v>
      </c>
      <c r="B13" s="2520"/>
      <c r="C13" s="2520"/>
      <c r="D13" s="2520"/>
      <c r="E13" s="2521"/>
      <c r="F13" s="634"/>
      <c r="G13" s="1755"/>
      <c r="H13" s="1756"/>
      <c r="I13" s="1757"/>
      <c r="J13" s="1757"/>
      <c r="K13" s="1757"/>
    </row>
    <row r="14" spans="1:11" x14ac:dyDescent="0.2">
      <c r="A14" s="2543" t="s">
        <v>453</v>
      </c>
      <c r="B14" s="2543"/>
      <c r="C14" s="2543"/>
      <c r="D14" s="2543"/>
      <c r="E14" s="2544"/>
      <c r="F14" s="635" t="s">
        <v>849</v>
      </c>
      <c r="G14" s="1752"/>
      <c r="H14" s="1743"/>
      <c r="I14" s="1748"/>
      <c r="J14" s="1750"/>
      <c r="K14" s="1744"/>
    </row>
    <row r="15" spans="1:11" x14ac:dyDescent="0.2">
      <c r="A15" s="2508" t="s">
        <v>4</v>
      </c>
      <c r="B15" s="2508"/>
      <c r="C15" s="2508"/>
      <c r="D15" s="2508"/>
      <c r="E15" s="2538"/>
      <c r="F15" s="635" t="s">
        <v>850</v>
      </c>
      <c r="G15" s="1748"/>
      <c r="H15" s="1743"/>
      <c r="I15" s="1743"/>
      <c r="J15" s="1744"/>
      <c r="K15" s="1744"/>
    </row>
    <row r="16" spans="1:11" x14ac:dyDescent="0.2">
      <c r="A16" s="2508" t="s">
        <v>295</v>
      </c>
      <c r="B16" s="2508"/>
      <c r="C16" s="2508"/>
      <c r="D16" s="2508"/>
      <c r="E16" s="2538"/>
      <c r="F16" s="635" t="s">
        <v>917</v>
      </c>
      <c r="G16" s="1749"/>
      <c r="H16" s="1745"/>
      <c r="I16" s="1745"/>
      <c r="J16" s="1747"/>
      <c r="K16" s="1747"/>
    </row>
    <row r="17" spans="1:15" x14ac:dyDescent="0.2">
      <c r="A17" s="2532" t="s">
        <v>929</v>
      </c>
      <c r="B17" s="2532"/>
      <c r="C17" s="2532"/>
      <c r="D17" s="2532"/>
      <c r="E17" s="2533"/>
      <c r="F17" s="636"/>
      <c r="G17" s="1758"/>
      <c r="H17" s="1759"/>
      <c r="I17" s="1759"/>
      <c r="J17" s="1760"/>
      <c r="K17" s="1761"/>
    </row>
    <row r="18" spans="1:15" x14ac:dyDescent="0.2">
      <c r="A18" s="2522" t="s">
        <v>365</v>
      </c>
      <c r="B18" s="2523"/>
      <c r="C18" s="2523"/>
      <c r="D18" s="2523"/>
      <c r="E18" s="2524"/>
      <c r="F18" s="635" t="s">
        <v>926</v>
      </c>
      <c r="G18" s="1752"/>
      <c r="H18" s="1752"/>
      <c r="I18" s="1752"/>
      <c r="J18" s="1744"/>
      <c r="K18" s="1762"/>
    </row>
    <row r="19" spans="1:15" ht="21.75" customHeight="1" x14ac:dyDescent="0.2">
      <c r="A19" s="2545" t="s">
        <v>1782</v>
      </c>
      <c r="B19" s="2545"/>
      <c r="C19" s="2545"/>
      <c r="D19" s="2545"/>
      <c r="E19" s="2546"/>
      <c r="F19" s="635" t="s">
        <v>927</v>
      </c>
      <c r="G19" s="1752"/>
      <c r="H19" s="1752"/>
      <c r="I19" s="1752"/>
      <c r="J19" s="1744"/>
      <c r="K19" s="1762"/>
    </row>
    <row r="20" spans="1:15" x14ac:dyDescent="0.2">
      <c r="A20" s="2522" t="s">
        <v>1787</v>
      </c>
      <c r="B20" s="2523"/>
      <c r="C20" s="2523"/>
      <c r="D20" s="2523"/>
      <c r="E20" s="2524"/>
      <c r="F20" s="635" t="s">
        <v>928</v>
      </c>
      <c r="G20" s="1752"/>
      <c r="H20" s="1752"/>
      <c r="I20" s="1752"/>
      <c r="J20" s="1744"/>
      <c r="K20" s="1762"/>
    </row>
    <row r="21" spans="1:15" ht="13.5" thickBot="1" x14ac:dyDescent="0.25">
      <c r="A21" s="2528" t="s">
        <v>633</v>
      </c>
      <c r="B21" s="2528"/>
      <c r="C21" s="2528"/>
      <c r="D21" s="2528"/>
      <c r="E21" s="2528"/>
      <c r="F21" s="1433"/>
      <c r="G21" s="1759"/>
      <c r="H21" s="1763"/>
      <c r="I21" s="1763"/>
      <c r="J21" s="1764">
        <f>SUM(J18:J20)</f>
        <v>0</v>
      </c>
      <c r="K21" s="1760"/>
    </row>
    <row r="22" spans="1:15" ht="13.5" thickTop="1" x14ac:dyDescent="0.2">
      <c r="A22" s="2508" t="s">
        <v>1788</v>
      </c>
      <c r="B22" s="2508"/>
      <c r="C22" s="2508"/>
      <c r="D22" s="2508"/>
      <c r="E22" s="2538"/>
      <c r="F22" s="635" t="s">
        <v>857</v>
      </c>
      <c r="G22" s="1752"/>
      <c r="H22" s="1743"/>
      <c r="I22" s="1743"/>
      <c r="J22" s="1765"/>
      <c r="K22" s="1744"/>
    </row>
    <row r="23" spans="1:15" ht="13.5" thickBot="1" x14ac:dyDescent="0.25">
      <c r="A23" s="2529" t="s">
        <v>900</v>
      </c>
      <c r="B23" s="2528"/>
      <c r="C23" s="2528"/>
      <c r="D23" s="2528"/>
      <c r="E23" s="2528"/>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530" t="str">
        <f>"Ending Cash Basis Fund Balance as of June 30, "&amp;'AFR20'!E2</f>
        <v>Ending Cash Basis Fund Balance as of June 30, 2020</v>
      </c>
      <c r="B24" s="2531"/>
      <c r="C24" s="2531"/>
      <c r="D24" s="2531"/>
      <c r="E24" s="253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540"/>
      <c r="I31" s="2541"/>
      <c r="J31" s="2541"/>
      <c r="K31" s="2541"/>
    </row>
    <row r="32" spans="1:15" x14ac:dyDescent="0.2">
      <c r="A32" s="649"/>
      <c r="B32" s="232"/>
      <c r="C32" s="232"/>
      <c r="D32" s="232"/>
      <c r="E32" s="645"/>
      <c r="F32" s="651" t="s">
        <v>537</v>
      </c>
      <c r="G32" s="618"/>
      <c r="H32" s="2542"/>
      <c r="I32" s="2541"/>
      <c r="J32" s="2541"/>
      <c r="K32" s="2541"/>
    </row>
    <row r="33" spans="1:11" ht="1.5" customHeight="1" x14ac:dyDescent="0.2">
      <c r="A33" s="652" t="s">
        <v>1159</v>
      </c>
      <c r="B33" s="341"/>
      <c r="C33" s="341"/>
      <c r="D33" s="341"/>
      <c r="E33" s="341"/>
      <c r="F33" s="341"/>
      <c r="G33" s="653"/>
      <c r="H33" s="2542"/>
      <c r="I33" s="2541"/>
      <c r="J33" s="2541"/>
      <c r="K33" s="2541"/>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508" t="s">
        <v>538</v>
      </c>
      <c r="B41" s="2509"/>
      <c r="C41" s="2509"/>
      <c r="D41" s="2509"/>
      <c r="E41" s="2509"/>
      <c r="F41" s="251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1783</v>
      </c>
      <c r="B46" s="382" t="s">
        <v>1656</v>
      </c>
    </row>
    <row r="47" spans="1:11" s="663" customFormat="1" ht="12.75" customHeight="1" x14ac:dyDescent="0.2">
      <c r="A47" s="661"/>
      <c r="B47" s="662" t="s">
        <v>1657</v>
      </c>
      <c r="E47" s="662"/>
      <c r="K47" s="664"/>
    </row>
    <row r="48" spans="1:11" ht="12.75" customHeight="1" x14ac:dyDescent="0.2">
      <c r="A48" s="1299"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49" t="s">
        <v>1871</v>
      </c>
      <c r="B1" s="2550"/>
      <c r="C1" s="2551"/>
      <c r="D1" s="666"/>
      <c r="E1" s="667"/>
      <c r="F1" s="667"/>
      <c r="G1" s="668"/>
      <c r="H1" s="669"/>
      <c r="I1" s="670"/>
      <c r="J1" s="2547"/>
      <c r="K1" s="2548"/>
      <c r="L1" s="254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c r="D5" s="1769"/>
      <c r="E5" s="1769"/>
      <c r="F5" s="1764">
        <f>(C5+D5)-E5</f>
        <v>0</v>
      </c>
      <c r="G5" s="676"/>
      <c r="H5" s="680"/>
      <c r="I5" s="680"/>
      <c r="J5" s="680"/>
      <c r="K5" s="637"/>
      <c r="L5" s="1441">
        <f>F5-K5</f>
        <v>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c r="D8" s="1770"/>
      <c r="E8" s="1770"/>
      <c r="F8" s="1764">
        <f>(C8+D8)-E8</f>
        <v>0</v>
      </c>
      <c r="G8" s="681">
        <v>50</v>
      </c>
      <c r="H8" s="619"/>
      <c r="I8" s="619"/>
      <c r="J8" s="619"/>
      <c r="K8" s="1441">
        <f>(H8+I8)-J8</f>
        <v>0</v>
      </c>
      <c r="L8" s="1441">
        <f>F8-K8</f>
        <v>0</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c r="D10" s="1771"/>
      <c r="E10" s="1771"/>
      <c r="F10" s="1772">
        <f>(C10+D10)-E10</f>
        <v>0</v>
      </c>
      <c r="G10" s="681">
        <v>20</v>
      </c>
      <c r="H10" s="683"/>
      <c r="I10" s="683"/>
      <c r="J10" s="683"/>
      <c r="K10" s="1441">
        <f>(H10+I10)-J10</f>
        <v>0</v>
      </c>
      <c r="L10" s="1441">
        <f>F10-K10</f>
        <v>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1063774</v>
      </c>
      <c r="D12" s="1770">
        <v>98895</v>
      </c>
      <c r="E12" s="1770"/>
      <c r="F12" s="1764">
        <f>(C12+D12)-E12</f>
        <v>1162669</v>
      </c>
      <c r="G12" s="681">
        <v>10</v>
      </c>
      <c r="H12" s="619">
        <v>870297</v>
      </c>
      <c r="I12" s="619">
        <v>44605</v>
      </c>
      <c r="J12" s="619"/>
      <c r="K12" s="1441">
        <f>(H12+I12)-J12</f>
        <v>914902</v>
      </c>
      <c r="L12" s="1441">
        <f>F12-K12</f>
        <v>247767</v>
      </c>
    </row>
    <row r="13" spans="1:14" ht="14.25" thickTop="1" thickBot="1" x14ac:dyDescent="0.25">
      <c r="A13" s="684" t="s">
        <v>1112</v>
      </c>
      <c r="B13" s="679">
        <v>252</v>
      </c>
      <c r="C13" s="1770"/>
      <c r="D13" s="1770"/>
      <c r="E13" s="1770"/>
      <c r="F13" s="1764">
        <f>(C13+D13)-E13</f>
        <v>0</v>
      </c>
      <c r="G13" s="681">
        <v>5</v>
      </c>
      <c r="H13" s="619"/>
      <c r="I13" s="619"/>
      <c r="J13" s="619"/>
      <c r="K13" s="1441">
        <f>(H13+I13)-J13</f>
        <v>0</v>
      </c>
      <c r="L13" s="1441">
        <f>F13-K13</f>
        <v>0</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1063774</v>
      </c>
      <c r="D16" s="1764">
        <f>SUM(D3,D5:D6,D8:D10,D12:D15)</f>
        <v>98895</v>
      </c>
      <c r="E16" s="1764">
        <f>SUM(E3,E5:E6,E8:E10,E12:E15)</f>
        <v>0</v>
      </c>
      <c r="F16" s="1764">
        <f>SUM(F3,F5:F6,F8:F10,F12:F15)</f>
        <v>1162669</v>
      </c>
      <c r="G16" s="681"/>
      <c r="H16" s="1434">
        <f>SUM(H3,H6,H8:H10,H12:H14,)</f>
        <v>870297</v>
      </c>
      <c r="I16" s="1434">
        <f>SUM(I3,I6,I8:I10,I12:I14,)</f>
        <v>44605</v>
      </c>
      <c r="J16" s="1434">
        <f>SUM(J3,J6,J8:J10,J12:J14,)</f>
        <v>0</v>
      </c>
      <c r="K16" s="1434">
        <f>(H16+I16)-J16</f>
        <v>914902</v>
      </c>
      <c r="L16" s="1434">
        <f>F16-K16</f>
        <v>247767</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44605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55" t="str">
        <f>"ESTIMATED OPERATING EXPENSE PER PUPIL (OEPP)/PER CAPITA TUITION CHARGE (PCTC) COMPUTATIONS ("&amp;'AFR20'!E2-1&amp;" - "&amp;'AFR20'!E2&amp;")"</f>
        <v>ESTIMATED OPERATING EXPENSE PER PUPIL (OEPP)/PER CAPITA TUITION CHARGE (PCTC) COMPUTATIONS (2019 - 2020)</v>
      </c>
      <c r="B1" s="2556"/>
      <c r="C1" s="2556"/>
      <c r="D1" s="2556"/>
      <c r="E1" s="2556"/>
      <c r="F1" s="2557"/>
      <c r="G1" s="691"/>
      <c r="I1" s="701"/>
    </row>
    <row r="2" spans="1:9" ht="15" customHeight="1" thickBot="1" x14ac:dyDescent="0.25">
      <c r="A2" s="2558" t="s">
        <v>474</v>
      </c>
      <c r="B2" s="2559"/>
      <c r="C2" s="2559"/>
      <c r="D2" s="2559"/>
      <c r="E2" s="2559"/>
      <c r="F2" s="256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61"/>
      <c r="B5" s="2562"/>
      <c r="C5" s="2562"/>
      <c r="D5" s="2562"/>
      <c r="E5" s="2562"/>
      <c r="F5" s="2562"/>
    </row>
    <row r="6" spans="1:9" ht="13.5" customHeight="1" thickBot="1" x14ac:dyDescent="0.25">
      <c r="A6" s="2552" t="s">
        <v>1095</v>
      </c>
      <c r="B6" s="2553"/>
      <c r="C6" s="2553"/>
      <c r="D6" s="2553"/>
      <c r="E6" s="2553"/>
      <c r="F6" s="255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6421807</v>
      </c>
      <c r="G8" s="701"/>
    </row>
    <row r="9" spans="1:9" x14ac:dyDescent="0.2">
      <c r="A9" s="705" t="s">
        <v>457</v>
      </c>
      <c r="B9" s="706" t="s">
        <v>1844</v>
      </c>
      <c r="C9" s="707"/>
      <c r="D9" s="705" t="s">
        <v>498</v>
      </c>
      <c r="E9" s="704"/>
      <c r="F9" s="1774">
        <f>'Expenditures 15-22'!K151</f>
        <v>0</v>
      </c>
      <c r="G9" s="708"/>
    </row>
    <row r="10" spans="1:9" x14ac:dyDescent="0.2">
      <c r="A10" s="705" t="s">
        <v>496</v>
      </c>
      <c r="B10" s="706" t="s">
        <v>1845</v>
      </c>
      <c r="C10" s="707"/>
      <c r="D10" s="705" t="s">
        <v>498</v>
      </c>
      <c r="E10" s="704"/>
      <c r="F10" s="1774">
        <f>'Expenditures 15-22'!K174</f>
        <v>0</v>
      </c>
      <c r="G10" s="708"/>
    </row>
    <row r="11" spans="1:9" x14ac:dyDescent="0.2">
      <c r="A11" s="705" t="s">
        <v>458</v>
      </c>
      <c r="B11" s="706" t="s">
        <v>1846</v>
      </c>
      <c r="C11" s="707"/>
      <c r="D11" s="705" t="s">
        <v>498</v>
      </c>
      <c r="E11" s="704"/>
      <c r="F11" s="1774">
        <f>'Expenditures 15-22'!K210</f>
        <v>0</v>
      </c>
      <c r="G11" s="708"/>
    </row>
    <row r="12" spans="1:9" x14ac:dyDescent="0.2">
      <c r="A12" s="705" t="s">
        <v>459</v>
      </c>
      <c r="B12" s="706" t="s">
        <v>1847</v>
      </c>
      <c r="C12" s="707"/>
      <c r="D12" s="705" t="s">
        <v>498</v>
      </c>
      <c r="E12" s="704"/>
      <c r="F12" s="1774">
        <f>'Expenditures 15-22'!K295</f>
        <v>0</v>
      </c>
      <c r="G12" s="708"/>
    </row>
    <row r="13" spans="1:9" x14ac:dyDescent="0.2">
      <c r="A13" s="705" t="s">
        <v>106</v>
      </c>
      <c r="B13" s="706" t="s">
        <v>1848</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6421807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2">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1905</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241325</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453368</v>
      </c>
      <c r="G53" s="701"/>
    </row>
    <row r="54" spans="1:7" x14ac:dyDescent="0.2">
      <c r="A54" s="705" t="s">
        <v>456</v>
      </c>
      <c r="B54" s="705" t="s">
        <v>1459</v>
      </c>
      <c r="C54" s="724" t="s">
        <v>975</v>
      </c>
      <c r="D54" s="720" t="s">
        <v>1086</v>
      </c>
      <c r="E54" s="704"/>
      <c r="F54" s="1781">
        <f>'Expenditures 15-22'!G114</f>
        <v>98895</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1">
        <f>'Expenditures 15-22'!K139</f>
        <v>0</v>
      </c>
      <c r="G57" s="701"/>
    </row>
    <row r="58" spans="1:7" x14ac:dyDescent="0.2">
      <c r="A58" s="705" t="s">
        <v>457</v>
      </c>
      <c r="B58" s="705" t="s">
        <v>1850</v>
      </c>
      <c r="C58" s="721" t="s">
        <v>975</v>
      </c>
      <c r="D58" s="720" t="s">
        <v>1086</v>
      </c>
      <c r="E58" s="704"/>
      <c r="F58" s="1783">
        <f>'Expenditures 15-22'!G151</f>
        <v>0</v>
      </c>
      <c r="G58" s="701"/>
    </row>
    <row r="59" spans="1:7" x14ac:dyDescent="0.2">
      <c r="A59" s="728" t="s">
        <v>457</v>
      </c>
      <c r="B59" s="692" t="s">
        <v>1851</v>
      </c>
      <c r="C59" s="729" t="s">
        <v>975</v>
      </c>
      <c r="D59" s="692" t="s">
        <v>288</v>
      </c>
      <c r="F59" s="1784">
        <f>'Expenditures 15-22'!I151</f>
        <v>0</v>
      </c>
      <c r="G59" s="701"/>
    </row>
    <row r="60" spans="1:7" x14ac:dyDescent="0.2">
      <c r="A60" s="728" t="s">
        <v>496</v>
      </c>
      <c r="B60" s="692" t="s">
        <v>1852</v>
      </c>
      <c r="C60" s="729">
        <v>4000</v>
      </c>
      <c r="D60" s="692" t="s">
        <v>309</v>
      </c>
      <c r="F60" s="1782">
        <f>'Expenditures 15-22'!K160</f>
        <v>0</v>
      </c>
      <c r="G60" s="701"/>
    </row>
    <row r="61" spans="1:7" x14ac:dyDescent="0.2">
      <c r="A61" s="730" t="s">
        <v>496</v>
      </c>
      <c r="B61" s="730" t="s">
        <v>1853</v>
      </c>
      <c r="C61" s="731" t="str">
        <f>'Expenditures 15-22'!B170</f>
        <v>5300</v>
      </c>
      <c r="D61" s="732" t="s">
        <v>308</v>
      </c>
      <c r="E61" s="715"/>
      <c r="F61" s="1781">
        <f>'Expenditures 15-22'!K170</f>
        <v>0</v>
      </c>
      <c r="G61" s="701"/>
    </row>
    <row r="62" spans="1:7" x14ac:dyDescent="0.2">
      <c r="A62" s="705" t="s">
        <v>458</v>
      </c>
      <c r="B62" s="705" t="s">
        <v>1854</v>
      </c>
      <c r="C62" s="721">
        <f>'Expenditures 15-22'!B185</f>
        <v>3000</v>
      </c>
      <c r="D62" s="712" t="s">
        <v>446</v>
      </c>
      <c r="E62" s="704"/>
      <c r="F62" s="1781">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1856</v>
      </c>
      <c r="C64" s="731" t="str">
        <f>'Expenditures 15-22'!B206</f>
        <v>5300</v>
      </c>
      <c r="D64" s="727" t="s">
        <v>308</v>
      </c>
      <c r="E64" s="704"/>
      <c r="F64" s="1781">
        <f>'Expenditures 15-22'!K206</f>
        <v>0</v>
      </c>
      <c r="G64" s="701"/>
    </row>
    <row r="65" spans="1:9" x14ac:dyDescent="0.2">
      <c r="A65" s="705" t="s">
        <v>458</v>
      </c>
      <c r="B65" s="705" t="s">
        <v>1857</v>
      </c>
      <c r="C65" s="721" t="s">
        <v>975</v>
      </c>
      <c r="D65" s="720" t="s">
        <v>1086</v>
      </c>
      <c r="E65" s="704"/>
      <c r="F65" s="1781">
        <f>'Expenditures 15-22'!G210</f>
        <v>0</v>
      </c>
      <c r="G65" s="701"/>
    </row>
    <row r="66" spans="1:9" x14ac:dyDescent="0.2">
      <c r="A66" s="705" t="s">
        <v>458</v>
      </c>
      <c r="B66" s="705" t="s">
        <v>1858</v>
      </c>
      <c r="C66" s="721" t="s">
        <v>975</v>
      </c>
      <c r="D66" s="720" t="s">
        <v>288</v>
      </c>
      <c r="E66" s="704"/>
      <c r="F66" s="1781">
        <f>'Expenditures 15-22'!I210</f>
        <v>0</v>
      </c>
      <c r="G66" s="701"/>
    </row>
    <row r="67" spans="1:9" x14ac:dyDescent="0.2">
      <c r="A67" s="705" t="s">
        <v>459</v>
      </c>
      <c r="B67" s="705" t="s">
        <v>1859</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1861</v>
      </c>
      <c r="C70" s="721">
        <f>'Expenditures 15-22'!B221</f>
        <v>1300</v>
      </c>
      <c r="D70" s="722" t="str">
        <f>'Expenditures 15-22'!A221</f>
        <v>Adult/Continuing Education Programs</v>
      </c>
      <c r="E70" s="704"/>
      <c r="F70" s="1781">
        <f>'Expenditures 15-22'!K221</f>
        <v>0</v>
      </c>
      <c r="G70" s="701"/>
    </row>
    <row r="71" spans="1:9" x14ac:dyDescent="0.2">
      <c r="A71" s="705" t="s">
        <v>459</v>
      </c>
      <c r="B71" s="705" t="s">
        <v>1862</v>
      </c>
      <c r="C71" s="721">
        <f>'Expenditures 15-22'!B224</f>
        <v>1600</v>
      </c>
      <c r="D71" s="722" t="str">
        <f>'Expenditures 15-22'!A224</f>
        <v>Summer School Programs</v>
      </c>
      <c r="E71" s="704"/>
      <c r="F71" s="1781">
        <f>'Expenditures 15-22'!K224</f>
        <v>0</v>
      </c>
      <c r="G71" s="701"/>
    </row>
    <row r="72" spans="1:9" x14ac:dyDescent="0.2">
      <c r="A72" s="705" t="s">
        <v>459</v>
      </c>
      <c r="B72" s="705" t="s">
        <v>1863</v>
      </c>
      <c r="C72" s="721">
        <f>'Expenditures 15-22'!B280</f>
        <v>3000</v>
      </c>
      <c r="D72" s="712" t="s">
        <v>446</v>
      </c>
      <c r="E72" s="704"/>
      <c r="F72" s="1781">
        <f>'Expenditures 15-22'!K280</f>
        <v>0</v>
      </c>
      <c r="G72" s="701"/>
    </row>
    <row r="73" spans="1:9" x14ac:dyDescent="0.2">
      <c r="A73" s="705" t="s">
        <v>459</v>
      </c>
      <c r="B73" s="705" t="s">
        <v>1864</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1865</v>
      </c>
      <c r="C74" s="721" t="s">
        <v>855</v>
      </c>
      <c r="D74" s="722" t="s">
        <v>1470</v>
      </c>
      <c r="E74" s="704"/>
      <c r="F74" s="1785">
        <f>'Expenditures 15-22'!K334</f>
        <v>0</v>
      </c>
      <c r="G74" s="701"/>
    </row>
    <row r="75" spans="1:9" x14ac:dyDescent="0.2">
      <c r="A75" s="705" t="s">
        <v>2004</v>
      </c>
      <c r="B75" s="705" t="s">
        <v>2005</v>
      </c>
      <c r="C75" s="721" t="s">
        <v>975</v>
      </c>
      <c r="D75" s="722" t="s">
        <v>1086</v>
      </c>
      <c r="E75" s="704"/>
      <c r="F75" s="1785">
        <f>'Expenditures 15-22'!G342</f>
        <v>0</v>
      </c>
      <c r="G75" s="701"/>
    </row>
    <row r="76" spans="1:9" ht="10.5" customHeight="1" x14ac:dyDescent="0.2">
      <c r="A76" s="701" t="s">
        <v>433</v>
      </c>
      <c r="B76" s="705" t="s">
        <v>2006</v>
      </c>
      <c r="C76" s="711" t="s">
        <v>975</v>
      </c>
      <c r="D76" s="701" t="s">
        <v>288</v>
      </c>
      <c r="E76" s="704"/>
      <c r="F76" s="1785">
        <f>'Expenditures 15-22'!I342</f>
        <v>0</v>
      </c>
      <c r="G76" s="703"/>
    </row>
    <row r="77" spans="1:9" ht="12" thickBot="1" x14ac:dyDescent="0.25">
      <c r="A77" s="1442"/>
      <c r="B77" s="1447"/>
      <c r="C77" s="1444"/>
      <c r="D77" s="1448" t="s">
        <v>2007</v>
      </c>
      <c r="E77" s="1446" t="s">
        <v>952</v>
      </c>
      <c r="F77" s="1786">
        <f>SUM(F18:F76)</f>
        <v>793588</v>
      </c>
      <c r="G77" s="701"/>
    </row>
    <row r="78" spans="1:9" s="728" customFormat="1" ht="12" customHeight="1" thickTop="1" thickBot="1" x14ac:dyDescent="0.25">
      <c r="A78" s="1449"/>
      <c r="B78" s="1447"/>
      <c r="C78" s="1444"/>
      <c r="D78" s="1448" t="s">
        <v>2008</v>
      </c>
      <c r="E78" s="1446"/>
      <c r="F78" s="1787">
        <f>(F14-F77)</f>
        <v>5628219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0</v>
      </c>
      <c r="G79" s="733"/>
      <c r="H79" s="705"/>
      <c r="I79" s="705"/>
    </row>
    <row r="80" spans="1:9" s="728" customFormat="1" ht="12" customHeight="1" thickBot="1" x14ac:dyDescent="0.25">
      <c r="A80" s="1451"/>
      <c r="B80" s="1447"/>
      <c r="C80" s="1444"/>
      <c r="D80" s="1448" t="s">
        <v>2009</v>
      </c>
      <c r="E80" s="1446" t="s">
        <v>952</v>
      </c>
      <c r="F80" s="1789" t="str">
        <f>IF(F79&gt;0,F78/F79," Complete Line 79")</f>
        <v xml:space="preserve"> Complete Line 79</v>
      </c>
      <c r="G80" s="705"/>
    </row>
    <row r="81" spans="1:7" s="728" customFormat="1" ht="8.25" customHeight="1" thickTop="1" x14ac:dyDescent="0.2">
      <c r="A81" s="734"/>
      <c r="B81" s="705"/>
      <c r="C81" s="707"/>
      <c r="D81" s="735"/>
      <c r="E81" s="704"/>
      <c r="F81" s="1790"/>
      <c r="G81" s="705"/>
    </row>
    <row r="82" spans="1:7" s="728" customFormat="1" ht="12" thickBot="1" x14ac:dyDescent="0.25">
      <c r="A82" s="2552" t="s">
        <v>1096</v>
      </c>
      <c r="B82" s="2553"/>
      <c r="C82" s="2553"/>
      <c r="D82" s="2553"/>
      <c r="E82" s="2553"/>
      <c r="F82" s="255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0</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1906</v>
      </c>
      <c r="C106" s="746">
        <v>3100</v>
      </c>
      <c r="D106" s="752" t="str">
        <f>'Revenues 9-14'!A132</f>
        <v>Total Special Education</v>
      </c>
      <c r="E106" s="739"/>
      <c r="F106" s="1792">
        <f>SUM('Revenues 9-14'!C132:D132,'Revenues 9-14'!F132)</f>
        <v>0</v>
      </c>
      <c r="G106" s="745"/>
    </row>
    <row r="107" spans="1:7" x14ac:dyDescent="0.2">
      <c r="A107" s="741" t="s">
        <v>668</v>
      </c>
      <c r="B107" s="741" t="s">
        <v>1907</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1908</v>
      </c>
      <c r="C108" s="753">
        <v>3300</v>
      </c>
      <c r="D108" s="744" t="str">
        <f>'Revenues 9-14'!A145</f>
        <v>Total Bilingual Ed</v>
      </c>
      <c r="E108" s="739"/>
      <c r="F108" s="1792">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2">
        <f>'Revenues 9-14'!C146</f>
        <v>0</v>
      </c>
      <c r="G109" s="745"/>
    </row>
    <row r="110" spans="1:7" x14ac:dyDescent="0.2">
      <c r="A110" s="741" t="s">
        <v>668</v>
      </c>
      <c r="B110" s="741" t="s">
        <v>1910</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2">
        <f>SUM('Revenues 9-14'!C148,'Revenues 9-14'!D148)</f>
        <v>0</v>
      </c>
      <c r="G111" s="745"/>
    </row>
    <row r="112" spans="1:7" x14ac:dyDescent="0.2">
      <c r="A112" s="741" t="s">
        <v>663</v>
      </c>
      <c r="B112" s="741" t="s">
        <v>1912</v>
      </c>
      <c r="C112" s="755">
        <v>3500</v>
      </c>
      <c r="D112" s="744" t="str">
        <f>'Revenues 9-14'!A155</f>
        <v>Total Transportation</v>
      </c>
      <c r="E112" s="739"/>
      <c r="F112" s="1792">
        <f>SUM('Revenues 9-14'!C155,'Revenues 9-14'!D155,'Revenues 9-14'!F155,'Revenues 9-14'!G155)</f>
        <v>0</v>
      </c>
      <c r="G112" s="745"/>
    </row>
    <row r="113" spans="1:7" x14ac:dyDescent="0.2">
      <c r="A113" s="741" t="s">
        <v>456</v>
      </c>
      <c r="B113" s="741" t="s">
        <v>1913</v>
      </c>
      <c r="C113" s="753">
        <f>'Revenues 9-14'!B156</f>
        <v>3610</v>
      </c>
      <c r="D113" s="744" t="str">
        <f>'Revenues 9-14'!A156</f>
        <v>Learning Improvement - Change Grants</v>
      </c>
      <c r="E113" s="739"/>
      <c r="F113" s="1792">
        <f>'Revenues 9-14'!C156</f>
        <v>0</v>
      </c>
      <c r="G113" s="745"/>
    </row>
    <row r="114" spans="1:7" x14ac:dyDescent="0.2">
      <c r="A114" s="741" t="s">
        <v>663</v>
      </c>
      <c r="B114" s="741" t="s">
        <v>1914</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1">
        <f>SUM('Revenues 9-14'!C163:G163)</f>
        <v>0</v>
      </c>
      <c r="G119" s="745"/>
    </row>
    <row r="120" spans="1:7" x14ac:dyDescent="0.2">
      <c r="A120" s="756" t="s">
        <v>501</v>
      </c>
      <c r="B120" s="756" t="s">
        <v>1920</v>
      </c>
      <c r="C120" s="757">
        <f>'Revenues 9-14'!B164</f>
        <v>3815</v>
      </c>
      <c r="D120" s="758" t="str">
        <f>'Revenues 9-14'!A164</f>
        <v>State Charter Schools</v>
      </c>
      <c r="E120" s="739"/>
      <c r="F120" s="1791">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2">
        <f>'Revenues 9-14'!D167</f>
        <v>0</v>
      </c>
      <c r="G121" s="763"/>
    </row>
    <row r="122" spans="1:7" x14ac:dyDescent="0.2">
      <c r="A122" s="760" t="s">
        <v>497</v>
      </c>
      <c r="B122" s="760" t="s">
        <v>1922</v>
      </c>
      <c r="C122" s="761">
        <f>'Revenues 9-14'!B168</f>
        <v>3999</v>
      </c>
      <c r="D122" s="762" t="s">
        <v>540</v>
      </c>
      <c r="E122" s="764"/>
      <c r="F122" s="1792">
        <f>SUM('Revenues 9-14'!C168:G168,'Revenues 9-14'!J168)</f>
        <v>0</v>
      </c>
      <c r="G122" s="763"/>
    </row>
    <row r="123" spans="1:7" x14ac:dyDescent="0.2">
      <c r="A123" s="760" t="s">
        <v>456</v>
      </c>
      <c r="B123" s="760" t="s">
        <v>1923</v>
      </c>
      <c r="C123" s="765">
        <f>'Revenues 9-14'!B177</f>
        <v>4045</v>
      </c>
      <c r="D123" s="762" t="str">
        <f>'Revenues 9-14'!A177 &amp; " (Subtract)"</f>
        <v>Head Start (Subtract)</v>
      </c>
      <c r="E123" s="739"/>
      <c r="F123" s="1792">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1925</v>
      </c>
      <c r="C125" s="765">
        <v>4100</v>
      </c>
      <c r="D125" s="766" t="str">
        <f>'Revenues 9-14'!A188</f>
        <v>Total Title V</v>
      </c>
      <c r="E125" s="739"/>
      <c r="F125" s="1792">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2">
        <f>SUM('Revenues 9-14'!C198,'Revenues 9-14'!G198)</f>
        <v>0</v>
      </c>
      <c r="G126" s="763"/>
    </row>
    <row r="127" spans="1:7" x14ac:dyDescent="0.2">
      <c r="A127" s="760" t="s">
        <v>663</v>
      </c>
      <c r="B127" s="760" t="s">
        <v>1927</v>
      </c>
      <c r="C127" s="765">
        <v>4300</v>
      </c>
      <c r="D127" s="766" t="str">
        <f>'Revenues 9-14'!A204</f>
        <v>Total Title I</v>
      </c>
      <c r="E127" s="739"/>
      <c r="F127" s="1792">
        <f>SUM('Revenues 9-14'!C204,'Revenues 9-14'!D204,'Revenues 9-14'!F204,'Revenues 9-14'!G204)</f>
        <v>0</v>
      </c>
      <c r="G127" s="763"/>
    </row>
    <row r="128" spans="1:7" x14ac:dyDescent="0.2">
      <c r="A128" s="760" t="s">
        <v>663</v>
      </c>
      <c r="B128" s="760" t="s">
        <v>1928</v>
      </c>
      <c r="C128" s="765">
        <v>4400</v>
      </c>
      <c r="D128" s="766" t="str">
        <f>'Revenues 9-14'!A209</f>
        <v>Total Title IV</v>
      </c>
      <c r="E128" s="739"/>
      <c r="F128" s="1792">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92">
        <f>SUM('Revenues 9-14'!C213:D213,'Revenues 9-14'!F213:G213)</f>
        <v>2564421</v>
      </c>
      <c r="G129" s="763"/>
    </row>
    <row r="130" spans="1:7" x14ac:dyDescent="0.2">
      <c r="A130" s="760" t="s">
        <v>663</v>
      </c>
      <c r="B130" s="760" t="s">
        <v>1930</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1932</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2">
        <v>0</v>
      </c>
      <c r="G139" s="738"/>
    </row>
    <row r="140" spans="1:7" s="703" customFormat="1" hidden="1" x14ac:dyDescent="0.2">
      <c r="A140" s="767" t="s">
        <v>204</v>
      </c>
      <c r="B140" s="767" t="s">
        <v>1939</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1947</v>
      </c>
      <c r="C158" s="773" t="s">
        <v>836</v>
      </c>
      <c r="D158" s="774" t="s">
        <v>772</v>
      </c>
      <c r="E158" s="775"/>
      <c r="F158" s="1792">
        <f>SUM(F134:F157)</f>
        <v>0</v>
      </c>
      <c r="G158" s="738"/>
    </row>
    <row r="159" spans="1:7" s="703" customFormat="1" x14ac:dyDescent="0.2">
      <c r="A159" s="771" t="s">
        <v>456</v>
      </c>
      <c r="B159" s="772" t="s">
        <v>1948</v>
      </c>
      <c r="C159" s="773" t="s">
        <v>1410</v>
      </c>
      <c r="D159" s="774" t="s">
        <v>1411</v>
      </c>
      <c r="E159" s="775"/>
      <c r="F159" s="1792">
        <f>SUM('Revenues 9-14'!C253)</f>
        <v>0</v>
      </c>
      <c r="G159" s="738"/>
    </row>
    <row r="160" spans="1:7" s="703" customFormat="1" x14ac:dyDescent="0.2">
      <c r="A160" s="771" t="s">
        <v>497</v>
      </c>
      <c r="B160" s="772" t="s">
        <v>1949</v>
      </c>
      <c r="C160" s="773" t="s">
        <v>1449</v>
      </c>
      <c r="D160" s="774" t="s">
        <v>1450</v>
      </c>
      <c r="E160" s="775"/>
      <c r="F160" s="1792">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1955</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2">
        <f>SUM('Revenues 9-14'!C263:D263,'Revenues 9-14'!F263:G263)</f>
        <v>59117</v>
      </c>
      <c r="G169" s="780">
        <v>6320</v>
      </c>
    </row>
    <row r="170" spans="1:7" x14ac:dyDescent="0.2">
      <c r="A170" s="760" t="s">
        <v>663</v>
      </c>
      <c r="B170" s="760" t="s">
        <v>1957</v>
      </c>
      <c r="C170" s="765">
        <f>'Revenues 9-14'!B264</f>
        <v>4992</v>
      </c>
      <c r="D170" s="766" t="str">
        <f>'Revenues 9-14'!A264</f>
        <v>Medicaid Matching Funds - Fee-for-Service Program</v>
      </c>
      <c r="E170" s="739"/>
      <c r="F170" s="1792">
        <f>SUM('Revenues 9-14'!C264:D264,'Revenues 9-14'!F264:G264)</f>
        <v>107773</v>
      </c>
      <c r="G170" s="780"/>
    </row>
    <row r="171" spans="1:7" x14ac:dyDescent="0.2">
      <c r="A171" s="781" t="s">
        <v>663</v>
      </c>
      <c r="B171" s="777" t="s">
        <v>1958</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1881</v>
      </c>
      <c r="C172" s="1530">
        <v>3100</v>
      </c>
      <c r="D172" s="1531" t="s">
        <v>1883</v>
      </c>
      <c r="E172" s="739"/>
      <c r="F172" s="1793"/>
      <c r="G172" s="760"/>
    </row>
    <row r="173" spans="1:7" x14ac:dyDescent="0.2">
      <c r="A173" s="1528" t="s">
        <v>659</v>
      </c>
      <c r="B173" s="1529" t="s">
        <v>1881</v>
      </c>
      <c r="C173" s="1530">
        <v>3300</v>
      </c>
      <c r="D173" s="1531" t="s">
        <v>1884</v>
      </c>
      <c r="E173" s="739"/>
      <c r="F173" s="1793"/>
      <c r="G173" s="760"/>
    </row>
    <row r="174" spans="1:7" ht="6" customHeight="1" x14ac:dyDescent="0.2">
      <c r="A174" s="760"/>
      <c r="B174" s="760"/>
      <c r="C174" s="782"/>
      <c r="D174" s="760"/>
      <c r="E174" s="739"/>
      <c r="F174" s="1794"/>
      <c r="G174" s="780"/>
    </row>
    <row r="175" spans="1:7" x14ac:dyDescent="0.2">
      <c r="A175" s="1442"/>
      <c r="B175" s="1452"/>
      <c r="C175" s="1453"/>
      <c r="D175" s="1454" t="s">
        <v>2012</v>
      </c>
      <c r="E175" s="1455" t="s">
        <v>952</v>
      </c>
      <c r="F175" s="1795">
        <f>SUM(F85:F133,F158:F173)</f>
        <v>2731311</v>
      </c>
    </row>
    <row r="176" spans="1:7" ht="12" customHeight="1" x14ac:dyDescent="0.2">
      <c r="A176" s="1442"/>
      <c r="B176" s="1452"/>
      <c r="C176" s="1453"/>
      <c r="D176" s="1454" t="s">
        <v>2010</v>
      </c>
      <c r="E176" s="1455"/>
      <c r="F176" s="1792">
        <f>'PCTC-OEPP 27-28'!F78-F175</f>
        <v>2896908</v>
      </c>
    </row>
    <row r="177" spans="1:9" ht="12" customHeight="1" x14ac:dyDescent="0.2">
      <c r="A177" s="1442"/>
      <c r="B177" s="1452"/>
      <c r="C177" s="1453"/>
      <c r="D177" s="1454" t="s">
        <v>1790</v>
      </c>
      <c r="E177" s="1455"/>
      <c r="F177" s="1792">
        <f>'Cap Outlay Deprec 26'!I18</f>
        <v>44605</v>
      </c>
    </row>
    <row r="178" spans="1:9" ht="12" customHeight="1" x14ac:dyDescent="0.2">
      <c r="A178" s="1442"/>
      <c r="B178" s="1452"/>
      <c r="C178" s="1453"/>
      <c r="D178" s="1454" t="s">
        <v>2011</v>
      </c>
      <c r="E178" s="1455"/>
      <c r="F178" s="1792">
        <f>F176+F177</f>
        <v>2941513</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0</v>
      </c>
      <c r="G179" s="763"/>
      <c r="I179" s="701"/>
    </row>
    <row r="180" spans="1:9" ht="12" customHeight="1" thickBot="1" x14ac:dyDescent="0.25">
      <c r="A180" s="1442"/>
      <c r="B180" s="1456"/>
      <c r="C180" s="1453"/>
      <c r="D180" s="1454" t="s">
        <v>2013</v>
      </c>
      <c r="E180" s="1455" t="s">
        <v>1528</v>
      </c>
      <c r="F180" s="1797" t="e">
        <f>F178/F179</f>
        <v>#DIV/0!</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1803</v>
      </c>
      <c r="B1" s="1859"/>
      <c r="C1" s="1860"/>
      <c r="D1" s="1860"/>
      <c r="E1" s="1860"/>
      <c r="F1" s="1860"/>
    </row>
    <row r="2" spans="1:6" x14ac:dyDescent="0.25">
      <c r="A2" s="1862"/>
      <c r="B2" s="1863"/>
      <c r="C2" s="1912" t="s">
        <v>1999</v>
      </c>
      <c r="D2" s="1862"/>
      <c r="E2" s="1862"/>
      <c r="F2" s="1862"/>
    </row>
    <row r="3" spans="1:6" ht="5.25" customHeight="1" x14ac:dyDescent="0.25">
      <c r="A3" s="1864"/>
      <c r="B3" s="1865"/>
      <c r="C3" s="1864"/>
      <c r="D3" s="1864"/>
      <c r="E3" s="1864"/>
      <c r="F3" s="1864"/>
    </row>
    <row r="4" spans="1:6" ht="18.75" customHeight="1" x14ac:dyDescent="0.25">
      <c r="A4" s="2566" t="s">
        <v>1791</v>
      </c>
      <c r="B4" s="2567"/>
      <c r="C4" s="2567"/>
      <c r="D4" s="2567"/>
      <c r="E4" s="2567"/>
      <c r="F4" s="2568"/>
    </row>
    <row r="5" spans="1:6" x14ac:dyDescent="0.25">
      <c r="A5" s="2569"/>
      <c r="B5" s="2570"/>
      <c r="C5" s="2570"/>
      <c r="D5" s="2570"/>
      <c r="E5" s="2570"/>
      <c r="F5" s="2571"/>
    </row>
    <row r="6" spans="1:6" ht="18.75" x14ac:dyDescent="0.25">
      <c r="A6" s="1866" t="s">
        <v>1792</v>
      </c>
      <c r="B6" s="1867"/>
      <c r="C6" s="1868"/>
      <c r="D6" s="1868"/>
      <c r="E6" s="1868"/>
      <c r="F6" s="1869"/>
    </row>
    <row r="7" spans="1:6" ht="47.25" customHeight="1" x14ac:dyDescent="0.25">
      <c r="A7" s="2572" t="s">
        <v>1981</v>
      </c>
      <c r="B7" s="2573"/>
      <c r="C7" s="2573"/>
      <c r="D7" s="2573"/>
      <c r="E7" s="2573"/>
      <c r="F7" s="2574"/>
    </row>
    <row r="8" spans="1:6" ht="20.25" customHeight="1" x14ac:dyDescent="0.25">
      <c r="A8" s="1901" t="s">
        <v>1983</v>
      </c>
      <c r="B8" s="1902"/>
      <c r="C8" s="1902"/>
      <c r="D8" s="1902"/>
      <c r="E8" s="1870"/>
      <c r="F8" s="1871"/>
    </row>
    <row r="9" spans="1:6" ht="18" customHeight="1" x14ac:dyDescent="0.25">
      <c r="A9" s="1872" t="s">
        <v>1980</v>
      </c>
      <c r="B9" s="1874"/>
      <c r="C9" s="1874"/>
      <c r="D9" s="1874"/>
      <c r="E9" s="1870"/>
      <c r="F9" s="1871"/>
    </row>
    <row r="10" spans="1:6" ht="15.75" customHeight="1" x14ac:dyDescent="0.25">
      <c r="A10" s="2575" t="s">
        <v>1977</v>
      </c>
      <c r="B10" s="2576"/>
      <c r="C10" s="2576"/>
      <c r="D10" s="2576"/>
      <c r="E10" s="2576"/>
      <c r="F10" s="2577"/>
    </row>
    <row r="11" spans="1:6" ht="33" customHeight="1" x14ac:dyDescent="0.25">
      <c r="A11" s="2572" t="s">
        <v>1982</v>
      </c>
      <c r="B11" s="2573"/>
      <c r="C11" s="2573"/>
      <c r="D11" s="2573"/>
      <c r="E11" s="2573"/>
      <c r="F11" s="2574"/>
    </row>
    <row r="12" spans="1:6" ht="15" customHeight="1" x14ac:dyDescent="0.25">
      <c r="A12" s="1872" t="s">
        <v>1978</v>
      </c>
      <c r="B12" s="1873"/>
      <c r="C12" s="1874"/>
      <c r="D12" s="1874"/>
      <c r="E12" s="1874"/>
      <c r="F12" s="1875"/>
    </row>
    <row r="13" spans="1:6" ht="17.25" customHeight="1" x14ac:dyDescent="0.25">
      <c r="A13" s="2572" t="s">
        <v>1979</v>
      </c>
      <c r="B13" s="2573"/>
      <c r="C13" s="2573"/>
      <c r="D13" s="2573"/>
      <c r="E13" s="2573"/>
      <c r="F13" s="2574"/>
    </row>
    <row r="14" spans="1:6" ht="15" customHeight="1" x14ac:dyDescent="0.25">
      <c r="A14" s="1872" t="s">
        <v>1796</v>
      </c>
      <c r="B14" s="1873"/>
      <c r="C14" s="1874"/>
      <c r="D14" s="1874"/>
      <c r="E14" s="1874"/>
      <c r="F14" s="1875"/>
    </row>
    <row r="15" spans="1:6" ht="32.25" customHeight="1" x14ac:dyDescent="0.25">
      <c r="A15" s="256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64"/>
      <c r="C15" s="2564"/>
      <c r="D15" s="2564"/>
      <c r="E15" s="2564"/>
      <c r="F15" s="2565"/>
    </row>
    <row r="16" spans="1:6" ht="61.5" customHeight="1" x14ac:dyDescent="0.25">
      <c r="A16" s="1876" t="s">
        <v>1797</v>
      </c>
      <c r="B16" s="1877" t="s">
        <v>1798</v>
      </c>
      <c r="C16" s="1876" t="s">
        <v>1799</v>
      </c>
      <c r="D16" s="1878" t="s">
        <v>1800</v>
      </c>
      <c r="E16" s="1878" t="s">
        <v>1801</v>
      </c>
      <c r="F16" s="1878" t="s">
        <v>1802</v>
      </c>
    </row>
    <row r="17" spans="1:7" x14ac:dyDescent="0.25">
      <c r="A17" s="1879" t="s">
        <v>1804</v>
      </c>
      <c r="B17" s="1906" t="s">
        <v>1795</v>
      </c>
      <c r="C17" s="1880" t="s">
        <v>1793</v>
      </c>
      <c r="D17" s="1881">
        <v>500000</v>
      </c>
      <c r="E17" s="1881" t="str">
        <f>IF(D17&lt;25000,D17,"25,000")</f>
        <v>25,000</v>
      </c>
      <c r="F17" s="1882">
        <f>IF(D17&gt;=25000,(D17-E17),"0")</f>
        <v>475000</v>
      </c>
    </row>
    <row r="18" spans="1:7" x14ac:dyDescent="0.25">
      <c r="A18" s="2224" t="s">
        <v>2206</v>
      </c>
      <c r="B18" s="1907"/>
      <c r="C18" s="1913"/>
      <c r="D18" s="1885"/>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hidden="1" x14ac:dyDescent="0.25">
      <c r="A20" s="1887"/>
      <c r="B20" s="1907"/>
      <c r="C20" s="1884"/>
      <c r="D20" s="1885"/>
      <c r="E20" s="1905">
        <f t="shared" si="0"/>
        <v>0</v>
      </c>
      <c r="F20" s="1905" t="str">
        <f t="shared" si="1"/>
        <v>0</v>
      </c>
    </row>
    <row r="21" spans="1:7" hidden="1" x14ac:dyDescent="0.25">
      <c r="A21" s="1887"/>
      <c r="B21" s="1907"/>
      <c r="C21" s="1884"/>
      <c r="D21" s="1885"/>
      <c r="E21" s="1905">
        <f t="shared" si="0"/>
        <v>0</v>
      </c>
      <c r="F21" s="1905" t="str">
        <f t="shared" si="1"/>
        <v>0</v>
      </c>
    </row>
    <row r="22" spans="1:7" hidden="1" x14ac:dyDescent="0.25">
      <c r="A22" s="1887"/>
      <c r="B22" s="1907"/>
      <c r="C22" s="1884"/>
      <c r="D22" s="1885"/>
      <c r="E22" s="1905">
        <f t="shared" si="0"/>
        <v>0</v>
      </c>
      <c r="F22" s="1905" t="str">
        <f t="shared" si="1"/>
        <v>0</v>
      </c>
    </row>
    <row r="23" spans="1:7" hidden="1" x14ac:dyDescent="0.25">
      <c r="A23" s="1887"/>
      <c r="B23" s="1907"/>
      <c r="C23" s="1884"/>
      <c r="D23" s="1885"/>
      <c r="E23" s="1905">
        <f t="shared" si="0"/>
        <v>0</v>
      </c>
      <c r="F23" s="1905" t="str">
        <f t="shared" si="1"/>
        <v>0</v>
      </c>
    </row>
    <row r="24" spans="1:7" hidden="1" x14ac:dyDescent="0.25">
      <c r="A24" s="1887"/>
      <c r="B24" s="1907"/>
      <c r="C24" s="1884"/>
      <c r="D24" s="1885"/>
      <c r="E24" s="1905">
        <f t="shared" si="0"/>
        <v>0</v>
      </c>
      <c r="F24" s="1905" t="str">
        <f t="shared" si="1"/>
        <v>0</v>
      </c>
    </row>
    <row r="25" spans="1:7" hidden="1" x14ac:dyDescent="0.25">
      <c r="A25" s="1887"/>
      <c r="B25" s="1907"/>
      <c r="C25" s="1884"/>
      <c r="D25" s="1885"/>
      <c r="E25" s="1905">
        <f t="shared" si="0"/>
        <v>0</v>
      </c>
      <c r="F25" s="1905" t="str">
        <f t="shared" si="1"/>
        <v>0</v>
      </c>
    </row>
    <row r="26" spans="1:7" ht="16.5" hidden="1" customHeight="1" x14ac:dyDescent="0.25">
      <c r="A26" s="1887"/>
      <c r="B26" s="1907"/>
      <c r="C26" s="1884"/>
      <c r="D26" s="1885"/>
      <c r="E26" s="1905">
        <f t="shared" si="0"/>
        <v>0</v>
      </c>
      <c r="F26" s="1905" t="str">
        <f t="shared" si="1"/>
        <v>0</v>
      </c>
    </row>
    <row r="27" spans="1:7" hidden="1" x14ac:dyDescent="0.25">
      <c r="A27" s="1887"/>
      <c r="B27" s="1907"/>
      <c r="C27" s="1888"/>
      <c r="D27" s="1885"/>
      <c r="E27" s="1905">
        <f t="shared" si="0"/>
        <v>0</v>
      </c>
      <c r="F27" s="1905" t="str">
        <f t="shared" si="1"/>
        <v>0</v>
      </c>
    </row>
    <row r="28" spans="1:7" hidden="1" x14ac:dyDescent="0.25">
      <c r="A28" s="1887"/>
      <c r="B28" s="1907"/>
      <c r="C28" s="1888"/>
      <c r="D28" s="1885"/>
      <c r="E28" s="1905">
        <f t="shared" si="0"/>
        <v>0</v>
      </c>
      <c r="F28" s="1905" t="str">
        <f t="shared" si="1"/>
        <v>0</v>
      </c>
    </row>
    <row r="29" spans="1:7" hidden="1" x14ac:dyDescent="0.25">
      <c r="A29" s="1887"/>
      <c r="B29" s="1907"/>
      <c r="C29" s="1888"/>
      <c r="D29" s="1885"/>
      <c r="E29" s="1905">
        <f t="shared" si="0"/>
        <v>0</v>
      </c>
      <c r="F29" s="1905" t="str">
        <f t="shared" si="1"/>
        <v>0</v>
      </c>
    </row>
    <row r="30" spans="1:7" hidden="1" x14ac:dyDescent="0.25">
      <c r="A30" s="1887"/>
      <c r="B30" s="1907"/>
      <c r="C30" s="1888"/>
      <c r="D30" s="1885"/>
      <c r="E30" s="1905">
        <f t="shared" si="0"/>
        <v>0</v>
      </c>
      <c r="F30" s="1905" t="str">
        <f t="shared" si="1"/>
        <v>0</v>
      </c>
    </row>
    <row r="31" spans="1:7" hidden="1" x14ac:dyDescent="0.25">
      <c r="A31" s="1887"/>
      <c r="B31" s="1907"/>
      <c r="C31" s="1888"/>
      <c r="D31" s="1885"/>
      <c r="E31" s="1905">
        <f t="shared" si="0"/>
        <v>0</v>
      </c>
      <c r="F31" s="1905" t="str">
        <f t="shared" si="1"/>
        <v>0</v>
      </c>
    </row>
    <row r="32" spans="1:7" hidden="1" x14ac:dyDescent="0.25">
      <c r="A32" s="1887"/>
      <c r="B32" s="1907"/>
      <c r="C32" s="1888"/>
      <c r="D32" s="1885"/>
      <c r="E32" s="1905">
        <f t="shared" si="0"/>
        <v>0</v>
      </c>
      <c r="F32" s="1905" t="str">
        <f t="shared" si="1"/>
        <v>0</v>
      </c>
    </row>
    <row r="33" spans="1:6" hidden="1" x14ac:dyDescent="0.25">
      <c r="A33" s="1887"/>
      <c r="B33" s="1907"/>
      <c r="C33" s="1888"/>
      <c r="D33" s="1885"/>
      <c r="E33" s="1905">
        <f t="shared" si="0"/>
        <v>0</v>
      </c>
      <c r="F33" s="1905" t="str">
        <f t="shared" si="1"/>
        <v>0</v>
      </c>
    </row>
    <row r="34" spans="1:6" hidden="1" x14ac:dyDescent="0.25">
      <c r="A34" s="1887"/>
      <c r="B34" s="1907"/>
      <c r="C34" s="1888"/>
      <c r="D34" s="1885"/>
      <c r="E34" s="1905">
        <f t="shared" si="0"/>
        <v>0</v>
      </c>
      <c r="F34" s="1905" t="str">
        <f t="shared" si="1"/>
        <v>0</v>
      </c>
    </row>
    <row r="35" spans="1:6" hidden="1" x14ac:dyDescent="0.25">
      <c r="A35" s="1887"/>
      <c r="B35" s="1907"/>
      <c r="C35" s="1888"/>
      <c r="D35" s="1885"/>
      <c r="E35" s="1905">
        <f t="shared" si="0"/>
        <v>0</v>
      </c>
      <c r="F35" s="1905" t="str">
        <f t="shared" si="1"/>
        <v>0</v>
      </c>
    </row>
    <row r="36" spans="1:6" hidden="1"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78" t="s">
        <v>1660</v>
      </c>
      <c r="B5" s="2579"/>
      <c r="C5" s="2579"/>
      <c r="D5" s="2579"/>
      <c r="E5" s="2579"/>
      <c r="F5" s="2579"/>
      <c r="G5" s="258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1890</v>
      </c>
      <c r="B10" s="803"/>
      <c r="C10" s="807"/>
      <c r="D10" s="804"/>
      <c r="E10" s="1799"/>
      <c r="F10" s="805"/>
      <c r="G10" s="806"/>
      <c r="H10" s="157"/>
      <c r="I10" s="157"/>
    </row>
    <row r="11" spans="1:13" s="542" customFormat="1" ht="22.5" customHeight="1" x14ac:dyDescent="0.2">
      <c r="A11" s="258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84"/>
      <c r="C11" s="2584"/>
      <c r="D11" s="2585"/>
      <c r="E11" s="1800">
        <v>2086</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2969126</v>
      </c>
      <c r="F19" s="1801"/>
      <c r="G19" s="1803">
        <f>'Expenditures 15-22'!K33-SUM('Expenditures 15-22'!G33,'Expenditures 15-22'!I33)+'Expenditures 15-22'!D229</f>
        <v>2969126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1586780</v>
      </c>
      <c r="F21" s="1804"/>
      <c r="G21" s="1807">
        <f>'Expenditures 15-22'!K42-SUM('Expenditures 15-22'!G42,'Expenditures 15-22'!I42)+'Expenditures 15-22'!K120-SUM('Expenditures 15-22'!G120,'Expenditures 15-22'!I120)+'Expenditures 15-22'!K180-SUM('Expenditures 15-22'!G180,'Expenditures 15-22'!I180)+'Expenditures 15-22'!D238</f>
        <v>1586780</v>
      </c>
      <c r="H21" s="817"/>
      <c r="I21" s="157"/>
    </row>
    <row r="22" spans="1:9" s="542" customFormat="1" ht="12" customHeight="1" x14ac:dyDescent="0.2">
      <c r="A22" s="824" t="s">
        <v>560</v>
      </c>
      <c r="B22" s="825"/>
      <c r="C22" s="823">
        <v>2200</v>
      </c>
      <c r="D22" s="1804"/>
      <c r="E22" s="1806">
        <f>'Expenditures 15-22'!K47-SUM('Expenditures 15-22'!G47,'Expenditures 15-22'!I47)+'Expenditures 15-22'!D243</f>
        <v>260182</v>
      </c>
      <c r="F22" s="1804"/>
      <c r="G22" s="1807">
        <f>'Expenditures 15-22'!K47-SUM('Expenditures 15-22'!G47,'Expenditures 15-22'!I47)+'Expenditures 15-22'!D243</f>
        <v>260182</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707059</v>
      </c>
      <c r="F23" s="1804"/>
      <c r="G23" s="1806">
        <f>'Expenditures 15-22'!K53-SUM('Expenditures 15-22'!G53,'Expenditures 15-22'!I53)+'Expenditures 15-22'!D257+'Expenditures 15-22'!K330-SUM('Expenditures 15-22'!G330,'Expenditures 15-22'!I330)</f>
        <v>707059</v>
      </c>
      <c r="H23" s="817"/>
      <c r="I23" s="157"/>
    </row>
    <row r="24" spans="1:9" s="542" customFormat="1" ht="12" customHeight="1" x14ac:dyDescent="0.2">
      <c r="A24" s="824" t="s">
        <v>562</v>
      </c>
      <c r="B24" s="825"/>
      <c r="C24" s="823">
        <v>2400</v>
      </c>
      <c r="D24" s="1804"/>
      <c r="E24" s="1806">
        <f>'Expenditures 15-22'!K57-SUM('Expenditures 15-22'!G57,'Expenditures 15-22'!I57)+'Expenditures 15-22'!D261</f>
        <v>41372</v>
      </c>
      <c r="F24" s="1804"/>
      <c r="G24" s="1807">
        <f>'Expenditures 15-22'!K57-SUM('Expenditures 15-22'!G57,'Expenditures 15-22'!I57)+'Expenditures 15-22'!D261</f>
        <v>41372</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72012</v>
      </c>
      <c r="E27" s="1806">
        <f>E8</f>
        <v>0</v>
      </c>
      <c r="F27" s="1806">
        <f>'Expenditures 15-22'!K60-SUM('Expenditures 15-22'!G60,'Expenditures 15-22'!I60)+'Expenditures 15-22'!D264-E8</f>
        <v>72012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119010</v>
      </c>
      <c r="F28" s="1808">
        <f>'Expenditures 15-22'!K61-SUM('Expenditures 15-22'!G61,'Expenditures 15-22'!I61)+'Expenditures 15-22'!K124-SUM('Expenditures 15-22'!G124,'Expenditures 15-22'!I124)+'Expenditures 15-22'!D266-E9</f>
        <v>119010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0</v>
      </c>
      <c r="F29" s="1804"/>
      <c r="G29" s="180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2839</v>
      </c>
      <c r="E36" s="1806">
        <f>E13</f>
        <v>0</v>
      </c>
      <c r="F36" s="1806">
        <f>'Expenditures 15-22'!K70-SUM('Expenditures 15-22'!G70,'Expenditures 15-22'!I70)+'Expenditures 15-22'!D275-E13</f>
        <v>2839</v>
      </c>
      <c r="G36" s="1806">
        <f>E13</f>
        <v>0</v>
      </c>
    </row>
    <row r="37" spans="1:7" ht="12" customHeight="1" x14ac:dyDescent="0.2">
      <c r="A37" s="824" t="s">
        <v>401</v>
      </c>
      <c r="B37" s="827"/>
      <c r="C37" s="823">
        <v>2660</v>
      </c>
      <c r="D37" s="1806">
        <f>'Expenditures 15-22'!K71-SUM('Expenditures 15-22'!G71,'Expenditures 15-22'!I71)+'Expenditures 15-22'!D276-E14</f>
        <v>54668</v>
      </c>
      <c r="E37" s="1806">
        <f>E14</f>
        <v>0</v>
      </c>
      <c r="F37" s="1806">
        <f>'Expenditures 15-22'!K71-SUM('Expenditures 15-22'!G71,'Expenditures 15-22'!I71)+'Expenditures 15-22'!D276-E14</f>
        <v>54668</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56496</v>
      </c>
      <c r="F38" s="1804"/>
      <c r="G38" s="1806">
        <f>'Expenditures 15-22'!K73-SUM('Expenditures 15-22'!G73,'Expenditures 15-22'!I73)+'Expenditures 15-22'!K128-SUM('Expenditures 15-22'!G128,'Expenditures 15-22'!I128)+'Expenditures 15-22'!K183-SUM('Expenditures 15-22'!G183,'Expenditures 15-22'!I183)+'Expenditures 15-22'!D278</f>
        <v>56496</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129519</v>
      </c>
      <c r="E41" s="1808">
        <f>SUM(E19:E40)</f>
        <v>5740025</v>
      </c>
      <c r="F41" s="1808">
        <f>SUM(F19:F39)</f>
        <v>248529</v>
      </c>
      <c r="G41" s="1808">
        <f>SUM(G19:G40)</f>
        <v>5621015</v>
      </c>
    </row>
    <row r="42" spans="1:7" x14ac:dyDescent="0.2">
      <c r="A42" s="817"/>
      <c r="B42" s="157"/>
      <c r="C42" s="831"/>
      <c r="D42" s="2581" t="s">
        <v>519</v>
      </c>
      <c r="E42" s="2582"/>
      <c r="F42" s="832" t="s">
        <v>520</v>
      </c>
      <c r="G42" s="833"/>
    </row>
    <row r="43" spans="1:7" ht="12" customHeight="1" x14ac:dyDescent="0.2">
      <c r="A43" s="817"/>
      <c r="B43" s="157"/>
      <c r="C43" s="831"/>
      <c r="D43" s="1457" t="s">
        <v>470</v>
      </c>
      <c r="E43" s="1809">
        <f>D41</f>
        <v>129519</v>
      </c>
      <c r="F43" s="1457" t="s">
        <v>470</v>
      </c>
      <c r="G43" s="1809">
        <f>F41</f>
        <v>248529</v>
      </c>
    </row>
    <row r="44" spans="1:7" ht="12" customHeight="1" x14ac:dyDescent="0.2">
      <c r="A44" s="817"/>
      <c r="B44" s="157"/>
      <c r="C44" s="831"/>
      <c r="D44" s="1457" t="s">
        <v>471</v>
      </c>
      <c r="E44" s="1809">
        <f>E41</f>
        <v>5740025</v>
      </c>
      <c r="F44" s="1457" t="s">
        <v>471</v>
      </c>
      <c r="G44" s="1809">
        <f>G41</f>
        <v>5621015</v>
      </c>
    </row>
    <row r="45" spans="1:7" ht="12" customHeight="1" x14ac:dyDescent="0.2">
      <c r="A45" s="817"/>
      <c r="B45" s="157"/>
      <c r="C45" s="157"/>
      <c r="D45" s="1458" t="s">
        <v>999</v>
      </c>
      <c r="E45" s="1810">
        <f>(E43/E44)</f>
        <v>2.2564187438208021E-2</v>
      </c>
      <c r="F45" s="1458" t="s">
        <v>999</v>
      </c>
      <c r="G45" s="1810">
        <f>(G43/G44)</f>
        <v>4.4214256677841991E-2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589" t="s">
        <v>1363</v>
      </c>
      <c r="B1" s="2589"/>
      <c r="C1" s="2589"/>
      <c r="D1" s="2589"/>
      <c r="E1" s="2589"/>
      <c r="F1" s="2589"/>
    </row>
    <row r="2" spans="1:15" x14ac:dyDescent="0.2">
      <c r="A2" s="1512" t="s">
        <v>1874</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590" t="s">
        <v>1529</v>
      </c>
      <c r="B5" s="2591"/>
      <c r="C5" s="2592"/>
      <c r="D5" s="2592"/>
      <c r="E5" s="2592"/>
      <c r="F5" s="2592"/>
      <c r="G5" s="1506"/>
      <c r="L5" s="1506"/>
      <c r="M5" s="1854"/>
      <c r="N5" s="1854"/>
      <c r="O5" s="1854"/>
    </row>
    <row r="6" spans="1:15" ht="12" customHeight="1" x14ac:dyDescent="0.25">
      <c r="A6" s="1479"/>
      <c r="B6" s="1480"/>
      <c r="C6" s="2593" t="str">
        <f>COVER!A17</f>
        <v xml:space="preserve">   Bi-County Special Educ Coop</v>
      </c>
      <c r="D6" s="2593"/>
      <c r="E6" s="2593"/>
      <c r="F6" s="1481"/>
      <c r="G6" s="1506"/>
      <c r="L6" s="1506"/>
      <c r="M6" s="1854"/>
      <c r="N6" s="1854"/>
      <c r="O6" s="1854"/>
    </row>
    <row r="7" spans="1:15" ht="11.25" customHeight="1" thickBot="1" x14ac:dyDescent="0.3">
      <c r="A7" s="1479"/>
      <c r="B7" s="1480"/>
      <c r="C7" s="2594">
        <f>COVER!A13</f>
        <v>47098000061</v>
      </c>
      <c r="D7" s="2594"/>
      <c r="E7" s="2594"/>
      <c r="F7" s="1481"/>
      <c r="G7" s="1506"/>
      <c r="L7" s="1506"/>
      <c r="M7" s="1854"/>
      <c r="N7" s="1854"/>
      <c r="O7" s="1854"/>
    </row>
    <row r="8" spans="1:15" ht="25.5" customHeight="1" thickBot="1" x14ac:dyDescent="0.25">
      <c r="A8" s="1518" t="s">
        <v>1870</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t="s">
        <v>2067</v>
      </c>
      <c r="D16" s="1494" t="s">
        <v>2067</v>
      </c>
      <c r="E16" s="1497"/>
      <c r="F16" s="1496" t="s">
        <v>2207</v>
      </c>
      <c r="G16" s="1506"/>
      <c r="H16" s="1506">
        <f t="shared" si="0"/>
        <v>5</v>
      </c>
      <c r="I16" s="1506">
        <f t="shared" si="1"/>
        <v>5</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1376</v>
      </c>
      <c r="B35" s="1500"/>
      <c r="C35" s="2595"/>
      <c r="D35" s="2595"/>
      <c r="E35" s="2595"/>
      <c r="F35" s="2596"/>
    </row>
    <row r="36" spans="1:15" ht="12" customHeight="1" x14ac:dyDescent="0.2">
      <c r="A36" s="2586"/>
      <c r="B36" s="2587"/>
      <c r="C36" s="2587"/>
      <c r="D36" s="2587"/>
      <c r="E36" s="2587"/>
      <c r="F36" s="2588"/>
    </row>
    <row r="37" spans="1:15" ht="12" customHeight="1" x14ac:dyDescent="0.2">
      <c r="A37" s="2586"/>
      <c r="B37" s="2587"/>
      <c r="C37" s="2587"/>
      <c r="D37" s="2587"/>
      <c r="E37" s="2587"/>
      <c r="F37" s="2588"/>
    </row>
    <row r="38" spans="1:15" ht="12" customHeight="1" x14ac:dyDescent="0.2">
      <c r="A38" s="2600"/>
      <c r="B38" s="2601"/>
      <c r="C38" s="2601"/>
      <c r="D38" s="2601"/>
      <c r="E38" s="2601"/>
      <c r="F38" s="2602"/>
    </row>
    <row r="39" spans="1:15" ht="4.5" hidden="1" customHeight="1" x14ac:dyDescent="0.2">
      <c r="A39" s="1501"/>
      <c r="B39" s="1501"/>
      <c r="C39" s="1501"/>
      <c r="D39" s="1501"/>
      <c r="E39" s="1501"/>
      <c r="F39" s="1501"/>
    </row>
    <row r="40" spans="1:15" s="1498" customFormat="1" ht="12" customHeight="1" x14ac:dyDescent="0.25">
      <c r="A40" s="1502" t="s">
        <v>1375</v>
      </c>
      <c r="B40" s="1503"/>
      <c r="C40" s="2603"/>
      <c r="D40" s="2603"/>
      <c r="E40" s="2603"/>
      <c r="F40" s="2604"/>
      <c r="H40" s="1507"/>
      <c r="I40" s="1507"/>
      <c r="J40" s="1507"/>
      <c r="K40" s="1507"/>
    </row>
    <row r="41" spans="1:15" s="1498" customFormat="1" ht="12" customHeight="1" x14ac:dyDescent="0.25">
      <c r="A41" s="2605"/>
      <c r="B41" s="2606"/>
      <c r="C41" s="2606"/>
      <c r="D41" s="2606"/>
      <c r="E41" s="2606"/>
      <c r="F41" s="2607"/>
      <c r="H41" s="1507"/>
      <c r="I41" s="1507"/>
      <c r="J41" s="1507"/>
      <c r="K41" s="1507"/>
    </row>
    <row r="42" spans="1:15" s="1498" customFormat="1" ht="12" customHeight="1" x14ac:dyDescent="0.25">
      <c r="A42" s="2605"/>
      <c r="B42" s="2606"/>
      <c r="C42" s="2606"/>
      <c r="D42" s="2606"/>
      <c r="E42" s="2606"/>
      <c r="F42" s="2607"/>
      <c r="H42" s="1507"/>
      <c r="I42" s="1507"/>
      <c r="J42" s="1507"/>
      <c r="K42" s="1507"/>
    </row>
    <row r="43" spans="1:15" s="1498" customFormat="1" ht="15" x14ac:dyDescent="0.25">
      <c r="A43" s="2597"/>
      <c r="B43" s="2598"/>
      <c r="C43" s="2598"/>
      <c r="D43" s="2598"/>
      <c r="E43" s="2598"/>
      <c r="F43" s="2599"/>
      <c r="H43" s="1507"/>
      <c r="I43" s="1507"/>
      <c r="J43" s="1507"/>
      <c r="K43" s="1507"/>
    </row>
    <row r="44" spans="1:15" s="1498" customFormat="1" ht="12" hidden="1" customHeight="1" x14ac:dyDescent="0.25">
      <c r="A44" s="2597"/>
      <c r="B44" s="2598"/>
      <c r="C44" s="2598"/>
      <c r="D44" s="2598"/>
      <c r="E44" s="2598"/>
      <c r="F44" s="259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2"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6"/>
      <c r="C6" s="1376"/>
      <c r="D6" s="1376"/>
      <c r="E6" s="1377"/>
      <c r="F6" s="1922"/>
      <c r="G6" s="1923"/>
      <c r="H6" s="838"/>
      <c r="I6" s="1924" t="s">
        <v>1021</v>
      </c>
      <c r="J6" s="2609" t="str">
        <f>COVER!A17</f>
        <v xml:space="preserve">   Bi-County Special Educ Coop</v>
      </c>
      <c r="K6" s="2609"/>
      <c r="L6" s="2610"/>
      <c r="M6" s="838"/>
      <c r="N6" s="1998"/>
    </row>
    <row r="7" spans="1:14" x14ac:dyDescent="0.2">
      <c r="A7" s="2611" t="s">
        <v>864</v>
      </c>
      <c r="B7" s="2612"/>
      <c r="C7" s="2612"/>
      <c r="D7" s="2612"/>
      <c r="E7" s="2613"/>
      <c r="F7" s="839"/>
      <c r="G7" s="838"/>
      <c r="H7" s="838"/>
      <c r="I7" s="1924" t="s">
        <v>369</v>
      </c>
      <c r="J7" s="2614">
        <f>COVER!A13</f>
        <v>47098000061</v>
      </c>
      <c r="K7" s="2614"/>
      <c r="L7" s="2614"/>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2014</v>
      </c>
      <c r="F9" s="1856"/>
      <c r="G9" s="1856"/>
      <c r="H9" s="1856"/>
      <c r="I9" s="1929" t="s">
        <v>2015</v>
      </c>
      <c r="J9" s="1856"/>
      <c r="K9" s="1856"/>
      <c r="L9" s="1857"/>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615" t="s">
        <v>478</v>
      </c>
      <c r="B11" s="2616"/>
      <c r="C11" s="2617"/>
      <c r="D11" s="1937" t="s">
        <v>866</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813</v>
      </c>
      <c r="C12" s="842"/>
      <c r="D12" s="1941">
        <v>2320</v>
      </c>
      <c r="E12" s="1944">
        <f>'Expenditures 15-22'!K50</f>
        <v>154034</v>
      </c>
      <c r="F12" s="1942"/>
      <c r="G12" s="1968">
        <f>G68</f>
        <v>0</v>
      </c>
      <c r="H12" s="1944">
        <f t="shared" ref="H12:H18" si="0">SUM(E12:G12)</f>
        <v>154034</v>
      </c>
      <c r="I12" s="1943"/>
      <c r="J12" s="1942"/>
      <c r="K12" s="1943"/>
      <c r="L12" s="1944">
        <f t="shared" ref="L12:L18" si="1">SUM(I12:K12)</f>
        <v>0</v>
      </c>
      <c r="M12" s="838"/>
      <c r="N12" s="1998"/>
    </row>
    <row r="13" spans="1:14" x14ac:dyDescent="0.2">
      <c r="A13" s="2003">
        <v>2</v>
      </c>
      <c r="B13" s="1940" t="s">
        <v>42</v>
      </c>
      <c r="C13" s="842"/>
      <c r="D13" s="1941">
        <v>2330</v>
      </c>
      <c r="E13" s="1944">
        <f>'Expenditures 15-22'!K51</f>
        <v>14089</v>
      </c>
      <c r="F13" s="1942"/>
      <c r="G13" s="1968">
        <f>H68</f>
        <v>0</v>
      </c>
      <c r="H13" s="1944">
        <f t="shared" si="0"/>
        <v>14089</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618" t="s">
        <v>7</v>
      </c>
      <c r="C18" s="2619"/>
      <c r="D18" s="262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168123</v>
      </c>
      <c r="F19" s="1950">
        <f t="shared" si="2"/>
        <v>0</v>
      </c>
      <c r="G19" s="1950">
        <f t="shared" ref="G19" si="3">SUM(G12:G17)-G18</f>
        <v>0</v>
      </c>
      <c r="H19" s="1950">
        <f t="shared" si="2"/>
        <v>168123</v>
      </c>
      <c r="I19" s="1950">
        <f t="shared" si="2"/>
        <v>0</v>
      </c>
      <c r="J19" s="1950">
        <f t="shared" si="2"/>
        <v>0</v>
      </c>
      <c r="K19" s="1950">
        <f t="shared" si="2"/>
        <v>0</v>
      </c>
      <c r="L19" s="1950">
        <f t="shared" si="2"/>
        <v>0</v>
      </c>
      <c r="M19" s="838"/>
      <c r="N19" s="1998"/>
    </row>
    <row r="20" spans="1:14" ht="13.5" thickTop="1" x14ac:dyDescent="0.2">
      <c r="A20" s="2003">
        <v>9</v>
      </c>
      <c r="B20" s="2621" t="s">
        <v>2017</v>
      </c>
      <c r="C20" s="2621"/>
      <c r="D20" s="2622"/>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623"/>
      <c r="D27" s="2623"/>
      <c r="E27" s="843"/>
      <c r="F27" s="2624"/>
      <c r="G27" s="2624"/>
      <c r="H27" s="2624"/>
      <c r="I27" s="838"/>
      <c r="J27" s="838"/>
      <c r="K27" s="838"/>
      <c r="L27" s="838"/>
      <c r="M27" s="838"/>
      <c r="N27" s="1998"/>
    </row>
    <row r="28" spans="1:14" x14ac:dyDescent="0.2">
      <c r="A28" s="1997"/>
      <c r="B28" s="2007"/>
      <c r="C28" s="1957" t="s">
        <v>1026</v>
      </c>
      <c r="D28" s="844"/>
      <c r="E28" s="1958"/>
      <c r="F28" s="2625" t="s">
        <v>1492</v>
      </c>
      <c r="G28" s="2625"/>
      <c r="H28" s="2625"/>
      <c r="I28" s="838"/>
      <c r="J28" s="838"/>
      <c r="K28" s="838"/>
      <c r="L28" s="838"/>
      <c r="M28" s="838"/>
      <c r="N28" s="1998"/>
    </row>
    <row r="29" spans="1:14" x14ac:dyDescent="0.2">
      <c r="A29" s="1997"/>
      <c r="B29" s="2007"/>
      <c r="C29" s="2626"/>
      <c r="D29" s="2626"/>
      <c r="E29" s="845"/>
      <c r="F29" s="2626"/>
      <c r="G29" s="2626"/>
      <c r="H29" s="2626"/>
      <c r="I29" s="838"/>
      <c r="J29" s="838"/>
      <c r="K29" s="838"/>
      <c r="L29" s="838"/>
      <c r="M29" s="838"/>
      <c r="N29" s="1998"/>
    </row>
    <row r="30" spans="1:14" x14ac:dyDescent="0.2">
      <c r="A30" s="1997"/>
      <c r="B30" s="2007"/>
      <c r="C30" s="1960" t="s">
        <v>1544</v>
      </c>
      <c r="D30" s="838"/>
      <c r="E30" s="1959"/>
      <c r="F30" s="2608" t="s">
        <v>1493</v>
      </c>
      <c r="G30" s="2608"/>
      <c r="H30" s="260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629" t="s">
        <v>2020</v>
      </c>
      <c r="D34" s="2630"/>
      <c r="E34" s="2630"/>
      <c r="F34" s="2630"/>
      <c r="G34" s="2630"/>
      <c r="H34" s="2630"/>
      <c r="I34" s="2630"/>
      <c r="J34" s="2630"/>
      <c r="K34" s="2016"/>
      <c r="L34" s="838"/>
      <c r="M34" s="838"/>
      <c r="N34" s="1998"/>
    </row>
    <row r="35" spans="1:14" x14ac:dyDescent="0.2">
      <c r="A35" s="1997"/>
      <c r="B35" s="838"/>
      <c r="C35" s="2630"/>
      <c r="D35" s="2630"/>
      <c r="E35" s="2630"/>
      <c r="F35" s="2630"/>
      <c r="G35" s="2630"/>
      <c r="H35" s="2630"/>
      <c r="I35" s="2630"/>
      <c r="J35" s="26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629" t="s">
        <v>2021</v>
      </c>
      <c r="D37" s="2630"/>
      <c r="E37" s="2630"/>
      <c r="F37" s="2630"/>
      <c r="G37" s="2630"/>
      <c r="H37" s="2630"/>
      <c r="I37" s="2630"/>
      <c r="J37" s="2630"/>
      <c r="K37" s="2016"/>
      <c r="L37" s="2018"/>
      <c r="M37" s="838"/>
      <c r="N37" s="1998"/>
    </row>
    <row r="38" spans="1:14" x14ac:dyDescent="0.2">
      <c r="A38" s="1997"/>
      <c r="B38" s="838"/>
      <c r="C38" s="2630"/>
      <c r="D38" s="2630"/>
      <c r="E38" s="2630"/>
      <c r="F38" s="2630"/>
      <c r="G38" s="2630"/>
      <c r="H38" s="2630"/>
      <c r="I38" s="2630"/>
      <c r="J38" s="26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631" t="s">
        <v>2022</v>
      </c>
      <c r="D40" s="2632"/>
      <c r="E40" s="2632"/>
      <c r="F40" s="2632"/>
      <c r="G40" s="2632"/>
      <c r="H40" s="2632"/>
      <c r="I40" s="2632"/>
      <c r="J40" s="26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633" t="s">
        <v>2023</v>
      </c>
      <c r="B43" s="2634"/>
      <c r="C43" s="2634"/>
      <c r="D43" s="2634"/>
      <c r="E43" s="2634"/>
      <c r="F43" s="2634"/>
      <c r="G43" s="2634"/>
      <c r="H43" s="2634"/>
      <c r="I43" s="2634"/>
      <c r="J43" s="2634"/>
      <c r="K43" s="2634"/>
      <c r="L43" s="2634"/>
      <c r="M43" s="2634"/>
      <c r="N43" s="26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636" t="s">
        <v>2025</v>
      </c>
      <c r="B46" s="2637"/>
      <c r="C46" s="2637"/>
      <c r="D46" s="2637"/>
      <c r="E46" s="2637"/>
      <c r="F46" s="2637"/>
      <c r="G46" s="2637"/>
      <c r="H46" s="2637"/>
      <c r="I46" s="2637"/>
      <c r="J46" s="2637"/>
      <c r="K46" s="2637"/>
      <c r="L46" s="2637"/>
      <c r="M46" s="2637"/>
      <c r="N46" s="2638"/>
    </row>
    <row r="47" spans="1:14" x14ac:dyDescent="0.2">
      <c r="A47" s="2636"/>
      <c r="B47" s="2637"/>
      <c r="C47" s="2637"/>
      <c r="D47" s="2637"/>
      <c r="E47" s="2637"/>
      <c r="F47" s="2637"/>
      <c r="G47" s="2637"/>
      <c r="H47" s="2637"/>
      <c r="I47" s="2637"/>
      <c r="J47" s="2637"/>
      <c r="K47" s="2637"/>
      <c r="L47" s="2637"/>
      <c r="M47" s="2637"/>
      <c r="N47" s="26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609" t="str">
        <f>J6</f>
        <v xml:space="preserve">   Bi-County Special Educ Coop</v>
      </c>
      <c r="M52" s="2609"/>
      <c r="N52" s="2639"/>
    </row>
    <row r="53" spans="1:14" x14ac:dyDescent="0.2">
      <c r="A53" s="1982"/>
      <c r="B53" s="1983"/>
      <c r="C53" s="1983"/>
      <c r="D53" s="1983"/>
      <c r="E53" s="1983"/>
      <c r="F53" s="1983"/>
      <c r="G53" s="1983"/>
      <c r="H53" s="1983"/>
      <c r="I53" s="1983"/>
      <c r="J53" s="1983"/>
      <c r="K53" s="1924" t="s">
        <v>369</v>
      </c>
      <c r="L53" s="2614">
        <f>J7</f>
        <v>47098000061</v>
      </c>
      <c r="M53" s="2614"/>
      <c r="N53" s="26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641"/>
      <c r="B55" s="2642"/>
      <c r="C55" s="2642"/>
      <c r="D55" s="1970"/>
      <c r="E55" s="1970"/>
      <c r="F55" s="1970"/>
      <c r="G55" s="2643" t="s">
        <v>2026</v>
      </c>
      <c r="H55" s="2643"/>
      <c r="I55" s="2643"/>
      <c r="J55" s="2643"/>
      <c r="K55" s="2643"/>
      <c r="L55" s="2643"/>
      <c r="M55" s="2643"/>
      <c r="N55" s="2644"/>
    </row>
    <row r="56" spans="1:14" ht="63.75" x14ac:dyDescent="0.2">
      <c r="A56" s="2645" t="s">
        <v>2027</v>
      </c>
      <c r="B56" s="2646"/>
      <c r="C56" s="2647"/>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648" t="s">
        <v>296</v>
      </c>
      <c r="B57" s="2649"/>
      <c r="C57" s="26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627" t="s">
        <v>2037</v>
      </c>
      <c r="B58" s="2628"/>
      <c r="C58" s="262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650" t="s">
        <v>297</v>
      </c>
      <c r="B59" s="2651"/>
      <c r="C59" s="265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650" t="s">
        <v>236</v>
      </c>
      <c r="B60" s="2651"/>
      <c r="C60" s="265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650" t="s">
        <v>697</v>
      </c>
      <c r="B61" s="2651"/>
      <c r="C61" s="2651"/>
      <c r="D61" s="1967">
        <v>2365</v>
      </c>
      <c r="E61" s="1977">
        <f>'Expenditures 15-22'!K323</f>
        <v>0</v>
      </c>
      <c r="F61" s="1972"/>
      <c r="G61" s="2031"/>
      <c r="H61" s="2032"/>
      <c r="I61" s="2032"/>
      <c r="J61" s="2032"/>
      <c r="K61" s="2032"/>
      <c r="L61" s="2032"/>
      <c r="M61" s="2032"/>
      <c r="N61" s="1975">
        <f t="shared" si="4"/>
        <v>0</v>
      </c>
    </row>
    <row r="62" spans="1:14" ht="24" customHeight="1" x14ac:dyDescent="0.2">
      <c r="A62" s="2650" t="s">
        <v>237</v>
      </c>
      <c r="B62" s="2651"/>
      <c r="C62" s="2651"/>
      <c r="D62" s="1967">
        <v>2366</v>
      </c>
      <c r="E62" s="1977">
        <f>'Expenditures 15-22'!K324</f>
        <v>0</v>
      </c>
      <c r="F62" s="1972"/>
      <c r="G62" s="2031"/>
      <c r="H62" s="2032"/>
      <c r="I62" s="2032"/>
      <c r="J62" s="2032"/>
      <c r="K62" s="2032"/>
      <c r="L62" s="2032"/>
      <c r="M62" s="2032"/>
      <c r="N62" s="1975">
        <f t="shared" si="4"/>
        <v>0</v>
      </c>
    </row>
    <row r="63" spans="1:14" ht="24" customHeight="1" x14ac:dyDescent="0.2">
      <c r="A63" s="2627" t="s">
        <v>1022</v>
      </c>
      <c r="B63" s="2628"/>
      <c r="C63" s="2628"/>
      <c r="D63" s="1967">
        <v>2367</v>
      </c>
      <c r="E63" s="1977">
        <f>'Expenditures 15-22'!K325</f>
        <v>0</v>
      </c>
      <c r="F63" s="1972"/>
      <c r="G63" s="2031"/>
      <c r="H63" s="2032"/>
      <c r="I63" s="2032"/>
      <c r="J63" s="2032"/>
      <c r="K63" s="2032"/>
      <c r="L63" s="2032"/>
      <c r="M63" s="2032"/>
      <c r="N63" s="1975">
        <f t="shared" si="4"/>
        <v>0</v>
      </c>
    </row>
    <row r="64" spans="1:14" ht="24" customHeight="1" x14ac:dyDescent="0.2">
      <c r="A64" s="2650" t="s">
        <v>1023</v>
      </c>
      <c r="B64" s="2651"/>
      <c r="C64" s="2651"/>
      <c r="D64" s="1967">
        <v>2368</v>
      </c>
      <c r="E64" s="1977">
        <f>'Expenditures 15-22'!K326</f>
        <v>0</v>
      </c>
      <c r="F64" s="1972"/>
      <c r="G64" s="2031"/>
      <c r="H64" s="2032"/>
      <c r="I64" s="2032"/>
      <c r="J64" s="2032"/>
      <c r="K64" s="2032"/>
      <c r="L64" s="2032"/>
      <c r="M64" s="2032"/>
      <c r="N64" s="1975">
        <f t="shared" si="4"/>
        <v>0</v>
      </c>
    </row>
    <row r="65" spans="1:14" ht="24" customHeight="1" x14ac:dyDescent="0.2">
      <c r="A65" s="2650" t="s">
        <v>965</v>
      </c>
      <c r="B65" s="2651"/>
      <c r="C65" s="2651"/>
      <c r="D65" s="1967">
        <v>2369</v>
      </c>
      <c r="E65" s="1977">
        <f>'Expenditures 15-22'!K327</f>
        <v>0</v>
      </c>
      <c r="F65" s="1972"/>
      <c r="G65" s="2031"/>
      <c r="H65" s="2032"/>
      <c r="I65" s="2032"/>
      <c r="J65" s="2032"/>
      <c r="K65" s="2032"/>
      <c r="L65" s="2032"/>
      <c r="M65" s="2032"/>
      <c r="N65" s="1975">
        <f t="shared" si="4"/>
        <v>0</v>
      </c>
    </row>
    <row r="66" spans="1:14" ht="24" customHeight="1" x14ac:dyDescent="0.2">
      <c r="A66" s="2650" t="s">
        <v>469</v>
      </c>
      <c r="B66" s="2651"/>
      <c r="C66" s="2651"/>
      <c r="D66" s="1967">
        <v>2371</v>
      </c>
      <c r="E66" s="1977">
        <f>'Expenditures 15-22'!K328</f>
        <v>0</v>
      </c>
      <c r="F66" s="1972"/>
      <c r="G66" s="2031"/>
      <c r="H66" s="2032"/>
      <c r="I66" s="2032"/>
      <c r="J66" s="2032"/>
      <c r="K66" s="2032"/>
      <c r="L66" s="2032"/>
      <c r="M66" s="2032"/>
      <c r="N66" s="1975">
        <f t="shared" si="4"/>
        <v>0</v>
      </c>
    </row>
    <row r="67" spans="1:14" ht="24.75" customHeight="1" x14ac:dyDescent="0.2">
      <c r="A67" s="2652" t="s">
        <v>2038</v>
      </c>
      <c r="B67" s="2653"/>
      <c r="C67" s="2653"/>
      <c r="D67" s="1969">
        <v>2372</v>
      </c>
      <c r="E67" s="1978">
        <f>'Expenditures 15-22'!K329</f>
        <v>0</v>
      </c>
      <c r="F67" s="1972"/>
      <c r="G67" s="2033"/>
      <c r="H67" s="2034"/>
      <c r="I67" s="2034"/>
      <c r="J67" s="2034"/>
      <c r="K67" s="2034"/>
      <c r="L67" s="2034"/>
      <c r="M67" s="2034"/>
      <c r="N67" s="1975">
        <f t="shared" si="4"/>
        <v>0</v>
      </c>
    </row>
    <row r="68" spans="1:14" x14ac:dyDescent="0.2">
      <c r="A68" s="2654" t="s">
        <v>1151</v>
      </c>
      <c r="B68" s="2655"/>
      <c r="C68" s="265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2208</v>
      </c>
    </row>
    <row r="6" spans="1:2" x14ac:dyDescent="0.2">
      <c r="A6" s="847"/>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Bi-County Special Educ Coop</v>
      </c>
    </row>
    <row r="65" spans="2:2" x14ac:dyDescent="0.2">
      <c r="B65" s="849">
        <f>COVER!A13</f>
        <v>47098000061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69" t="s">
        <v>1594</v>
      </c>
    </row>
    <row r="23" spans="1:5" x14ac:dyDescent="0.2">
      <c r="A23" s="163"/>
      <c r="B23" s="157" t="s">
        <v>1824</v>
      </c>
      <c r="D23" s="162" t="s">
        <v>632</v>
      </c>
      <c r="E23" s="1469" t="s">
        <v>953</v>
      </c>
    </row>
    <row r="24" spans="1:5" x14ac:dyDescent="0.2">
      <c r="A24" s="163" t="s">
        <v>1592</v>
      </c>
      <c r="C24" s="157" t="s">
        <v>1159</v>
      </c>
      <c r="D24" s="162" t="s">
        <v>1377</v>
      </c>
      <c r="E24" s="165" t="s">
        <v>954</v>
      </c>
    </row>
    <row r="25" spans="1:5" x14ac:dyDescent="0.2">
      <c r="A25" s="163" t="s">
        <v>1836</v>
      </c>
      <c r="C25" s="157" t="s">
        <v>1159</v>
      </c>
      <c r="D25" s="164" t="s">
        <v>21</v>
      </c>
      <c r="E25" s="1469" t="s">
        <v>2044</v>
      </c>
    </row>
    <row r="26" spans="1:5" x14ac:dyDescent="0.2">
      <c r="A26" s="163" t="s">
        <v>1837</v>
      </c>
      <c r="C26" s="157" t="s">
        <v>1159</v>
      </c>
      <c r="D26" s="164" t="s">
        <v>559</v>
      </c>
      <c r="E26" s="1469" t="s">
        <v>678</v>
      </c>
    </row>
    <row r="27" spans="1:5" x14ac:dyDescent="0.2">
      <c r="A27" s="163" t="s">
        <v>1838</v>
      </c>
      <c r="C27" s="157" t="s">
        <v>1159</v>
      </c>
      <c r="D27" s="164" t="s">
        <v>553</v>
      </c>
      <c r="E27" s="1469" t="s">
        <v>1350</v>
      </c>
    </row>
    <row r="28" spans="1:5" x14ac:dyDescent="0.2">
      <c r="A28" s="163" t="s">
        <v>1840</v>
      </c>
      <c r="D28" s="164" t="s">
        <v>679</v>
      </c>
      <c r="E28" s="1469" t="s">
        <v>1359</v>
      </c>
    </row>
    <row r="29" spans="1:5" x14ac:dyDescent="0.2">
      <c r="A29" s="163" t="s">
        <v>1841</v>
      </c>
      <c r="D29" s="164" t="s">
        <v>1378</v>
      </c>
      <c r="E29" s="1469"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342" t="s">
        <v>1056</v>
      </c>
      <c r="B35" s="2342"/>
      <c r="C35" s="2342"/>
      <c r="D35" s="2342"/>
      <c r="E35" s="23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39" t="s">
        <v>686</v>
      </c>
      <c r="B40" s="2339"/>
      <c r="C40" s="2339"/>
      <c r="D40" s="2339"/>
      <c r="E40" s="2339"/>
    </row>
    <row r="41" spans="1:5" x14ac:dyDescent="0.2">
      <c r="A41" s="2340" t="s">
        <v>1591</v>
      </c>
      <c r="B41" s="2340"/>
      <c r="C41" s="2340"/>
      <c r="D41" s="2340"/>
      <c r="E41" s="2340"/>
    </row>
    <row r="42" spans="1:5" ht="12.75" customHeight="1" x14ac:dyDescent="0.2">
      <c r="A42" s="2341" t="s">
        <v>1015</v>
      </c>
      <c r="B42" s="2341"/>
      <c r="C42" s="2341"/>
      <c r="D42" s="2341"/>
      <c r="E42" s="2341"/>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656" t="s">
        <v>1665</v>
      </c>
      <c r="B18" s="265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505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57" t="s">
        <v>1669</v>
      </c>
      <c r="B1" s="2658"/>
      <c r="C1" s="2658"/>
      <c r="D1" s="2658"/>
      <c r="E1" s="2658"/>
      <c r="F1" s="2659"/>
    </row>
    <row r="2" spans="1:8" ht="45" customHeight="1" x14ac:dyDescent="0.2">
      <c r="A2" s="26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68"/>
      <c r="C2" s="2668"/>
      <c r="D2" s="2668"/>
      <c r="E2" s="2668"/>
      <c r="F2" s="2669"/>
      <c r="G2" s="853"/>
      <c r="H2" s="853"/>
    </row>
    <row r="3" spans="1:8" ht="57" customHeight="1" x14ac:dyDescent="0.2">
      <c r="A3" s="2670" t="s">
        <v>1968</v>
      </c>
      <c r="B3" s="2671"/>
      <c r="C3" s="2671"/>
      <c r="D3" s="2671"/>
      <c r="E3" s="2671"/>
      <c r="F3" s="2672"/>
      <c r="G3" s="853"/>
      <c r="H3" s="853"/>
    </row>
    <row r="4" spans="1:8" ht="14.25" customHeight="1" x14ac:dyDescent="0.2">
      <c r="A4" s="26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77"/>
      <c r="C4" s="2677"/>
      <c r="D4" s="2677"/>
      <c r="E4" s="2677"/>
      <c r="F4" s="2678"/>
      <c r="G4" s="853"/>
      <c r="H4" s="853"/>
    </row>
    <row r="5" spans="1:8" ht="14.25" customHeight="1" x14ac:dyDescent="0.2">
      <c r="A5" s="26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80"/>
      <c r="C5" s="2680"/>
      <c r="D5" s="2680"/>
      <c r="E5" s="2680"/>
      <c r="F5" s="2681"/>
      <c r="G5" s="853"/>
      <c r="H5" s="853"/>
    </row>
    <row r="6" spans="1:8" s="854" customFormat="1" ht="41.25" customHeight="1" x14ac:dyDescent="0.2">
      <c r="A6" s="2673" t="s">
        <v>1670</v>
      </c>
      <c r="B6" s="2674"/>
      <c r="C6" s="2674"/>
      <c r="D6" s="2674"/>
      <c r="E6" s="2674"/>
      <c r="F6" s="267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6300952</v>
      </c>
      <c r="C8" s="1812">
        <f>'Acct Summary 7-8'!D8</f>
        <v>0</v>
      </c>
      <c r="D8" s="1812">
        <f>'Acct Summary 7-8'!F8</f>
        <v>0</v>
      </c>
      <c r="E8" s="1812">
        <f>'Acct Summary 7-8'!I8</f>
        <v>0</v>
      </c>
      <c r="F8" s="1812">
        <f>SUM(B8:E8)</f>
        <v>6300952</v>
      </c>
    </row>
    <row r="9" spans="1:8" s="858" customFormat="1" ht="14.25" customHeight="1" thickBot="1" x14ac:dyDescent="0.25">
      <c r="A9" s="857" t="s">
        <v>1353</v>
      </c>
      <c r="B9" s="1813">
        <f>'Acct Summary 7-8'!C17</f>
        <v>6421807</v>
      </c>
      <c r="C9" s="1813">
        <f>'Acct Summary 7-8'!D17</f>
        <v>0</v>
      </c>
      <c r="D9" s="1813">
        <f>'Acct Summary 7-8'!F17</f>
        <v>0</v>
      </c>
      <c r="E9" s="1812"/>
      <c r="F9" s="1812">
        <f>SUM(B9:E9)</f>
        <v>6421807</v>
      </c>
    </row>
    <row r="10" spans="1:8" s="858" customFormat="1" ht="14.25" thickTop="1" thickBot="1" x14ac:dyDescent="0.25">
      <c r="A10" s="859" t="s">
        <v>1354</v>
      </c>
      <c r="B10" s="1814">
        <f>(B8-B9)</f>
        <v>-120855</v>
      </c>
      <c r="C10" s="1814">
        <f>(C8-C9)</f>
        <v>0</v>
      </c>
      <c r="D10" s="1814">
        <f>(D8-D9)</f>
        <v>0</v>
      </c>
      <c r="E10" s="1813">
        <f>(E8-E9)</f>
        <v>0</v>
      </c>
      <c r="F10" s="1815">
        <f>SUM(F8-F9)</f>
        <v>-120855</v>
      </c>
    </row>
    <row r="11" spans="1:8" s="858" customFormat="1" ht="14.25" thickTop="1" thickBot="1" x14ac:dyDescent="0.25">
      <c r="A11" s="860" t="s">
        <v>1899</v>
      </c>
      <c r="B11" s="1816">
        <f>'Acct Summary 7-8'!C81</f>
        <v>4684</v>
      </c>
      <c r="C11" s="1816">
        <f>'Acct Summary 7-8'!D81</f>
        <v>0</v>
      </c>
      <c r="D11" s="1816">
        <f>'Acct Summary 7-8'!F81</f>
        <v>0</v>
      </c>
      <c r="E11" s="1816">
        <f>'Acct Summary 7-8'!I81</f>
        <v>0</v>
      </c>
      <c r="F11" s="1817">
        <f>SUM(B11:E11)</f>
        <v>4684</v>
      </c>
    </row>
    <row r="12" spans="1:8" ht="16.5" customHeight="1" thickTop="1" x14ac:dyDescent="0.2">
      <c r="A12" s="861"/>
      <c r="B12" s="862"/>
      <c r="C12" s="266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662"/>
      <c r="E12" s="2662"/>
      <c r="F12" s="2663"/>
    </row>
    <row r="13" spans="1:8" ht="19.5" customHeight="1" x14ac:dyDescent="0.2">
      <c r="A13" s="863"/>
      <c r="B13" s="864"/>
      <c r="C13" s="2661"/>
      <c r="D13" s="2662"/>
      <c r="E13" s="2662"/>
      <c r="F13" s="2663"/>
      <c r="H13" s="853"/>
    </row>
    <row r="14" spans="1:8" ht="19.5" customHeight="1" x14ac:dyDescent="0.2">
      <c r="A14" s="863"/>
      <c r="B14" s="864"/>
      <c r="C14" s="2661"/>
      <c r="D14" s="2662"/>
      <c r="E14" s="2662"/>
      <c r="F14" s="2663"/>
      <c r="H14" s="853"/>
    </row>
    <row r="15" spans="1:8" ht="17.25" customHeight="1" x14ac:dyDescent="0.2">
      <c r="A15" s="863"/>
      <c r="B15" s="864"/>
      <c r="C15" s="2664"/>
      <c r="D15" s="2665"/>
      <c r="E15" s="2665"/>
      <c r="F15" s="2666"/>
      <c r="H15" s="853"/>
    </row>
    <row r="16" spans="1:8" s="288" customFormat="1" ht="51.75" hidden="1" customHeight="1" x14ac:dyDescent="0.2">
      <c r="A16" s="2660" t="s">
        <v>1666</v>
      </c>
      <c r="B16" s="2660"/>
      <c r="C16" s="2660"/>
      <c r="D16" s="2660"/>
      <c r="E16" s="266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682" t="s">
        <v>660</v>
      </c>
      <c r="B3" s="2683"/>
      <c r="C3" s="2683"/>
      <c r="D3" s="2684"/>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93" t="s">
        <v>1487</v>
      </c>
      <c r="D7" s="2694"/>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85" t="s">
        <v>1001</v>
      </c>
      <c r="B15" s="2686"/>
      <c r="C15" s="2686"/>
      <c r="D15" s="2687"/>
    </row>
    <row r="16" spans="1:4" s="542" customFormat="1" ht="24" customHeight="1" x14ac:dyDescent="0.2">
      <c r="A16" s="2688" t="s">
        <v>658</v>
      </c>
      <c r="B16" s="2689"/>
      <c r="C16" s="2689"/>
      <c r="D16" s="2690"/>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97" t="s">
        <v>311</v>
      </c>
      <c r="D21" s="2698"/>
    </row>
    <row r="22" spans="1:10" ht="12.75" x14ac:dyDescent="0.2">
      <c r="A22" s="918"/>
      <c r="B22" s="919">
        <v>2</v>
      </c>
      <c r="C22" s="2695" t="s">
        <v>1507</v>
      </c>
      <c r="D22" s="269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99" t="s">
        <v>533</v>
      </c>
      <c r="D43" s="270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91" t="s">
        <v>779</v>
      </c>
      <c r="D56" s="269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91" t="s">
        <v>1674</v>
      </c>
      <c r="D70" s="269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900"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1963</v>
      </c>
      <c r="F1" s="1542" t="s">
        <v>1964</v>
      </c>
      <c r="G1" s="1899" t="s">
        <v>1974</v>
      </c>
    </row>
    <row r="2" spans="1:7" ht="15.75" x14ac:dyDescent="0.25">
      <c r="A2" t="s">
        <v>260</v>
      </c>
      <c r="B2" s="135">
        <f>COVER!A13</f>
        <v>47098000061</v>
      </c>
      <c r="E2" s="1541">
        <v>2020</v>
      </c>
      <c r="F2" s="1541">
        <v>1</v>
      </c>
      <c r="G2" s="1898">
        <v>101000300</v>
      </c>
    </row>
    <row r="3" spans="1:7" ht="15" x14ac:dyDescent="0.25">
      <c r="A3" t="s">
        <v>950</v>
      </c>
      <c r="B3" s="135" t="str">
        <f>COVER!A15</f>
        <v>Whiteside/Carroll</v>
      </c>
      <c r="E3" s="1829" t="s">
        <v>1967</v>
      </c>
      <c r="F3" s="1829" t="s">
        <v>1966</v>
      </c>
      <c r="G3" s="1898">
        <v>101000400</v>
      </c>
    </row>
    <row r="4" spans="1:7" ht="15" x14ac:dyDescent="0.25">
      <c r="A4" t="s">
        <v>1000</v>
      </c>
      <c r="B4" s="135" t="str">
        <f>COVER!A17</f>
        <v xml:space="preserve">   Bi-County Special Educ Coop</v>
      </c>
      <c r="E4" s="1827">
        <v>44119</v>
      </c>
      <c r="F4" s="1828">
        <v>44151</v>
      </c>
      <c r="G4" s="1898">
        <v>101000600</v>
      </c>
    </row>
    <row r="5" spans="1:7" ht="15" x14ac:dyDescent="0.25">
      <c r="A5" t="s">
        <v>699</v>
      </c>
      <c r="B5" s="135" t="str">
        <f>COVER!A38</f>
        <v>Laurie A. Fane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t="str">
        <f>COVER!T23</f>
        <v>066-005027</v>
      </c>
      <c r="G15" s="1898">
        <v>402100400</v>
      </c>
    </row>
    <row r="16" spans="1:7" ht="15" x14ac:dyDescent="0.25">
      <c r="A16" t="s">
        <v>419</v>
      </c>
      <c r="B16" s="135" t="str">
        <f>COVER!T13</f>
        <v>Gorenz and Associates, Ltd.</v>
      </c>
      <c r="G16" s="1898">
        <v>402100600</v>
      </c>
    </row>
    <row r="17" spans="1:7" ht="15" x14ac:dyDescent="0.25">
      <c r="A17" t="s">
        <v>878</v>
      </c>
      <c r="B17" s="135" t="str">
        <f>COVER!T15</f>
        <v>Jason Hohulin, CPA</v>
      </c>
      <c r="G17" s="1898">
        <v>402100800</v>
      </c>
    </row>
    <row r="18" spans="1:7" ht="15" x14ac:dyDescent="0.25">
      <c r="A18" t="s">
        <v>1140</v>
      </c>
      <c r="B18" s="135" t="str">
        <f>COVER!T17</f>
        <v>4200 N Knoxville Ave.</v>
      </c>
      <c r="G18" s="1898">
        <v>102200300</v>
      </c>
    </row>
    <row r="19" spans="1:7" ht="15" x14ac:dyDescent="0.25">
      <c r="A19" t="s">
        <v>880</v>
      </c>
      <c r="B19" s="135" t="str">
        <f>COVER!T25</f>
        <v>jhohulin@gorenzcpa.com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f>COVER!Z19</f>
        <v>61614</v>
      </c>
      <c r="G22" s="1898">
        <v>102300300</v>
      </c>
    </row>
    <row r="23" spans="1:7" ht="15" x14ac:dyDescent="0.25">
      <c r="A23" t="s">
        <v>1142</v>
      </c>
      <c r="B23" s="135" t="str">
        <f>COVER!T21</f>
        <v>309-685-7621</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11617</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6933</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6933</v>
      </c>
      <c r="C91" s="2" t="s">
        <v>569</v>
      </c>
      <c r="D91" s="2" t="str">
        <f t="shared" si="0"/>
        <v>Error?</v>
      </c>
      <c r="G91" s="1898">
        <v>102640400</v>
      </c>
    </row>
    <row r="92" spans="1:7" ht="15" x14ac:dyDescent="0.25">
      <c r="A92" s="5">
        <v>31</v>
      </c>
      <c r="B92" s="1831">
        <f>'Assets-Liab 5-6'!C39</f>
        <v>4684</v>
      </c>
      <c r="D92" s="2" t="str">
        <f t="shared" si="0"/>
        <v>Error?</v>
      </c>
      <c r="G92" s="1898">
        <v>102640600</v>
      </c>
    </row>
    <row r="93" spans="1:7" ht="15" x14ac:dyDescent="0.25">
      <c r="A93" s="5">
        <v>32</v>
      </c>
      <c r="B93" s="1831">
        <f>'Assets-Liab 5-6'!C41</f>
        <v>11617</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0</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0</v>
      </c>
      <c r="D123" s="2" t="str">
        <f t="shared" si="0"/>
        <v>Error?</v>
      </c>
      <c r="G123" s="1898">
        <v>203000400</v>
      </c>
    </row>
    <row r="124" spans="1:7" ht="15" x14ac:dyDescent="0.25">
      <c r="A124" s="5">
        <v>63</v>
      </c>
      <c r="B124" s="1831">
        <f>'Assets-Liab 5-6'!D41</f>
        <v>0</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0</v>
      </c>
      <c r="D273" s="2" t="str">
        <f t="shared" si="3"/>
        <v>Error?</v>
      </c>
    </row>
    <row r="274" spans="1:4" x14ac:dyDescent="0.2">
      <c r="A274" s="5">
        <v>213</v>
      </c>
      <c r="B274" s="1831">
        <f>'Assets-Liab 5-6'!M17</f>
        <v>0</v>
      </c>
      <c r="D274" s="2" t="str">
        <f t="shared" si="3"/>
        <v>Error?</v>
      </c>
    </row>
    <row r="275" spans="1:4" x14ac:dyDescent="0.2">
      <c r="A275" s="5">
        <v>214</v>
      </c>
      <c r="B275" s="1831">
        <f>'Assets-Liab 5-6'!M18</f>
        <v>0</v>
      </c>
      <c r="D275" s="2" t="str">
        <f t="shared" si="3"/>
        <v>Error?</v>
      </c>
    </row>
    <row r="276" spans="1:4" x14ac:dyDescent="0.2">
      <c r="A276" s="5">
        <v>215</v>
      </c>
      <c r="B276" s="1831">
        <f>'Assets-Liab 5-6'!M19</f>
        <v>1162669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1162669</v>
      </c>
      <c r="C279" s="2" t="s">
        <v>569</v>
      </c>
      <c r="D279" s="2" t="str">
        <f t="shared" si="3"/>
        <v>Error?</v>
      </c>
    </row>
    <row r="280" spans="1:4" x14ac:dyDescent="0.2">
      <c r="A280" s="5">
        <v>219</v>
      </c>
      <c r="B280" s="1831">
        <f>'Assets-Liab 5-6'!M40</f>
        <v>1162669</v>
      </c>
      <c r="D280" s="2" t="str">
        <f t="shared" si="3"/>
        <v>Error?</v>
      </c>
    </row>
    <row r="281" spans="1:4" x14ac:dyDescent="0.2">
      <c r="A281" s="5">
        <v>220</v>
      </c>
      <c r="B281" s="1831">
        <f>'Assets-Liab 5-6'!M41</f>
        <v>1162669</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2291526</v>
      </c>
      <c r="C720" s="2" t="s">
        <v>569</v>
      </c>
      <c r="D720" s="2" t="str">
        <f t="shared" si="10"/>
        <v>Error?</v>
      </c>
    </row>
    <row r="721" spans="1:4" x14ac:dyDescent="0.2">
      <c r="A721" s="5">
        <v>660</v>
      </c>
      <c r="B721" s="1831">
        <f>'Expenditures 15-22'!C36</f>
        <v>333753</v>
      </c>
      <c r="D721" s="2" t="str">
        <f t="shared" si="10"/>
        <v>Error?</v>
      </c>
    </row>
    <row r="722" spans="1:4" x14ac:dyDescent="0.2">
      <c r="A722" s="5">
        <v>661</v>
      </c>
      <c r="B722" s="1831">
        <f>'Expenditures 15-22'!C37</f>
        <v>29386</v>
      </c>
      <c r="D722" s="2" t="str">
        <f t="shared" si="10"/>
        <v>Error?</v>
      </c>
    </row>
    <row r="723" spans="1:4" x14ac:dyDescent="0.2">
      <c r="A723" s="5">
        <v>662</v>
      </c>
      <c r="B723" s="1831">
        <f>'Expenditures 15-22'!C38</f>
        <v>237369</v>
      </c>
      <c r="D723" s="2" t="str">
        <f t="shared" si="10"/>
        <v>Error?</v>
      </c>
    </row>
    <row r="724" spans="1:4" x14ac:dyDescent="0.2">
      <c r="A724" s="5">
        <v>663</v>
      </c>
      <c r="B724" s="1831">
        <f>'Expenditures 15-22'!C39</f>
        <v>436974</v>
      </c>
      <c r="D724" s="2" t="str">
        <f t="shared" si="10"/>
        <v>Error?</v>
      </c>
    </row>
    <row r="725" spans="1:4" x14ac:dyDescent="0.2">
      <c r="A725" s="5">
        <v>664</v>
      </c>
      <c r="B725" s="1831">
        <f>'Expenditures 15-22'!C40</f>
        <v>166500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1203982</v>
      </c>
      <c r="C727" s="2" t="s">
        <v>569</v>
      </c>
      <c r="D727" s="2" t="str">
        <f t="shared" si="10"/>
        <v>Error?</v>
      </c>
    </row>
    <row r="728" spans="1:4" x14ac:dyDescent="0.2">
      <c r="A728" s="5">
        <v>667</v>
      </c>
      <c r="B728" s="1831">
        <f>'Expenditures 15-22'!C44</f>
        <v>77625</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77625</v>
      </c>
      <c r="C731" s="2" t="s">
        <v>569</v>
      </c>
      <c r="D731" s="2" t="str">
        <f t="shared" si="10"/>
        <v>Error?</v>
      </c>
    </row>
    <row r="732" spans="1:4" x14ac:dyDescent="0.2">
      <c r="A732" s="5">
        <v>671</v>
      </c>
      <c r="B732" s="1831">
        <f>'Expenditures 15-22'!C49</f>
        <v>278971</v>
      </c>
      <c r="D732" s="2" t="str">
        <f t="shared" si="10"/>
        <v>Error?</v>
      </c>
    </row>
    <row r="733" spans="1:4" x14ac:dyDescent="0.2">
      <c r="A733" s="5">
        <v>672</v>
      </c>
      <c r="B733" s="1831">
        <f>'Expenditures 15-22'!C50</f>
        <v>120200</v>
      </c>
      <c r="D733" s="2" t="str">
        <f t="shared" si="10"/>
        <v>Error?</v>
      </c>
    </row>
    <row r="734" spans="1:4" x14ac:dyDescent="0.2">
      <c r="A734" s="5">
        <v>673</v>
      </c>
      <c r="B734" s="1831">
        <f>'Expenditures 15-22'!C53</f>
        <v>399171</v>
      </c>
      <c r="C734" s="2" t="s">
        <v>569</v>
      </c>
      <c r="D734" s="2" t="str">
        <f t="shared" si="10"/>
        <v>Error?</v>
      </c>
    </row>
    <row r="735" spans="1:4" x14ac:dyDescent="0.2">
      <c r="A735" s="5">
        <v>674</v>
      </c>
      <c r="B735" s="1831">
        <f>'Expenditures 15-22'!C55</f>
        <v>28865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28865</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52049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52049</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1761692</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4053218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554222</v>
      </c>
      <c r="C778" s="2" t="s">
        <v>569</v>
      </c>
      <c r="D778" s="2" t="str">
        <f t="shared" si="11"/>
        <v>Error?</v>
      </c>
    </row>
    <row r="779" spans="1:4" x14ac:dyDescent="0.2">
      <c r="A779" s="5">
        <v>718</v>
      </c>
      <c r="B779" s="1831">
        <f>'Expenditures 15-22'!D36</f>
        <v>85971</v>
      </c>
      <c r="D779" s="2" t="str">
        <f t="shared" si="11"/>
        <v>Error?</v>
      </c>
    </row>
    <row r="780" spans="1:4" x14ac:dyDescent="0.2">
      <c r="A780" s="5">
        <v>719</v>
      </c>
      <c r="B780" s="1831">
        <f>'Expenditures 15-22'!D37</f>
        <v>4604</v>
      </c>
      <c r="D780" s="2" t="str">
        <f t="shared" si="11"/>
        <v>Error?</v>
      </c>
    </row>
    <row r="781" spans="1:4" x14ac:dyDescent="0.2">
      <c r="A781" s="5">
        <v>720</v>
      </c>
      <c r="B781" s="1831">
        <f>'Expenditures 15-22'!D38</f>
        <v>63254</v>
      </c>
      <c r="D781" s="2" t="str">
        <f t="shared" si="11"/>
        <v>Error?</v>
      </c>
    </row>
    <row r="782" spans="1:4" x14ac:dyDescent="0.2">
      <c r="A782" s="5">
        <v>721</v>
      </c>
      <c r="B782" s="1831">
        <f>'Expenditures 15-22'!D39</f>
        <v>109818</v>
      </c>
      <c r="D782" s="2" t="str">
        <f t="shared" si="11"/>
        <v>Error?</v>
      </c>
    </row>
    <row r="783" spans="1:4" x14ac:dyDescent="0.2">
      <c r="A783" s="5">
        <v>722</v>
      </c>
      <c r="B783" s="1831">
        <f>'Expenditures 15-22'!D40</f>
        <v>47007</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310654</v>
      </c>
      <c r="C785" s="2" t="s">
        <v>569</v>
      </c>
      <c r="D785" s="2" t="str">
        <f t="shared" si="11"/>
        <v>Error?</v>
      </c>
    </row>
    <row r="786" spans="1:4" x14ac:dyDescent="0.2">
      <c r="A786" s="5">
        <v>725</v>
      </c>
      <c r="B786" s="1831">
        <f>'Expenditures 15-22'!D44</f>
        <v>19251</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19251</v>
      </c>
      <c r="C789" s="2" t="s">
        <v>569</v>
      </c>
      <c r="D789" s="2" t="str">
        <f t="shared" si="11"/>
        <v>Error?</v>
      </c>
    </row>
    <row r="790" spans="1:4" x14ac:dyDescent="0.2">
      <c r="A790" s="5">
        <v>729</v>
      </c>
      <c r="B790" s="1831">
        <f>'Expenditures 15-22'!D49</f>
        <v>110094</v>
      </c>
      <c r="D790" s="2" t="str">
        <f t="shared" si="11"/>
        <v>Error?</v>
      </c>
    </row>
    <row r="791" spans="1:4" x14ac:dyDescent="0.2">
      <c r="A791" s="5">
        <v>730</v>
      </c>
      <c r="B791" s="1831">
        <f>'Expenditures 15-22'!D50</f>
        <v>28075</v>
      </c>
      <c r="D791" s="2" t="str">
        <f t="shared" si="11"/>
        <v>Error?</v>
      </c>
    </row>
    <row r="792" spans="1:4" x14ac:dyDescent="0.2">
      <c r="A792" s="5">
        <v>731</v>
      </c>
      <c r="B792" s="1831">
        <f>'Expenditures 15-22'!D53</f>
        <v>138169</v>
      </c>
      <c r="C792" s="2" t="s">
        <v>569</v>
      </c>
      <c r="D792" s="2" t="str">
        <f t="shared" si="11"/>
        <v>Error?</v>
      </c>
    </row>
    <row r="793" spans="1:4" x14ac:dyDescent="0.2">
      <c r="A793" s="5">
        <v>732</v>
      </c>
      <c r="B793" s="1831">
        <f>'Expenditures 15-22'!D55</f>
        <v>12507</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12507</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16823</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16823</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497404</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1051626</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46912</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73359</v>
      </c>
      <c r="C836" s="2" t="s">
        <v>569</v>
      </c>
      <c r="D836" s="2" t="str">
        <f t="shared" si="12"/>
        <v>Error?</v>
      </c>
    </row>
    <row r="837" spans="1:4" x14ac:dyDescent="0.2">
      <c r="A837" s="5">
        <v>776</v>
      </c>
      <c r="B837" s="1831">
        <f>'Expenditures 15-22'!E36</f>
        <v>6742</v>
      </c>
      <c r="D837" s="2" t="str">
        <f t="shared" si="12"/>
        <v>Error?</v>
      </c>
    </row>
    <row r="838" spans="1:4" x14ac:dyDescent="0.2">
      <c r="A838" s="5">
        <v>777</v>
      </c>
      <c r="B838" s="1831">
        <f>'Expenditures 15-22'!E37</f>
        <v>6020</v>
      </c>
      <c r="D838" s="2" t="str">
        <f t="shared" si="12"/>
        <v>Error?</v>
      </c>
    </row>
    <row r="839" spans="1:4" x14ac:dyDescent="0.2">
      <c r="A839" s="5">
        <v>778</v>
      </c>
      <c r="B839" s="1831">
        <f>'Expenditures 15-22'!E38</f>
        <v>33385</v>
      </c>
      <c r="D839" s="2" t="str">
        <f t="shared" si="12"/>
        <v>Error?</v>
      </c>
    </row>
    <row r="840" spans="1:4" x14ac:dyDescent="0.2">
      <c r="A840" s="5">
        <v>779</v>
      </c>
      <c r="B840" s="1831">
        <f>'Expenditures 15-22'!E39</f>
        <v>8835</v>
      </c>
      <c r="D840" s="2" t="str">
        <f t="shared" si="12"/>
        <v>Error?</v>
      </c>
    </row>
    <row r="841" spans="1:4" x14ac:dyDescent="0.2">
      <c r="A841" s="5">
        <v>780</v>
      </c>
      <c r="B841" s="1831">
        <f>'Expenditures 15-22'!E40</f>
        <v>4384</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59366</v>
      </c>
      <c r="C843" s="2" t="s">
        <v>569</v>
      </c>
      <c r="D843" s="2" t="str">
        <f t="shared" si="12"/>
        <v>Error?</v>
      </c>
    </row>
    <row r="844" spans="1:4" x14ac:dyDescent="0.2">
      <c r="A844" s="5">
        <v>783</v>
      </c>
      <c r="B844" s="1831">
        <f>'Expenditures 15-22'!E44</f>
        <v>163306</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163306</v>
      </c>
      <c r="C847" s="2" t="s">
        <v>569</v>
      </c>
      <c r="D847" s="2" t="str">
        <f t="shared" si="12"/>
        <v>Error?</v>
      </c>
    </row>
    <row r="848" spans="1:4" x14ac:dyDescent="0.2">
      <c r="A848" s="5">
        <v>787</v>
      </c>
      <c r="B848" s="1831">
        <f>'Expenditures 15-22'!E49</f>
        <v>82625</v>
      </c>
      <c r="D848" s="2" t="str">
        <f t="shared" si="12"/>
        <v>Error?</v>
      </c>
    </row>
    <row r="849" spans="1:4" x14ac:dyDescent="0.2">
      <c r="A849" s="5">
        <v>788</v>
      </c>
      <c r="B849" s="1831">
        <f>'Expenditures 15-22'!E50</f>
        <v>5759</v>
      </c>
      <c r="D849" s="2" t="str">
        <f t="shared" si="12"/>
        <v>Error?</v>
      </c>
    </row>
    <row r="850" spans="1:4" x14ac:dyDescent="0.2">
      <c r="A850" s="5">
        <v>789</v>
      </c>
      <c r="B850" s="1831">
        <f>'Expenditures 15-22'!E53</f>
        <v>102473</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3140</v>
      </c>
      <c r="D855" s="2" t="str">
        <f t="shared" si="12"/>
        <v>Error?</v>
      </c>
    </row>
    <row r="856" spans="1:4" x14ac:dyDescent="0.2">
      <c r="A856" s="5">
        <v>795</v>
      </c>
      <c r="B856" s="1831">
        <f>'Expenditures 15-22'!E61</f>
        <v>106330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109470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2839</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2839</v>
      </c>
      <c r="C869" s="2" t="s">
        <v>569</v>
      </c>
      <c r="D869" s="2" t="str">
        <f t="shared" si="12"/>
        <v>Error?</v>
      </c>
    </row>
    <row r="870" spans="1:4" x14ac:dyDescent="0.2">
      <c r="A870" s="5">
        <v>809</v>
      </c>
      <c r="B870" s="1831">
        <f>'Expenditures 15-22'!E73</f>
        <v>56496</v>
      </c>
      <c r="D870" s="2" t="str">
        <f t="shared" si="12"/>
        <v>Error?</v>
      </c>
    </row>
    <row r="871" spans="1:4" x14ac:dyDescent="0.2">
      <c r="A871" s="5">
        <v>810</v>
      </c>
      <c r="B871" s="1831">
        <f>'Expenditures 15-22'!E74</f>
        <v>493950</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811378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50019</v>
      </c>
      <c r="C894" s="2" t="s">
        <v>569</v>
      </c>
      <c r="D894" s="2" t="str">
        <f t="shared" si="12"/>
        <v>Error?</v>
      </c>
    </row>
    <row r="895" spans="1:4" x14ac:dyDescent="0.2">
      <c r="A895" s="5">
        <v>834</v>
      </c>
      <c r="B895" s="1831">
        <f>'Expenditures 15-22'!F36</f>
        <v>956</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3719</v>
      </c>
      <c r="D897" s="2" t="str">
        <f t="shared" si="13"/>
        <v>Error?</v>
      </c>
    </row>
    <row r="898" spans="1:4" x14ac:dyDescent="0.2">
      <c r="A898" s="5">
        <v>837</v>
      </c>
      <c r="B898" s="1831">
        <f>'Expenditures 15-22'!F39</f>
        <v>6507</v>
      </c>
      <c r="D898" s="2" t="str">
        <f t="shared" si="13"/>
        <v>Error?</v>
      </c>
    </row>
    <row r="899" spans="1:4" x14ac:dyDescent="0.2">
      <c r="A899" s="5">
        <v>838</v>
      </c>
      <c r="B899" s="1831">
        <f>'Expenditures 15-22'!F40</f>
        <v>1596</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12778</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67246</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67246</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12680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12680</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54668</v>
      </c>
      <c r="D925" s="2" t="str">
        <f t="shared" si="13"/>
        <v>Error?</v>
      </c>
    </row>
    <row r="926" spans="1:4" x14ac:dyDescent="0.2">
      <c r="A926" s="10">
        <v>865</v>
      </c>
      <c r="B926" s="1831"/>
      <c r="D926" s="2" t="str">
        <f t="shared" si="13"/>
        <v>OK</v>
      </c>
    </row>
    <row r="927" spans="1:4" x14ac:dyDescent="0.2">
      <c r="A927" s="5">
        <v>866</v>
      </c>
      <c r="B927" s="1831">
        <f>'Expenditures 15-22'!F72</f>
        <v>54668</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147372</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197391</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58835</v>
      </c>
      <c r="C952" s="2" t="s">
        <v>569</v>
      </c>
      <c r="D952" s="2" t="str">
        <f t="shared" si="13"/>
        <v>Error?</v>
      </c>
    </row>
    <row r="953" spans="1:4" x14ac:dyDescent="0.2">
      <c r="A953" s="5">
        <v>892</v>
      </c>
      <c r="B953" s="1831">
        <f>'Expenditures 15-22'!G36</f>
        <v>6450</v>
      </c>
      <c r="D953" s="2" t="str">
        <f t="shared" si="13"/>
        <v>Error?</v>
      </c>
    </row>
    <row r="954" spans="1:4" x14ac:dyDescent="0.2">
      <c r="A954" s="5">
        <v>893</v>
      </c>
      <c r="B954" s="1831">
        <f>'Expenditures 15-22'!G37</f>
        <v>2150</v>
      </c>
      <c r="D954" s="2" t="str">
        <f t="shared" si="13"/>
        <v>Error?</v>
      </c>
    </row>
    <row r="955" spans="1:4" x14ac:dyDescent="0.2">
      <c r="A955" s="5">
        <v>894</v>
      </c>
      <c r="B955" s="1831">
        <f>'Expenditures 15-22'!G38</f>
        <v>2150</v>
      </c>
      <c r="D955" s="2" t="str">
        <f t="shared" si="13"/>
        <v>Error?</v>
      </c>
    </row>
    <row r="956" spans="1:4" x14ac:dyDescent="0.2">
      <c r="A956" s="5">
        <v>895</v>
      </c>
      <c r="B956" s="1831">
        <f>'Expenditures 15-22'!G39</f>
        <v>8600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19350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20710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20710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40060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98895</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209299</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209299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1993</v>
      </c>
      <c r="E1056" s="4" t="s">
        <v>1992</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46912</v>
      </c>
      <c r="C1105" s="2" t="s">
        <v>569</v>
      </c>
      <c r="D1105" s="2" t="str">
        <f t="shared" si="16"/>
        <v>Error?</v>
      </c>
    </row>
    <row r="1106" spans="1:4" x14ac:dyDescent="0.2">
      <c r="A1106" s="5">
        <v>1045</v>
      </c>
      <c r="B1106" s="1831">
        <f>'Expenditures 15-22'!K14</f>
        <v>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3027961</v>
      </c>
      <c r="C1108" s="2" t="s">
        <v>569</v>
      </c>
      <c r="D1108" s="2" t="str">
        <f t="shared" si="16"/>
        <v>Error?</v>
      </c>
    </row>
    <row r="1109" spans="1:4" x14ac:dyDescent="0.2">
      <c r="A1109" s="5">
        <v>1048</v>
      </c>
      <c r="B1109" s="1831">
        <f>'Expenditures 15-22'!K36</f>
        <v>433872</v>
      </c>
      <c r="C1109" s="2" t="s">
        <v>569</v>
      </c>
      <c r="D1109" s="2" t="str">
        <f t="shared" si="16"/>
        <v>Error?</v>
      </c>
    </row>
    <row r="1110" spans="1:4" x14ac:dyDescent="0.2">
      <c r="A1110" s="5">
        <v>1049</v>
      </c>
      <c r="B1110" s="1831">
        <f>'Expenditures 15-22'!K37</f>
        <v>42160</v>
      </c>
      <c r="C1110" s="2" t="s">
        <v>569</v>
      </c>
      <c r="D1110" s="2" t="str">
        <f t="shared" si="16"/>
        <v>Error?</v>
      </c>
    </row>
    <row r="1111" spans="1:4" x14ac:dyDescent="0.2">
      <c r="A1111" s="5">
        <v>1050</v>
      </c>
      <c r="B1111" s="1831">
        <f>'Expenditures 15-22'!K38</f>
        <v>339877</v>
      </c>
      <c r="C1111" s="2" t="s">
        <v>569</v>
      </c>
      <c r="D1111" s="2" t="str">
        <f t="shared" si="16"/>
        <v>Error?</v>
      </c>
    </row>
    <row r="1112" spans="1:4" x14ac:dyDescent="0.2">
      <c r="A1112" s="5">
        <v>1051</v>
      </c>
      <c r="B1112" s="1831">
        <f>'Expenditures 15-22'!K39</f>
        <v>570734</v>
      </c>
      <c r="C1112" s="2" t="s">
        <v>569</v>
      </c>
      <c r="D1112" s="2" t="str">
        <f t="shared" si="16"/>
        <v>Error?</v>
      </c>
    </row>
    <row r="1113" spans="1:4" x14ac:dyDescent="0.2">
      <c r="A1113" s="5">
        <v>1052</v>
      </c>
      <c r="B1113" s="1831">
        <f>'Expenditures 15-22'!K40</f>
        <v>219487</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1606130</v>
      </c>
      <c r="C1115" s="2" t="s">
        <v>569</v>
      </c>
      <c r="D1115" s="2" t="str">
        <f t="shared" si="16"/>
        <v>Error?</v>
      </c>
    </row>
    <row r="1116" spans="1:4" x14ac:dyDescent="0.2">
      <c r="A1116" s="5">
        <v>1055</v>
      </c>
      <c r="B1116" s="1831">
        <f>'Expenditures 15-22'!K44</f>
        <v>260182</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260182</v>
      </c>
      <c r="C1119" s="2" t="s">
        <v>569</v>
      </c>
      <c r="D1119" s="2" t="str">
        <f t="shared" si="16"/>
        <v>Error?</v>
      </c>
    </row>
    <row r="1120" spans="1:4" x14ac:dyDescent="0.2">
      <c r="A1120" s="5">
        <v>1059</v>
      </c>
      <c r="B1120" s="1831">
        <f>'Expenditures 15-22'!K49</f>
        <v>559646</v>
      </c>
      <c r="C1120" s="2" t="s">
        <v>569</v>
      </c>
      <c r="D1120" s="2" t="str">
        <f t="shared" si="16"/>
        <v>Error?</v>
      </c>
    </row>
    <row r="1121" spans="1:4" x14ac:dyDescent="0.2">
      <c r="A1121" s="5">
        <v>1060</v>
      </c>
      <c r="B1121" s="1831">
        <f>'Expenditures 15-22'!K50</f>
        <v>154034</v>
      </c>
      <c r="C1121" s="2" t="s">
        <v>569</v>
      </c>
      <c r="D1121" s="2" t="str">
        <f t="shared" si="16"/>
        <v>Error?</v>
      </c>
    </row>
    <row r="1122" spans="1:4" x14ac:dyDescent="0.2">
      <c r="A1122" s="5">
        <v>1061</v>
      </c>
      <c r="B1122" s="1831">
        <f>'Expenditures 15-22'!K53</f>
        <v>727769</v>
      </c>
      <c r="C1122" s="2" t="s">
        <v>569</v>
      </c>
      <c r="D1122" s="2" t="str">
        <f t="shared" si="16"/>
        <v>Error?</v>
      </c>
    </row>
    <row r="1123" spans="1:4" x14ac:dyDescent="0.2">
      <c r="A1123" s="5">
        <v>1062</v>
      </c>
      <c r="B1123" s="1831">
        <f>'Expenditures 15-22'!K55</f>
        <v>41372</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41372</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72012</v>
      </c>
      <c r="C1127" s="2" t="s">
        <v>569</v>
      </c>
      <c r="D1127" s="2" t="str">
        <f t="shared" si="16"/>
        <v>Error?</v>
      </c>
    </row>
    <row r="1128" spans="1:4" x14ac:dyDescent="0.2">
      <c r="A1128" s="5">
        <v>1067</v>
      </c>
      <c r="B1128" s="1831">
        <f>'Expenditures 15-22'!K61</f>
        <v>119010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191022</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2839</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54668</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57507</v>
      </c>
      <c r="C1141" s="2" t="s">
        <v>569</v>
      </c>
      <c r="D1141" s="2" t="str">
        <f t="shared" si="16"/>
        <v>Error?</v>
      </c>
    </row>
    <row r="1142" spans="1:4" x14ac:dyDescent="0.2">
      <c r="A1142" s="5">
        <v>1081</v>
      </c>
      <c r="B1142" s="1831">
        <f>'Expenditures 15-22'!K73</f>
        <v>56496</v>
      </c>
      <c r="C1142" s="2" t="s">
        <v>569</v>
      </c>
      <c r="D1142" s="2" t="str">
        <f t="shared" si="16"/>
        <v>Error?</v>
      </c>
    </row>
    <row r="1143" spans="1:4" x14ac:dyDescent="0.2">
      <c r="A1143" s="5">
        <v>1082</v>
      </c>
      <c r="B1143" s="1831">
        <f>'Expenditures 15-22'!K74</f>
        <v>2940478</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453368</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6421807</v>
      </c>
      <c r="C1152" s="2" t="s">
        <v>569</v>
      </c>
      <c r="D1152" s="2" t="str">
        <f t="shared" si="17"/>
        <v>Error?</v>
      </c>
    </row>
    <row r="1153" spans="1:4" x14ac:dyDescent="0.2">
      <c r="A1153" s="5">
        <v>1092</v>
      </c>
      <c r="B1153" s="1831">
        <f>'Expenditures 15-22'!K115</f>
        <v>-120855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0</v>
      </c>
      <c r="D1237" s="2" t="str">
        <f t="shared" si="18"/>
        <v>Error?</v>
      </c>
    </row>
    <row r="1238" spans="1:4" x14ac:dyDescent="0.2">
      <c r="A1238" s="10">
        <v>1177</v>
      </c>
      <c r="B1238" s="1831"/>
      <c r="D1238" s="2" t="str">
        <f t="shared" si="18"/>
        <v>OK</v>
      </c>
    </row>
    <row r="1239" spans="1:4" x14ac:dyDescent="0.2">
      <c r="A1239" s="5">
        <v>1178</v>
      </c>
      <c r="B1239" s="1831">
        <f>'Expenditures 15-22'!E127</f>
        <v>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0</v>
      </c>
      <c r="C1241" s="2" t="s">
        <v>569</v>
      </c>
      <c r="D1241" s="2" t="str">
        <f t="shared" si="18"/>
        <v>Error?</v>
      </c>
    </row>
    <row r="1242" spans="1:4" x14ac:dyDescent="0.2">
      <c r="A1242" s="5">
        <v>1181</v>
      </c>
      <c r="B1242" s="1831">
        <f>'Expenditures 15-22'!E151</f>
        <v>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0</v>
      </c>
      <c r="D1245" s="2" t="str">
        <f t="shared" si="18"/>
        <v>Error?</v>
      </c>
    </row>
    <row r="1246" spans="1:4" x14ac:dyDescent="0.2">
      <c r="A1246" s="10">
        <v>1185</v>
      </c>
      <c r="B1246" s="1831"/>
      <c r="D1246" s="2" t="str">
        <f t="shared" si="18"/>
        <v>OK</v>
      </c>
    </row>
    <row r="1247" spans="1:4" x14ac:dyDescent="0.2">
      <c r="A1247" s="5">
        <v>1186</v>
      </c>
      <c r="B1247" s="1831">
        <f>'Expenditures 15-22'!F127</f>
        <v>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0</v>
      </c>
      <c r="C1249" s="2" t="s">
        <v>569</v>
      </c>
      <c r="D1249" s="2" t="str">
        <f t="shared" si="18"/>
        <v>Error?</v>
      </c>
    </row>
    <row r="1250" spans="1:4" x14ac:dyDescent="0.2">
      <c r="A1250" s="5">
        <v>1189</v>
      </c>
      <c r="B1250" s="1831">
        <f>'Expenditures 15-22'!F151</f>
        <v>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0</v>
      </c>
      <c r="C1288" s="2" t="s">
        <v>569</v>
      </c>
      <c r="D1288" s="2" t="str">
        <f t="shared" si="19"/>
        <v>Error?</v>
      </c>
    </row>
    <row r="1289" spans="1:4" x14ac:dyDescent="0.2">
      <c r="A1289" s="5">
        <v>1228</v>
      </c>
      <c r="B1289" s="1831">
        <f>'Expenditures 15-22'!K152</f>
        <v>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0</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0</v>
      </c>
      <c r="C1388" s="2" t="s">
        <v>569</v>
      </c>
      <c r="D1388" s="2" t="str">
        <f t="shared" si="20"/>
        <v>Error?</v>
      </c>
    </row>
    <row r="1389" spans="1:4" x14ac:dyDescent="0.2">
      <c r="A1389" s="5">
        <v>1328</v>
      </c>
      <c r="B1389" s="1831">
        <f>'Expenditures 15-22'!K211</f>
        <v>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0</v>
      </c>
      <c r="D1423" s="2" t="str">
        <f t="shared" si="21"/>
        <v>Error?</v>
      </c>
    </row>
    <row r="1424" spans="1:4" x14ac:dyDescent="0.2">
      <c r="A1424" s="5">
        <v>1363</v>
      </c>
      <c r="B1424" s="1831">
        <f>'Expenditures 15-22'!D257</f>
        <v>0</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0</v>
      </c>
      <c r="C1487" s="2" t="s">
        <v>569</v>
      </c>
      <c r="D1487" s="2" t="str">
        <f t="shared" si="22"/>
        <v>Error?</v>
      </c>
    </row>
    <row r="1488" spans="1:4" x14ac:dyDescent="0.2">
      <c r="A1488" s="5">
        <v>1427</v>
      </c>
      <c r="B1488" s="1831">
        <f>'Expenditures 15-22'!K257</f>
        <v>0</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0</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0</v>
      </c>
      <c r="C1517" s="2" t="s">
        <v>569</v>
      </c>
      <c r="D1517" s="2" t="str">
        <f t="shared" si="22"/>
        <v>Error?</v>
      </c>
    </row>
    <row r="1518" spans="1:4" x14ac:dyDescent="0.2">
      <c r="A1518" s="5">
        <v>1457</v>
      </c>
      <c r="B1518" s="1831">
        <f>'Expenditures 15-22'!K296</f>
        <v>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125539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4684</v>
      </c>
      <c r="C1630" s="2" t="s">
        <v>569</v>
      </c>
      <c r="D1630" s="2" t="str">
        <f t="shared" si="24"/>
        <v>Error?</v>
      </c>
    </row>
    <row r="1631" spans="1:4" x14ac:dyDescent="0.2">
      <c r="A1631" s="5">
        <v>1570</v>
      </c>
      <c r="B1631" s="1831">
        <f>'Acct Summary 7-8'!D79</f>
        <v>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0</v>
      </c>
      <c r="C1672" s="2" t="s">
        <v>569</v>
      </c>
      <c r="D1672" s="2" t="str">
        <f t="shared" si="25"/>
        <v>Error?</v>
      </c>
    </row>
    <row r="1673" spans="1:4" x14ac:dyDescent="0.2">
      <c r="A1673" s="5">
        <v>1612</v>
      </c>
      <c r="B1673" s="1831">
        <f>'Acct Summary 7-8'!G79</f>
        <v>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0</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0</v>
      </c>
      <c r="C1744" s="2" t="s">
        <v>569</v>
      </c>
      <c r="D1744" s="2" t="str">
        <f t="shared" si="26"/>
        <v>Error?</v>
      </c>
    </row>
    <row r="1745" spans="1:5" x14ac:dyDescent="0.2">
      <c r="A1745" s="5">
        <v>1684</v>
      </c>
      <c r="B1745" s="1831">
        <f>'Tax Sched 23'!B5</f>
        <v>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0</v>
      </c>
      <c r="C1747" s="2" t="s">
        <v>569</v>
      </c>
      <c r="D1747" s="2" t="str">
        <f t="shared" si="26"/>
        <v>Error?</v>
      </c>
    </row>
    <row r="1748" spans="1:5" x14ac:dyDescent="0.2">
      <c r="A1748" s="5">
        <v>1687</v>
      </c>
      <c r="B1748" s="1831">
        <f>'Tax Sched 23'!B8</f>
        <v>0</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0</v>
      </c>
      <c r="C1759" s="2" t="s">
        <v>569</v>
      </c>
      <c r="D1759" s="2" t="str">
        <f t="shared" si="26"/>
        <v>Error?</v>
      </c>
    </row>
    <row r="1760" spans="1:5" x14ac:dyDescent="0.2">
      <c r="A1760" s="5">
        <v>1699</v>
      </c>
      <c r="B1760" s="1831">
        <f>'Tax Sched 23'!D4</f>
        <v>0</v>
      </c>
      <c r="C1760" s="2" t="s">
        <v>569</v>
      </c>
      <c r="D1760" s="2" t="str">
        <f t="shared" si="26"/>
        <v>Error?</v>
      </c>
    </row>
    <row r="1761" spans="1:7" x14ac:dyDescent="0.2">
      <c r="A1761" s="5">
        <v>1700</v>
      </c>
      <c r="B1761" s="1831">
        <f>'Tax Sched 23'!D5</f>
        <v>0</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0</v>
      </c>
      <c r="C1763" s="2" t="s">
        <v>569</v>
      </c>
      <c r="D1763" s="2" t="str">
        <f t="shared" si="26"/>
        <v>Error?</v>
      </c>
    </row>
    <row r="1764" spans="1:7" x14ac:dyDescent="0.2">
      <c r="A1764" s="5">
        <v>1703</v>
      </c>
      <c r="B1764" s="1831">
        <f>'Tax Sched 23'!D8</f>
        <v>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0</v>
      </c>
      <c r="C1792" s="2" t="s">
        <v>569</v>
      </c>
      <c r="D1792" s="2" t="str">
        <f t="shared" si="27"/>
        <v>Error?</v>
      </c>
    </row>
    <row r="1793" spans="1:4" x14ac:dyDescent="0.2">
      <c r="A1793" s="5">
        <v>1732</v>
      </c>
      <c r="B1793" s="1831">
        <f>'Tax Sched 23'!F5</f>
        <v>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0</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0</v>
      </c>
      <c r="C1807" s="2" t="s">
        <v>569</v>
      </c>
      <c r="D1807" s="2" t="str">
        <f t="shared" si="27"/>
        <v>Error?</v>
      </c>
    </row>
    <row r="1808" spans="1:4" x14ac:dyDescent="0.2">
      <c r="A1808" s="5">
        <v>1747</v>
      </c>
      <c r="B1808" s="1831">
        <f>'Tax Sched 23'!E4</f>
        <v>0</v>
      </c>
      <c r="D1808" s="2" t="str">
        <f t="shared" si="27"/>
        <v>Error?</v>
      </c>
    </row>
    <row r="1809" spans="1:4" x14ac:dyDescent="0.2">
      <c r="A1809" s="5">
        <v>1748</v>
      </c>
      <c r="B1809" s="1831">
        <f>'Tax Sched 23'!E5</f>
        <v>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0</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0</v>
      </c>
      <c r="D2008" s="2" t="str">
        <f t="shared" si="30"/>
        <v>Error?</v>
      </c>
    </row>
    <row r="2009" spans="1:4" x14ac:dyDescent="0.2">
      <c r="A2009" s="5">
        <v>1948</v>
      </c>
      <c r="B2009" s="1831">
        <f>'Cap Outlay Deprec 26'!C8</f>
        <v>0</v>
      </c>
      <c r="D2009" s="2" t="str">
        <f t="shared" si="30"/>
        <v>Error?</v>
      </c>
    </row>
    <row r="2010" spans="1:4" x14ac:dyDescent="0.2">
      <c r="A2010" s="5">
        <v>1949</v>
      </c>
      <c r="B2010" s="1831">
        <f>'Cap Outlay Deprec 26'!C10</f>
        <v>0</v>
      </c>
      <c r="D2010" s="2" t="str">
        <f t="shared" si="30"/>
        <v>Error?</v>
      </c>
    </row>
    <row r="2011" spans="1:4" x14ac:dyDescent="0.2">
      <c r="A2011" s="5">
        <v>1950</v>
      </c>
      <c r="B2011" s="1831">
        <f>'Cap Outlay Deprec 26'!C12</f>
        <v>1063774</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1063774</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98895</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98895</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0</v>
      </c>
      <c r="C2026" s="2" t="s">
        <v>569</v>
      </c>
      <c r="D2026" s="2" t="str">
        <f t="shared" si="30"/>
        <v>Error?</v>
      </c>
    </row>
    <row r="2027" spans="1:4" x14ac:dyDescent="0.2">
      <c r="A2027" s="5">
        <v>1966</v>
      </c>
      <c r="B2027" s="1831">
        <f>'Cap Outlay Deprec 26'!F8</f>
        <v>0</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1162669</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1162669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0</v>
      </c>
      <c r="D2033" s="2" t="str">
        <f t="shared" si="30"/>
        <v>Error?</v>
      </c>
    </row>
    <row r="2034" spans="1:4" x14ac:dyDescent="0.2">
      <c r="A2034" s="5">
        <v>1973</v>
      </c>
      <c r="B2034" s="1831">
        <f>'Cap Outlay Deprec 26'!H10</f>
        <v>0</v>
      </c>
      <c r="D2034" s="2" t="str">
        <f t="shared" si="30"/>
        <v>Error?</v>
      </c>
    </row>
    <row r="2035" spans="1:4" x14ac:dyDescent="0.2">
      <c r="A2035" s="5">
        <v>1974</v>
      </c>
      <c r="B2035" s="1831">
        <f>'Cap Outlay Deprec 26'!H12</f>
        <v>870297</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870297</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0</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44605</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44605</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0</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914902</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914902</v>
      </c>
      <c r="C2055" s="2" t="s">
        <v>569</v>
      </c>
      <c r="D2055" s="2" t="str">
        <f t="shared" si="31"/>
        <v>Error?</v>
      </c>
    </row>
    <row r="2056" spans="1:4" x14ac:dyDescent="0.2">
      <c r="A2056" s="5">
        <v>1995</v>
      </c>
      <c r="B2056" s="1831">
        <f>'Cap Outlay Deprec 26'!L5</f>
        <v>0</v>
      </c>
      <c r="C2056" s="2" t="s">
        <v>569</v>
      </c>
      <c r="D2056" s="2" t="str">
        <f t="shared" si="31"/>
        <v>Error?</v>
      </c>
    </row>
    <row r="2057" spans="1:4" x14ac:dyDescent="0.2">
      <c r="A2057" s="5">
        <v>1996</v>
      </c>
      <c r="B2057" s="1831">
        <f>'Cap Outlay Deprec 26'!L8</f>
        <v>0</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247767</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247767</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209299</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453368</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2832063</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593392</v>
      </c>
      <c r="C2553" s="2" t="s">
        <v>569</v>
      </c>
      <c r="D2553" s="2" t="str">
        <f t="shared" si="38"/>
        <v>Error?</v>
      </c>
    </row>
    <row r="2554" spans="1:4" x14ac:dyDescent="0.2">
      <c r="A2554" s="5">
        <v>2493</v>
      </c>
      <c r="B2554" s="1831">
        <f>'Acct Summary 7-8'!C7</f>
        <v>2796459</v>
      </c>
      <c r="C2554" s="2" t="s">
        <v>569</v>
      </c>
      <c r="D2554" s="2" t="str">
        <f t="shared" si="38"/>
        <v>Error?</v>
      </c>
    </row>
    <row r="2555" spans="1:4" x14ac:dyDescent="0.2">
      <c r="A2555" s="5">
        <v>2494</v>
      </c>
      <c r="B2555" s="1831">
        <f>'Acct Summary 7-8'!C8</f>
        <v>6300952</v>
      </c>
      <c r="C2555" s="2" t="s">
        <v>569</v>
      </c>
      <c r="D2555" s="2" t="str">
        <f t="shared" si="38"/>
        <v>Error?</v>
      </c>
    </row>
    <row r="2556" spans="1:4" x14ac:dyDescent="0.2">
      <c r="A2556" s="5">
        <v>2495</v>
      </c>
      <c r="B2556" s="1831">
        <f>'Acct Summary 7-8'!C12</f>
        <v>3027961</v>
      </c>
      <c r="C2556" s="2" t="s">
        <v>569</v>
      </c>
      <c r="D2556" s="2" t="str">
        <f t="shared" si="38"/>
        <v>Error?</v>
      </c>
    </row>
    <row r="2557" spans="1:4" x14ac:dyDescent="0.2">
      <c r="A2557" s="5">
        <v>2496</v>
      </c>
      <c r="B2557" s="1831">
        <f>'Acct Summary 7-8'!C13</f>
        <v>2940478</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453368</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6421807</v>
      </c>
      <c r="C2561" s="2" t="s">
        <v>569</v>
      </c>
      <c r="D2561" s="2" t="str">
        <f t="shared" si="39"/>
        <v>Error?</v>
      </c>
    </row>
    <row r="2562" spans="1:4" x14ac:dyDescent="0.2">
      <c r="A2562" s="5">
        <v>2501</v>
      </c>
      <c r="B2562" s="1831">
        <f>'Acct Summary 7-8'!C20</f>
        <v>-120855</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0</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0</v>
      </c>
      <c r="C2568" s="2" t="s">
        <v>569</v>
      </c>
      <c r="D2568" s="2" t="str">
        <f t="shared" si="39"/>
        <v>Error?</v>
      </c>
    </row>
    <row r="2569" spans="1:4" x14ac:dyDescent="0.2">
      <c r="A2569" s="5">
        <v>2508</v>
      </c>
      <c r="B2569" s="1831">
        <f>'Acct Summary 7-8'!D13</f>
        <v>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0</v>
      </c>
      <c r="C2573" s="2" t="s">
        <v>569</v>
      </c>
      <c r="D2573" s="2" t="str">
        <f t="shared" si="39"/>
        <v>Error?</v>
      </c>
    </row>
    <row r="2574" spans="1:4" x14ac:dyDescent="0.2">
      <c r="A2574" s="5">
        <v>2513</v>
      </c>
      <c r="B2574" s="1831">
        <f>'Acct Summary 7-8'!D20</f>
        <v>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0</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0</v>
      </c>
      <c r="C2595" s="2" t="s">
        <v>569</v>
      </c>
      <c r="D2595" s="2" t="str">
        <f t="shared" si="39"/>
        <v>Error?</v>
      </c>
    </row>
    <row r="2596" spans="1:4" x14ac:dyDescent="0.2">
      <c r="A2596" s="5">
        <v>2535</v>
      </c>
      <c r="B2596" s="1831">
        <f>'Acct Summary 7-8'!F13</f>
        <v>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0</v>
      </c>
      <c r="C2600" s="2" t="s">
        <v>569</v>
      </c>
      <c r="D2600" s="2" t="str">
        <f t="shared" si="39"/>
        <v>Error?</v>
      </c>
    </row>
    <row r="2601" spans="1:4" x14ac:dyDescent="0.2">
      <c r="A2601" s="5">
        <v>2540</v>
      </c>
      <c r="B2601" s="1831">
        <f>'Acct Summary 7-8'!F20</f>
        <v>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0</v>
      </c>
      <c r="C2606" s="2" t="s">
        <v>569</v>
      </c>
      <c r="D2606" s="2" t="str">
        <f t="shared" si="39"/>
        <v>Error?</v>
      </c>
    </row>
    <row r="2607" spans="1:4" x14ac:dyDescent="0.2">
      <c r="A2607" s="5">
        <v>2546</v>
      </c>
      <c r="B2607" s="1831">
        <f>'Acct Summary 7-8'!G12</f>
        <v>0</v>
      </c>
      <c r="C2607" s="2" t="s">
        <v>569</v>
      </c>
      <c r="D2607" s="2" t="str">
        <f t="shared" si="39"/>
        <v>Error?</v>
      </c>
    </row>
    <row r="2608" spans="1:4" x14ac:dyDescent="0.2">
      <c r="A2608" s="5">
        <v>2547</v>
      </c>
      <c r="B2608" s="1831">
        <f>'Acct Summary 7-8'!G13</f>
        <v>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0</v>
      </c>
      <c r="C2612" s="2" t="s">
        <v>569</v>
      </c>
      <c r="D2612" s="2" t="str">
        <f t="shared" si="39"/>
        <v>Error?</v>
      </c>
    </row>
    <row r="2613" spans="1:4" x14ac:dyDescent="0.2">
      <c r="A2613" s="5">
        <v>2552</v>
      </c>
      <c r="B2613" s="1831">
        <f>'Acct Summary 7-8'!G20</f>
        <v>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14089</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14089</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1993</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244069</v>
      </c>
      <c r="C2789" s="2" t="s">
        <v>569</v>
      </c>
      <c r="D2789" s="2" t="str">
        <f t="shared" si="42"/>
        <v>Error?</v>
      </c>
    </row>
    <row r="2790" spans="1:4" x14ac:dyDescent="0.2">
      <c r="A2790" s="5">
        <v>2729</v>
      </c>
      <c r="B2790" s="1831">
        <f>'Expenditures 15-22'!E102</f>
        <v>244069</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t="str">
        <f>'Assets-Liab 5-6'!L5</f>
        <v>xxx</v>
      </c>
      <c r="D2892" s="2" t="e">
        <f t="shared" si="44"/>
        <v>#VALUE!</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4873</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0</v>
      </c>
      <c r="D2914" s="2" t="str">
        <f t="shared" si="44"/>
        <v>Error?</v>
      </c>
    </row>
    <row r="2915" spans="1:4" x14ac:dyDescent="0.2">
      <c r="A2915" s="10">
        <v>2854</v>
      </c>
      <c r="B2915" s="1831"/>
      <c r="D2915" s="2" t="str">
        <f t="shared" si="44"/>
        <v>OK</v>
      </c>
    </row>
    <row r="2916" spans="1:4" x14ac:dyDescent="0.2">
      <c r="A2916" s="5">
        <v>2855</v>
      </c>
      <c r="B2916" s="1831">
        <f>'Assets-Liab 5-6'!L34</f>
        <v>0</v>
      </c>
      <c r="C2916" s="2" t="s">
        <v>569</v>
      </c>
      <c r="D2916" s="2" t="str">
        <f t="shared" si="44"/>
        <v>Error?</v>
      </c>
    </row>
    <row r="2917" spans="1:4" x14ac:dyDescent="0.2">
      <c r="A2917" s="5">
        <v>2856</v>
      </c>
      <c r="B2917" s="1831">
        <f>'Assets-Liab 5-6'!L41</f>
        <v>4873</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244069</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209299</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453368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1993</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4873</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-120855</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2109253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502861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25105</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43670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54535</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2735424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0</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0</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79038</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11617</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4873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1993</v>
      </c>
      <c r="E3521" s="4" t="s">
        <v>134</v>
      </c>
    </row>
    <row r="3522" spans="1:5" x14ac:dyDescent="0.2">
      <c r="A3522" s="10">
        <v>3461</v>
      </c>
      <c r="B3522" s="1831"/>
      <c r="D3522" s="4" t="s">
        <v>1993</v>
      </c>
      <c r="E3522" s="4" t="s">
        <v>134</v>
      </c>
    </row>
    <row r="3523" spans="1:5" x14ac:dyDescent="0.2">
      <c r="A3523" s="10">
        <v>3462</v>
      </c>
      <c r="B3523" s="1831"/>
      <c r="D3523" s="4" t="s">
        <v>1993</v>
      </c>
      <c r="E3523" s="4" t="s">
        <v>134</v>
      </c>
    </row>
    <row r="3524" spans="1:5" x14ac:dyDescent="0.2">
      <c r="A3524" s="10">
        <v>3463</v>
      </c>
      <c r="B3524" s="1831"/>
      <c r="D3524" s="4" t="s">
        <v>1993</v>
      </c>
      <c r="E3524" s="4" t="s">
        <v>134</v>
      </c>
    </row>
    <row r="3525" spans="1:5" x14ac:dyDescent="0.2">
      <c r="A3525" s="10">
        <v>3464</v>
      </c>
      <c r="B3525" s="1831"/>
      <c r="D3525" s="4" t="s">
        <v>1993</v>
      </c>
      <c r="E3525" s="4" t="s">
        <v>134</v>
      </c>
    </row>
    <row r="3526" spans="1:5" x14ac:dyDescent="0.2">
      <c r="A3526" s="10">
        <v>3465</v>
      </c>
      <c r="B3526" s="1831"/>
      <c r="D3526" s="4" t="s">
        <v>1993</v>
      </c>
      <c r="E3526" s="4" t="s">
        <v>134</v>
      </c>
    </row>
    <row r="3527" spans="1:5" x14ac:dyDescent="0.2">
      <c r="A3527" s="10">
        <v>3466</v>
      </c>
      <c r="B3527" s="1831"/>
      <c r="D3527" s="4" t="s">
        <v>1993</v>
      </c>
      <c r="E3527" s="4" t="s">
        <v>134</v>
      </c>
    </row>
    <row r="3528" spans="1:5" x14ac:dyDescent="0.2">
      <c r="A3528" s="10">
        <v>3467</v>
      </c>
      <c r="B3528" s="1831"/>
      <c r="D3528" s="4" t="s">
        <v>1993</v>
      </c>
      <c r="E3528" s="4" t="s">
        <v>134</v>
      </c>
    </row>
    <row r="3529" spans="1:5" x14ac:dyDescent="0.2">
      <c r="A3529" s="10">
        <v>3468</v>
      </c>
      <c r="B3529" s="1831"/>
      <c r="D3529" s="4" t="s">
        <v>1993</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2179540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8480492</v>
      </c>
      <c r="C4122" s="2" t="s">
        <v>569</v>
      </c>
      <c r="D4122" s="2" t="str">
        <f t="shared" si="63"/>
        <v>Error?</v>
      </c>
    </row>
    <row r="4123" spans="1:4" x14ac:dyDescent="0.2">
      <c r="A4123" s="5">
        <v>4062</v>
      </c>
      <c r="B4123" s="1831">
        <f>'Acct Summary 7-8'!D10</f>
        <v>0</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0</v>
      </c>
      <c r="C4125" s="2" t="s">
        <v>569</v>
      </c>
      <c r="D4125" s="2" t="str">
        <f t="shared" si="63"/>
        <v>Error?</v>
      </c>
    </row>
    <row r="4126" spans="1:4" x14ac:dyDescent="0.2">
      <c r="A4126" s="5">
        <v>4065</v>
      </c>
      <c r="B4126" s="1831">
        <f>'Acct Summary 7-8'!G10</f>
        <v>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2179540</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8601347</v>
      </c>
      <c r="C4136" s="2" t="s">
        <v>569</v>
      </c>
      <c r="D4136" s="2" t="str">
        <f t="shared" si="63"/>
        <v>Error?</v>
      </c>
    </row>
    <row r="4137" spans="1:4" x14ac:dyDescent="0.2">
      <c r="A4137" s="5">
        <v>4076</v>
      </c>
      <c r="B4137" s="1831">
        <f>'Acct Summary 7-8'!D19</f>
        <v>0</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0</v>
      </c>
      <c r="C4139" s="2" t="s">
        <v>569</v>
      </c>
      <c r="D4139" s="2" t="str">
        <f t="shared" si="63"/>
        <v>Error?</v>
      </c>
    </row>
    <row r="4140" spans="1:4" x14ac:dyDescent="0.2">
      <c r="A4140" s="5">
        <v>4079</v>
      </c>
      <c r="B4140" s="1831">
        <f>'Acct Summary 7-8'!G19</f>
        <v>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1895</v>
      </c>
    </row>
    <row r="4236" spans="1:5" x14ac:dyDescent="0.2">
      <c r="A4236" s="10">
        <v>4175</v>
      </c>
      <c r="B4236" s="1831"/>
      <c r="D4236" s="2" t="str">
        <f t="shared" si="65"/>
        <v>OK</v>
      </c>
      <c r="E4236" s="4" t="s">
        <v>1895</v>
      </c>
    </row>
    <row r="4237" spans="1:5" x14ac:dyDescent="0.2">
      <c r="A4237" s="10">
        <v>4176</v>
      </c>
      <c r="B4237" s="1831"/>
      <c r="D4237" s="2" t="str">
        <f t="shared" si="65"/>
        <v>OK</v>
      </c>
      <c r="E4237" s="4" t="s">
        <v>1895</v>
      </c>
    </row>
    <row r="4238" spans="1:5" x14ac:dyDescent="0.2">
      <c r="A4238" s="10">
        <v>4177</v>
      </c>
      <c r="B4238" s="1831"/>
      <c r="D4238" s="2" t="str">
        <f t="shared" si="65"/>
        <v>OK</v>
      </c>
      <c r="E4238" s="4" t="s">
        <v>1895</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0</v>
      </c>
      <c r="C4265" s="2" t="s">
        <v>569</v>
      </c>
      <c r="D4265" s="2" t="str">
        <f t="shared" si="65"/>
        <v>Error?</v>
      </c>
      <c r="E4265" s="125"/>
    </row>
    <row r="4266" spans="1:5" x14ac:dyDescent="0.2">
      <c r="A4266" s="12">
        <v>4205</v>
      </c>
      <c r="B4266" s="1831">
        <f>('FP Info 3'!F10)*100000</f>
        <v>0</v>
      </c>
      <c r="C4266" s="2" t="s">
        <v>569</v>
      </c>
      <c r="D4266" s="2" t="str">
        <f t="shared" si="65"/>
        <v>Error?</v>
      </c>
      <c r="E4266" s="125"/>
    </row>
    <row r="4267" spans="1:5" x14ac:dyDescent="0.2">
      <c r="A4267" s="12">
        <v>4206</v>
      </c>
      <c r="B4267" s="1831">
        <f>('FP Info 3'!H10)*100000</f>
        <v>0</v>
      </c>
      <c r="C4267" s="2" t="s">
        <v>569</v>
      </c>
      <c r="D4267" s="2" t="str">
        <f t="shared" si="65"/>
        <v>Error?</v>
      </c>
      <c r="E4267" s="125"/>
    </row>
    <row r="4268" spans="1:5" x14ac:dyDescent="0.2">
      <c r="A4268" s="12">
        <v>4207</v>
      </c>
      <c r="B4268" s="1831">
        <f>('FP Info 3'!J10)*100000</f>
        <v>0</v>
      </c>
      <c r="C4268" s="2" t="s">
        <v>569</v>
      </c>
      <c r="D4268" s="2" t="str">
        <f t="shared" si="65"/>
        <v>Error?</v>
      </c>
    </row>
    <row r="4269" spans="1:5" x14ac:dyDescent="0.2">
      <c r="A4269" s="12">
        <v>4208</v>
      </c>
      <c r="B4269" s="1831">
        <f>'FP Info 3'!J16</f>
        <v>4684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59117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107773</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1895</v>
      </c>
    </row>
    <row r="4400" spans="1:5" x14ac:dyDescent="0.2">
      <c r="A4400" s="10">
        <v>4339</v>
      </c>
      <c r="B4400" s="1831"/>
      <c r="D4400" s="2" t="str">
        <f t="shared" si="67"/>
        <v>OK</v>
      </c>
      <c r="E4400" s="4" t="s">
        <v>1895</v>
      </c>
    </row>
    <row r="4401" spans="1:5" x14ac:dyDescent="0.2">
      <c r="A4401" s="10">
        <v>4340</v>
      </c>
      <c r="B4401" s="1831"/>
      <c r="D4401" s="2" t="str">
        <f t="shared" si="67"/>
        <v>OK</v>
      </c>
      <c r="E4401" s="4" t="s">
        <v>1895</v>
      </c>
    </row>
    <row r="4402" spans="1:5" x14ac:dyDescent="0.2">
      <c r="A4402" s="10">
        <v>4341</v>
      </c>
      <c r="B4402" s="1831"/>
      <c r="D4402" s="2" t="str">
        <f t="shared" si="67"/>
        <v>OK</v>
      </c>
      <c r="E4402" s="4" t="s">
        <v>1895</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0</v>
      </c>
      <c r="D4995" s="2" t="str">
        <f t="shared" si="77"/>
        <v>Error?</v>
      </c>
    </row>
    <row r="4996" spans="1:4" x14ac:dyDescent="0.2">
      <c r="A4996" s="12">
        <v>4935</v>
      </c>
      <c r="B4996" s="1831" t="str">
        <f>'FP Info 3'!H31</f>
        <v>Enter x in a.or b.</v>
      </c>
      <c r="D4996" s="2" t="e">
        <f t="shared" si="77"/>
        <v>#VALUE!</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5123</v>
      </c>
      <c r="D5081" s="2" t="str">
        <f t="shared" si="78"/>
        <v>Error?</v>
      </c>
    </row>
    <row r="5082" spans="1:4" x14ac:dyDescent="0.2">
      <c r="A5082" s="5">
        <v>5021</v>
      </c>
      <c r="B5082" s="1831">
        <f>'Revenues 9-14'!C33</f>
        <v>2819845</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2824968</v>
      </c>
      <c r="C5087" s="2" t="s">
        <v>569</v>
      </c>
      <c r="D5087" s="2" t="str">
        <f t="shared" si="78"/>
        <v>Error?</v>
      </c>
    </row>
    <row r="5088" spans="1:4" x14ac:dyDescent="0.2">
      <c r="A5088" s="5">
        <v>5027</v>
      </c>
      <c r="B5088" s="1831">
        <f>'Revenues 9-14'!C65</f>
        <v>50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4502</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2543</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7045</v>
      </c>
      <c r="C5120" s="2" t="s">
        <v>569</v>
      </c>
      <c r="D5120" s="2" t="str">
        <f t="shared" si="79"/>
        <v>Error?</v>
      </c>
    </row>
    <row r="5121" spans="1:4" x14ac:dyDescent="0.2">
      <c r="A5121" s="5">
        <v>5060</v>
      </c>
      <c r="B5121" s="1831">
        <f>'Revenues 9-14'!C109</f>
        <v>2832063</v>
      </c>
      <c r="C5121" s="2" t="s">
        <v>569</v>
      </c>
      <c r="D5121" s="2" t="str">
        <f t="shared" si="79"/>
        <v>Error?</v>
      </c>
    </row>
    <row r="5122" spans="1:4" x14ac:dyDescent="0.2">
      <c r="A5122" s="5">
        <v>5061</v>
      </c>
      <c r="B5122" s="1831">
        <f>'Revenues 9-14'!C111</f>
        <v>563</v>
      </c>
      <c r="D5122" s="2" t="str">
        <f t="shared" si="79"/>
        <v>Error?</v>
      </c>
    </row>
    <row r="5123" spans="1:4" x14ac:dyDescent="0.2">
      <c r="A5123" s="5">
        <v>5062</v>
      </c>
      <c r="B5123" s="1831">
        <f>'Revenues 9-14'!C112</f>
        <v>78475</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79038</v>
      </c>
      <c r="C5125" s="2" t="s">
        <v>569</v>
      </c>
      <c r="D5125" s="2" t="str">
        <f t="shared" si="79"/>
        <v>Error?</v>
      </c>
    </row>
    <row r="5126" spans="1:4" x14ac:dyDescent="0.2">
      <c r="A5126" s="5">
        <v>5065</v>
      </c>
      <c r="B5126" s="1831">
        <f>'Revenues 9-14'!C117</f>
        <v>593392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593392</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1895</v>
      </c>
    </row>
    <row r="5200" spans="1:5" x14ac:dyDescent="0.2">
      <c r="A5200" s="10">
        <v>5139</v>
      </c>
      <c r="B5200" s="1831"/>
      <c r="D5200" s="2" t="str">
        <f t="shared" si="80"/>
        <v>OK</v>
      </c>
      <c r="E5200" s="4" t="s">
        <v>1895</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0</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593392</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0</v>
      </c>
      <c r="C5246" s="2" t="s">
        <v>569</v>
      </c>
      <c r="D5246" s="2" t="str">
        <f t="shared" si="80"/>
        <v>Error?</v>
      </c>
    </row>
    <row r="5247" spans="1:4" x14ac:dyDescent="0.2">
      <c r="A5247" s="5">
        <v>5186</v>
      </c>
      <c r="B5247" s="1831">
        <f>'Revenues 9-14'!C200</f>
        <v>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1895</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65148</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2564421</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2629569</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1895</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2796459</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2796459</v>
      </c>
      <c r="C5326" s="2" t="s">
        <v>569</v>
      </c>
      <c r="D5326" s="2" t="str">
        <f t="shared" si="82"/>
        <v>Error?</v>
      </c>
    </row>
    <row r="5327" spans="1:5" x14ac:dyDescent="0.2">
      <c r="A5327" s="5">
        <v>5266</v>
      </c>
      <c r="B5327" s="1831">
        <f>'Revenues 9-14'!C268</f>
        <v>6300952</v>
      </c>
      <c r="C5327" s="2" t="s">
        <v>569</v>
      </c>
      <c r="D5327" s="2" t="str">
        <f t="shared" si="82"/>
        <v>Error?</v>
      </c>
    </row>
    <row r="5328" spans="1:5" x14ac:dyDescent="0.2">
      <c r="A5328" s="5">
        <v>5267</v>
      </c>
      <c r="B5328" s="1831">
        <f>'Revenues 9-14'!D5</f>
        <v>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0</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1895</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0</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0</v>
      </c>
      <c r="D5617" s="2" t="str">
        <f t="shared" si="86"/>
        <v>Error?</v>
      </c>
    </row>
    <row r="5618" spans="1:5" x14ac:dyDescent="0.2">
      <c r="A5618" s="5">
        <v>5557</v>
      </c>
      <c r="B5618" s="1831">
        <f>'Revenues 9-14'!F155</f>
        <v>0</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1895</v>
      </c>
    </row>
    <row r="5631" spans="1:5" x14ac:dyDescent="0.2">
      <c r="A5631" s="10">
        <v>5570</v>
      </c>
      <c r="B5631" s="1831"/>
      <c r="D5631" s="2" t="str">
        <f t="shared" ref="D5631:D5694" si="87">IF(ISBLANK(B5631),"OK",IF(A5631-B5631=0,"OK","Error?"))</f>
        <v>OK</v>
      </c>
      <c r="E5631" s="4" t="s">
        <v>1895</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0</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0</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1895</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1895</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0</v>
      </c>
      <c r="C5720" s="2" t="s">
        <v>569</v>
      </c>
      <c r="D5720" s="2" t="str">
        <f t="shared" si="88"/>
        <v>Error?</v>
      </c>
    </row>
    <row r="5721" spans="1:4" x14ac:dyDescent="0.2">
      <c r="A5721" s="5">
        <v>5660</v>
      </c>
      <c r="B5721" s="1831">
        <f>'Revenues 9-14'!G5</f>
        <v>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1895</v>
      </c>
    </row>
    <row r="5768" spans="1:5" x14ac:dyDescent="0.2">
      <c r="A5768" s="10">
        <v>5707</v>
      </c>
      <c r="B5768" s="1831"/>
      <c r="D5768" s="2" t="str">
        <f t="shared" si="89"/>
        <v>OK</v>
      </c>
      <c r="E5768" s="4" t="s">
        <v>1895</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1895</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1895</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2086</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0</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-120855</v>
      </c>
      <c r="D6267" s="2" t="str">
        <f t="shared" si="96"/>
        <v>Error?</v>
      </c>
      <c r="E6267" s="2" t="s">
        <v>189</v>
      </c>
    </row>
    <row r="6268" spans="1:5" x14ac:dyDescent="0.2">
      <c r="A6268">
        <v>6207</v>
      </c>
      <c r="B6268" s="1831">
        <f>'Acct Summary 7-8'!D82</f>
        <v>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0</v>
      </c>
      <c r="D6270" s="2" t="str">
        <f t="shared" si="96"/>
        <v>Error?</v>
      </c>
      <c r="E6270" s="2" t="s">
        <v>189</v>
      </c>
    </row>
    <row r="6271" spans="1:5" x14ac:dyDescent="0.2">
      <c r="A6271">
        <v>6210</v>
      </c>
      <c r="B6271" s="1831">
        <f>'Acct Summary 7-8'!G82</f>
        <v>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-25.801665243381724</v>
      </c>
      <c r="D6276" s="2" t="str">
        <f t="shared" si="97"/>
        <v>Error?</v>
      </c>
      <c r="E6276" s="2" t="s">
        <v>189</v>
      </c>
    </row>
    <row r="6277" spans="1:5" x14ac:dyDescent="0.2">
      <c r="A6277">
        <v>6216</v>
      </c>
      <c r="B6277" s="1831" t="e">
        <f>'Acct Summary 7-8'!D83</f>
        <v>#DIV/0!</v>
      </c>
      <c r="D6277" s="2" t="e">
        <f t="shared" si="97"/>
        <v>#DIV/0!</v>
      </c>
      <c r="E6277" s="2" t="s">
        <v>189</v>
      </c>
    </row>
    <row r="6278" spans="1:5" x14ac:dyDescent="0.2">
      <c r="A6278">
        <v>6217</v>
      </c>
      <c r="B6278" s="1831" t="e">
        <f>'Acct Summary 7-8'!E83</f>
        <v>#DIV/0!</v>
      </c>
      <c r="D6278" s="2" t="e">
        <f t="shared" si="97"/>
        <v>#DIV/0!</v>
      </c>
      <c r="E6278" s="2" t="s">
        <v>189</v>
      </c>
    </row>
    <row r="6279" spans="1:5" x14ac:dyDescent="0.2">
      <c r="A6279">
        <v>6218</v>
      </c>
      <c r="B6279" s="1831" t="e">
        <f>'Acct Summary 7-8'!F83</f>
        <v>#DIV/0!</v>
      </c>
      <c r="D6279" s="2" t="e">
        <f t="shared" si="97"/>
        <v>#DIV/0!</v>
      </c>
      <c r="E6279" s="2" t="s">
        <v>189</v>
      </c>
    </row>
    <row r="6280" spans="1:5" x14ac:dyDescent="0.2">
      <c r="A6280">
        <v>6219</v>
      </c>
      <c r="B6280" s="1831" t="e">
        <f>'Acct Summary 7-8'!G83</f>
        <v>#DIV/0!</v>
      </c>
      <c r="D6280" s="2" t="e">
        <f t="shared" si="97"/>
        <v>#DIV/0!</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1894</v>
      </c>
    </row>
    <row r="6383" spans="1:6" x14ac:dyDescent="0.2">
      <c r="A6383" s="126">
        <v>6322</v>
      </c>
      <c r="B6383" s="1831"/>
      <c r="D6383" s="2" t="str">
        <f t="shared" si="98"/>
        <v>OK</v>
      </c>
      <c r="E6383" s="2" t="s">
        <v>189</v>
      </c>
      <c r="F6383" s="1" t="s">
        <v>1894</v>
      </c>
    </row>
    <row r="6384" spans="1:6" x14ac:dyDescent="0.2">
      <c r="A6384" s="126">
        <v>6323</v>
      </c>
      <c r="B6384" s="1831"/>
      <c r="D6384" s="2" t="str">
        <f t="shared" si="98"/>
        <v>OK</v>
      </c>
      <c r="E6384" s="2" t="s">
        <v>189</v>
      </c>
      <c r="F6384" s="1" t="s">
        <v>1894</v>
      </c>
    </row>
    <row r="6385" spans="1:6" x14ac:dyDescent="0.2">
      <c r="A6385" s="126">
        <v>6324</v>
      </c>
      <c r="B6385" s="1831"/>
      <c r="D6385" s="2" t="str">
        <f t="shared" si="98"/>
        <v>OK</v>
      </c>
      <c r="E6385" s="2" t="s">
        <v>189</v>
      </c>
      <c r="F6385" s="1" t="s">
        <v>1894</v>
      </c>
    </row>
    <row r="6386" spans="1:6" x14ac:dyDescent="0.2">
      <c r="A6386" s="126">
        <v>6325</v>
      </c>
      <c r="B6386" s="1831"/>
      <c r="D6386" s="2" t="str">
        <f t="shared" si="98"/>
        <v>OK</v>
      </c>
      <c r="E6386" s="2" t="s">
        <v>189</v>
      </c>
      <c r="F6386" s="1" t="s">
        <v>1894</v>
      </c>
    </row>
    <row r="6387" spans="1:6" x14ac:dyDescent="0.2">
      <c r="A6387" s="126">
        <v>6326</v>
      </c>
      <c r="B6387" s="1831"/>
      <c r="D6387" s="2" t="str">
        <f t="shared" si="98"/>
        <v>OK</v>
      </c>
      <c r="E6387" s="2" t="s">
        <v>189</v>
      </c>
      <c r="F6387" s="1" t="s">
        <v>1894</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1894</v>
      </c>
    </row>
    <row r="6411" spans="1:6" x14ac:dyDescent="0.2">
      <c r="A6411" s="126">
        <v>6350</v>
      </c>
      <c r="B6411" s="1831"/>
      <c r="D6411" s="2" t="str">
        <f t="shared" si="99"/>
        <v>OK</v>
      </c>
      <c r="E6411" s="2" t="s">
        <v>189</v>
      </c>
      <c r="F6411" s="1" t="s">
        <v>1894</v>
      </c>
    </row>
    <row r="6412" spans="1:6" x14ac:dyDescent="0.2">
      <c r="A6412" s="126">
        <v>6351</v>
      </c>
      <c r="B6412" s="1831"/>
      <c r="D6412" s="2" t="str">
        <f t="shared" si="99"/>
        <v>OK</v>
      </c>
      <c r="E6412" s="2" t="s">
        <v>189</v>
      </c>
      <c r="F6412" s="1" t="s">
        <v>1894</v>
      </c>
    </row>
    <row r="6413" spans="1:6" x14ac:dyDescent="0.2">
      <c r="A6413" s="126">
        <v>6352</v>
      </c>
      <c r="B6413" s="1831"/>
      <c r="D6413" s="2" t="str">
        <f t="shared" si="99"/>
        <v>OK</v>
      </c>
      <c r="E6413" s="2" t="s">
        <v>189</v>
      </c>
      <c r="F6413" s="1" t="s">
        <v>1894</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1990</v>
      </c>
    </row>
    <row r="6417" spans="1:5" x14ac:dyDescent="0.2">
      <c r="A6417" s="126">
        <v>6356</v>
      </c>
      <c r="B6417" s="1831"/>
      <c r="D6417" s="2" t="str">
        <f t="shared" si="99"/>
        <v>OK</v>
      </c>
      <c r="E6417" s="4" t="s">
        <v>1990</v>
      </c>
    </row>
    <row r="6418" spans="1:5" x14ac:dyDescent="0.2">
      <c r="A6418" s="126">
        <v>6357</v>
      </c>
      <c r="B6418" s="1831"/>
      <c r="D6418" s="2" t="str">
        <f t="shared" si="99"/>
        <v>OK</v>
      </c>
      <c r="E6418" s="4" t="s">
        <v>1990</v>
      </c>
    </row>
    <row r="6419" spans="1:5" x14ac:dyDescent="0.2">
      <c r="A6419" s="126">
        <v>6358</v>
      </c>
      <c r="B6419" s="1831"/>
      <c r="D6419" s="2" t="str">
        <f t="shared" si="99"/>
        <v>OK</v>
      </c>
      <c r="E6419" s="4" t="s">
        <v>1990</v>
      </c>
    </row>
    <row r="6420" spans="1:5" x14ac:dyDescent="0.2">
      <c r="A6420" s="126">
        <v>6359</v>
      </c>
      <c r="B6420" s="1831"/>
      <c r="D6420" s="2" t="str">
        <f t="shared" si="99"/>
        <v>OK</v>
      </c>
      <c r="E6420" s="4" t="s">
        <v>1990</v>
      </c>
    </row>
    <row r="6421" spans="1:5" x14ac:dyDescent="0.2">
      <c r="A6421" s="126">
        <v>6360</v>
      </c>
      <c r="B6421" s="1831"/>
      <c r="D6421" s="2" t="str">
        <f t="shared" si="99"/>
        <v>OK</v>
      </c>
      <c r="E6421" s="4" t="s">
        <v>1990</v>
      </c>
    </row>
    <row r="6422" spans="1:5" x14ac:dyDescent="0.2">
      <c r="A6422" s="126">
        <v>6361</v>
      </c>
      <c r="B6422" s="1831"/>
      <c r="D6422" s="2" t="str">
        <f t="shared" si="99"/>
        <v>OK</v>
      </c>
      <c r="E6422" s="4" t="s">
        <v>1990</v>
      </c>
    </row>
    <row r="6423" spans="1:5" x14ac:dyDescent="0.2">
      <c r="A6423" s="126">
        <v>6362</v>
      </c>
      <c r="B6423" s="1831"/>
      <c r="D6423" s="2" t="str">
        <f t="shared" si="99"/>
        <v>OK</v>
      </c>
      <c r="E6423" s="4" t="s">
        <v>1990</v>
      </c>
    </row>
    <row r="6424" spans="1:5" x14ac:dyDescent="0.2">
      <c r="A6424" s="126">
        <v>6363</v>
      </c>
      <c r="B6424" s="1831"/>
      <c r="D6424" s="2" t="str">
        <f t="shared" si="99"/>
        <v>OK</v>
      </c>
      <c r="E6424" s="4" t="s">
        <v>1990</v>
      </c>
    </row>
    <row r="6425" spans="1:5" x14ac:dyDescent="0.2">
      <c r="A6425" s="126">
        <v>6364</v>
      </c>
      <c r="B6425" s="1831"/>
      <c r="D6425" s="2" t="str">
        <f t="shared" si="99"/>
        <v>OK</v>
      </c>
      <c r="E6425" s="4" t="s">
        <v>1990</v>
      </c>
    </row>
    <row r="6426" spans="1:5" x14ac:dyDescent="0.2">
      <c r="A6426" s="126">
        <v>6365</v>
      </c>
      <c r="B6426" s="1831"/>
      <c r="D6426" s="2" t="str">
        <f t="shared" si="99"/>
        <v>OK</v>
      </c>
      <c r="E6426" s="4" t="s">
        <v>1990</v>
      </c>
    </row>
    <row r="6427" spans="1:5" x14ac:dyDescent="0.2">
      <c r="A6427" s="126">
        <v>6366</v>
      </c>
      <c r="B6427" s="1831"/>
      <c r="D6427" s="2" t="str">
        <f t="shared" si="99"/>
        <v>OK</v>
      </c>
      <c r="E6427" s="4" t="s">
        <v>1990</v>
      </c>
    </row>
    <row r="6428" spans="1:5" x14ac:dyDescent="0.2">
      <c r="A6428" s="126">
        <v>6367</v>
      </c>
      <c r="B6428" s="1831"/>
      <c r="D6428" s="2" t="str">
        <f t="shared" si="99"/>
        <v>OK</v>
      </c>
      <c r="E6428" s="4" t="s">
        <v>1990</v>
      </c>
    </row>
    <row r="6429" spans="1:5" x14ac:dyDescent="0.2">
      <c r="A6429" s="126">
        <v>6368</v>
      </c>
      <c r="B6429" s="1831"/>
      <c r="D6429" s="2" t="str">
        <f t="shared" si="99"/>
        <v>OK</v>
      </c>
      <c r="E6429" s="4" t="s">
        <v>1990</v>
      </c>
    </row>
    <row r="6430" spans="1:5" x14ac:dyDescent="0.2">
      <c r="A6430" s="126">
        <v>6369</v>
      </c>
      <c r="B6430" s="1831"/>
      <c r="D6430" s="2" t="str">
        <f t="shared" si="99"/>
        <v>OK</v>
      </c>
      <c r="E6430" s="4" t="s">
        <v>1990</v>
      </c>
    </row>
    <row r="6431" spans="1:5" x14ac:dyDescent="0.2">
      <c r="A6431" s="126">
        <v>6370</v>
      </c>
      <c r="B6431" s="1831"/>
      <c r="D6431" s="2" t="str">
        <f t="shared" si="99"/>
        <v>OK</v>
      </c>
      <c r="E6431" s="4" t="s">
        <v>1990</v>
      </c>
    </row>
    <row r="6432" spans="1:5" x14ac:dyDescent="0.2">
      <c r="A6432" s="126">
        <v>6371</v>
      </c>
      <c r="B6432" s="1831"/>
      <c r="D6432" s="2" t="str">
        <f t="shared" si="99"/>
        <v>OK</v>
      </c>
      <c r="E6432" s="4" t="s">
        <v>1990</v>
      </c>
    </row>
    <row r="6433" spans="1:5" x14ac:dyDescent="0.2">
      <c r="A6433" s="126">
        <v>6372</v>
      </c>
      <c r="B6433" s="1831"/>
      <c r="D6433" s="2" t="str">
        <f t="shared" si="99"/>
        <v>OK</v>
      </c>
      <c r="E6433" s="4" t="s">
        <v>1990</v>
      </c>
    </row>
    <row r="6434" spans="1:5" x14ac:dyDescent="0.2">
      <c r="A6434" s="126">
        <v>6373</v>
      </c>
      <c r="B6434" s="1831"/>
      <c r="D6434" s="2" t="str">
        <f t="shared" si="99"/>
        <v>OK</v>
      </c>
      <c r="E6434" s="4" t="s">
        <v>1990</v>
      </c>
    </row>
    <row r="6435" spans="1:5" x14ac:dyDescent="0.2">
      <c r="A6435" s="126">
        <v>6374</v>
      </c>
      <c r="B6435" s="1831"/>
      <c r="D6435" s="2" t="str">
        <f t="shared" si="99"/>
        <v>OK</v>
      </c>
      <c r="E6435" s="4" t="s">
        <v>1990</v>
      </c>
    </row>
    <row r="6436" spans="1:5" x14ac:dyDescent="0.2">
      <c r="A6436" s="126">
        <v>6375</v>
      </c>
      <c r="B6436" s="1831"/>
      <c r="D6436" s="2" t="str">
        <f t="shared" si="99"/>
        <v>OK</v>
      </c>
      <c r="E6436" s="4" t="s">
        <v>1990</v>
      </c>
    </row>
    <row r="6437" spans="1:5" x14ac:dyDescent="0.2">
      <c r="A6437" s="126">
        <v>6376</v>
      </c>
      <c r="B6437" s="1831"/>
      <c r="D6437" s="2" t="str">
        <f t="shared" si="99"/>
        <v>OK</v>
      </c>
      <c r="E6437" s="4" t="s">
        <v>1990</v>
      </c>
    </row>
    <row r="6438" spans="1:5" x14ac:dyDescent="0.2">
      <c r="A6438" s="126">
        <v>6377</v>
      </c>
      <c r="B6438" s="1831"/>
      <c r="D6438" s="2" t="str">
        <f t="shared" si="99"/>
        <v>OK</v>
      </c>
      <c r="E6438" s="4" t="s">
        <v>1990</v>
      </c>
    </row>
    <row r="6439" spans="1:5" x14ac:dyDescent="0.2">
      <c r="A6439" s="126">
        <v>6378</v>
      </c>
      <c r="B6439" s="1831"/>
      <c r="D6439" s="2" t="str">
        <f t="shared" si="99"/>
        <v>OK</v>
      </c>
      <c r="E6439" s="4" t="s">
        <v>1990</v>
      </c>
    </row>
    <row r="6440" spans="1:5" x14ac:dyDescent="0.2">
      <c r="A6440" s="126">
        <v>6379</v>
      </c>
      <c r="B6440" s="1831"/>
      <c r="D6440" s="2" t="str">
        <f t="shared" si="99"/>
        <v>OK</v>
      </c>
      <c r="E6440" s="4" t="s">
        <v>1990</v>
      </c>
    </row>
    <row r="6441" spans="1:5" x14ac:dyDescent="0.2">
      <c r="A6441" s="126">
        <v>6380</v>
      </c>
      <c r="B6441" s="1831"/>
      <c r="D6441" s="2" t="str">
        <f t="shared" si="99"/>
        <v>OK</v>
      </c>
      <c r="E6441" s="4" t="s">
        <v>1990</v>
      </c>
    </row>
    <row r="6442" spans="1:5" x14ac:dyDescent="0.2">
      <c r="A6442" s="126">
        <v>6381</v>
      </c>
      <c r="B6442" s="1831"/>
      <c r="D6442" s="2" t="str">
        <f t="shared" si="99"/>
        <v>OK</v>
      </c>
      <c r="E6442" s="4" t="s">
        <v>1990</v>
      </c>
    </row>
    <row r="6443" spans="1:5" x14ac:dyDescent="0.2">
      <c r="A6443" s="126">
        <v>6382</v>
      </c>
      <c r="B6443" s="1831"/>
      <c r="D6443" s="2" t="str">
        <f t="shared" si="99"/>
        <v>OK</v>
      </c>
      <c r="E6443" s="4" t="s">
        <v>1990</v>
      </c>
    </row>
    <row r="6444" spans="1:5" x14ac:dyDescent="0.2">
      <c r="A6444" s="126">
        <v>6383</v>
      </c>
      <c r="B6444" s="1831"/>
      <c r="D6444" s="2" t="str">
        <f t="shared" si="99"/>
        <v>OK</v>
      </c>
      <c r="E6444" s="4" t="s">
        <v>1990</v>
      </c>
    </row>
    <row r="6445" spans="1:5" x14ac:dyDescent="0.2">
      <c r="A6445" s="126">
        <v>6384</v>
      </c>
      <c r="B6445" s="1831"/>
      <c r="D6445" s="2" t="str">
        <f t="shared" si="99"/>
        <v>OK</v>
      </c>
      <c r="E6445" s="4" t="s">
        <v>1990</v>
      </c>
    </row>
    <row r="6446" spans="1:5" x14ac:dyDescent="0.2">
      <c r="A6446" s="126">
        <v>6385</v>
      </c>
      <c r="B6446" s="1831"/>
      <c r="D6446" s="2" t="str">
        <f t="shared" si="99"/>
        <v>OK</v>
      </c>
      <c r="E6446" s="4" t="s">
        <v>1990</v>
      </c>
    </row>
    <row r="6447" spans="1:5" x14ac:dyDescent="0.2">
      <c r="A6447" s="126">
        <v>6386</v>
      </c>
      <c r="B6447" s="1831"/>
      <c r="D6447" s="2" t="str">
        <f t="shared" si="99"/>
        <v>OK</v>
      </c>
      <c r="E6447" s="4" t="s">
        <v>1990</v>
      </c>
    </row>
    <row r="6448" spans="1:5" x14ac:dyDescent="0.2">
      <c r="A6448" s="126">
        <v>6387</v>
      </c>
      <c r="B6448" s="1831"/>
      <c r="D6448" s="2" t="str">
        <f t="shared" si="99"/>
        <v>OK</v>
      </c>
      <c r="E6448" s="4" t="s">
        <v>1990</v>
      </c>
    </row>
    <row r="6449" spans="1:5" x14ac:dyDescent="0.2">
      <c r="A6449" s="126">
        <v>6388</v>
      </c>
      <c r="B6449" s="1831"/>
      <c r="D6449" s="2" t="str">
        <f t="shared" si="99"/>
        <v>OK</v>
      </c>
      <c r="E6449" s="4" t="s">
        <v>1990</v>
      </c>
    </row>
    <row r="6450" spans="1:5" x14ac:dyDescent="0.2">
      <c r="A6450" s="126">
        <v>6389</v>
      </c>
      <c r="B6450" s="1831"/>
      <c r="D6450" s="2" t="str">
        <f t="shared" si="99"/>
        <v>OK</v>
      </c>
      <c r="E6450" s="4" t="s">
        <v>1990</v>
      </c>
    </row>
    <row r="6451" spans="1:5" x14ac:dyDescent="0.2">
      <c r="A6451" s="126">
        <v>6390</v>
      </c>
      <c r="B6451" s="1831"/>
      <c r="D6451" s="2" t="str">
        <f t="shared" si="99"/>
        <v>OK</v>
      </c>
      <c r="E6451" s="4" t="s">
        <v>1990</v>
      </c>
    </row>
    <row r="6452" spans="1:5" x14ac:dyDescent="0.2">
      <c r="A6452" s="126">
        <v>6391</v>
      </c>
      <c r="B6452" s="1831"/>
      <c r="D6452" s="2" t="str">
        <f t="shared" si="99"/>
        <v>OK</v>
      </c>
      <c r="E6452" s="4" t="s">
        <v>1990</v>
      </c>
    </row>
    <row r="6453" spans="1:5" x14ac:dyDescent="0.2">
      <c r="A6453" s="126">
        <v>6392</v>
      </c>
      <c r="B6453" s="1831"/>
      <c r="D6453" s="2" t="str">
        <f t="shared" si="99"/>
        <v>OK</v>
      </c>
      <c r="E6453" s="4" t="s">
        <v>1990</v>
      </c>
    </row>
    <row r="6454" spans="1:5" x14ac:dyDescent="0.2">
      <c r="A6454" s="126">
        <v>6393</v>
      </c>
      <c r="B6454" s="1831"/>
      <c r="D6454" s="2" t="str">
        <f t="shared" si="99"/>
        <v>OK</v>
      </c>
      <c r="E6454" s="4" t="s">
        <v>1990</v>
      </c>
    </row>
    <row r="6455" spans="1:5" x14ac:dyDescent="0.2">
      <c r="A6455" s="126">
        <v>6394</v>
      </c>
      <c r="B6455" s="1831"/>
      <c r="D6455" s="2" t="str">
        <f t="shared" si="99"/>
        <v>OK</v>
      </c>
      <c r="E6455" s="4" t="s">
        <v>1990</v>
      </c>
    </row>
    <row r="6456" spans="1:5" x14ac:dyDescent="0.2">
      <c r="A6456" s="126">
        <v>6395</v>
      </c>
      <c r="B6456" s="1831"/>
      <c r="D6456" s="2" t="str">
        <f t="shared" si="99"/>
        <v>OK</v>
      </c>
      <c r="E6456" s="4" t="s">
        <v>1990</v>
      </c>
    </row>
    <row r="6457" spans="1:5" x14ac:dyDescent="0.2">
      <c r="A6457" s="126">
        <v>6396</v>
      </c>
      <c r="B6457" s="1831"/>
      <c r="D6457" s="2" t="str">
        <f t="shared" si="99"/>
        <v>OK</v>
      </c>
      <c r="E6457" s="4" t="s">
        <v>1990</v>
      </c>
    </row>
    <row r="6458" spans="1:5" x14ac:dyDescent="0.2">
      <c r="A6458" s="126">
        <v>6397</v>
      </c>
      <c r="B6458" s="1831"/>
      <c r="D6458" s="2" t="str">
        <f t="shared" si="99"/>
        <v>OK</v>
      </c>
      <c r="E6458" s="4" t="s">
        <v>1990</v>
      </c>
    </row>
    <row r="6459" spans="1:5" x14ac:dyDescent="0.2">
      <c r="A6459" s="126">
        <v>6398</v>
      </c>
      <c r="B6459" s="1831"/>
      <c r="D6459" s="2" t="str">
        <f t="shared" si="99"/>
        <v>OK</v>
      </c>
      <c r="E6459" s="4" t="s">
        <v>1990</v>
      </c>
    </row>
    <row r="6460" spans="1:5" x14ac:dyDescent="0.2">
      <c r="A6460" s="126">
        <v>6399</v>
      </c>
      <c r="B6460" s="1831"/>
      <c r="D6460" s="2" t="str">
        <f t="shared" si="99"/>
        <v>OK</v>
      </c>
      <c r="E6460" s="4" t="s">
        <v>1990</v>
      </c>
    </row>
    <row r="6461" spans="1:5" x14ac:dyDescent="0.2">
      <c r="A6461" s="126">
        <v>6400</v>
      </c>
      <c r="B6461" s="1831"/>
      <c r="D6461" s="2" t="str">
        <f t="shared" si="99"/>
        <v>OK</v>
      </c>
      <c r="E6461" s="4" t="s">
        <v>1990</v>
      </c>
    </row>
    <row r="6462" spans="1:5" x14ac:dyDescent="0.2">
      <c r="A6462" s="126">
        <v>6401</v>
      </c>
      <c r="B6462" s="1831"/>
      <c r="D6462" s="2" t="str">
        <f t="shared" si="99"/>
        <v>OK</v>
      </c>
      <c r="E6462" s="4" t="s">
        <v>1990</v>
      </c>
    </row>
    <row r="6463" spans="1:5" x14ac:dyDescent="0.2">
      <c r="A6463" s="126">
        <v>6402</v>
      </c>
      <c r="B6463" s="1831"/>
      <c r="D6463" s="2" t="str">
        <f t="shared" ref="D6463:D6526" si="100">IF(ISBLANK(B6463),"OK",IF(A6463-B6463=0,"OK","Error?"))</f>
        <v>OK</v>
      </c>
      <c r="E6463" s="4" t="s">
        <v>1990</v>
      </c>
    </row>
    <row r="6464" spans="1:5" x14ac:dyDescent="0.2">
      <c r="A6464" s="126">
        <v>6403</v>
      </c>
      <c r="B6464" s="1831"/>
      <c r="D6464" s="2" t="str">
        <f t="shared" si="100"/>
        <v>OK</v>
      </c>
      <c r="E6464" s="4" t="s">
        <v>1990</v>
      </c>
    </row>
    <row r="6465" spans="1:5" x14ac:dyDescent="0.2">
      <c r="A6465" s="126">
        <v>6404</v>
      </c>
      <c r="B6465" s="1831"/>
      <c r="D6465" s="2" t="str">
        <f t="shared" si="100"/>
        <v>OK</v>
      </c>
      <c r="E6465" s="4" t="s">
        <v>1990</v>
      </c>
    </row>
    <row r="6466" spans="1:5" x14ac:dyDescent="0.2">
      <c r="A6466" s="126">
        <v>6405</v>
      </c>
      <c r="B6466" s="1831"/>
      <c r="D6466" s="2" t="str">
        <f t="shared" si="100"/>
        <v>OK</v>
      </c>
      <c r="E6466" s="4" t="s">
        <v>1990</v>
      </c>
    </row>
    <row r="6467" spans="1:5" x14ac:dyDescent="0.2">
      <c r="A6467" s="126">
        <v>6406</v>
      </c>
      <c r="B6467" s="1831"/>
      <c r="D6467" s="2" t="str">
        <f t="shared" si="100"/>
        <v>OK</v>
      </c>
      <c r="E6467" s="4" t="s">
        <v>1990</v>
      </c>
    </row>
    <row r="6468" spans="1:5" x14ac:dyDescent="0.2">
      <c r="A6468" s="126">
        <v>6407</v>
      </c>
      <c r="B6468" s="1831"/>
      <c r="D6468" s="2" t="str">
        <f t="shared" si="100"/>
        <v>OK</v>
      </c>
      <c r="E6468" s="4" t="s">
        <v>1990</v>
      </c>
    </row>
    <row r="6469" spans="1:5" x14ac:dyDescent="0.2">
      <c r="A6469" s="126">
        <v>6408</v>
      </c>
      <c r="B6469" s="1831"/>
      <c r="D6469" s="2" t="str">
        <f t="shared" si="100"/>
        <v>OK</v>
      </c>
      <c r="E6469" s="4" t="s">
        <v>1990</v>
      </c>
    </row>
    <row r="6470" spans="1:5" x14ac:dyDescent="0.2">
      <c r="A6470" s="126">
        <v>6409</v>
      </c>
      <c r="B6470" s="1831"/>
      <c r="D6470" s="2" t="str">
        <f t="shared" si="100"/>
        <v>OK</v>
      </c>
      <c r="E6470" s="4" t="s">
        <v>1990</v>
      </c>
    </row>
    <row r="6471" spans="1:5" x14ac:dyDescent="0.2">
      <c r="A6471" s="126">
        <v>6410</v>
      </c>
      <c r="B6471" s="1831"/>
      <c r="D6471" s="2" t="str">
        <f t="shared" si="100"/>
        <v>OK</v>
      </c>
      <c r="E6471" s="4" t="s">
        <v>1990</v>
      </c>
    </row>
    <row r="6472" spans="1:5" x14ac:dyDescent="0.2">
      <c r="A6472" s="126">
        <v>6411</v>
      </c>
      <c r="B6472" s="1831"/>
      <c r="D6472" s="2" t="str">
        <f t="shared" si="100"/>
        <v>OK</v>
      </c>
      <c r="E6472" s="4" t="s">
        <v>1990</v>
      </c>
    </row>
    <row r="6473" spans="1:5" x14ac:dyDescent="0.2">
      <c r="A6473" s="126">
        <v>6412</v>
      </c>
      <c r="B6473" s="1831"/>
      <c r="D6473" s="2" t="str">
        <f t="shared" si="100"/>
        <v>OK</v>
      </c>
      <c r="E6473" s="4" t="s">
        <v>1990</v>
      </c>
    </row>
    <row r="6474" spans="1:5" x14ac:dyDescent="0.2">
      <c r="A6474" s="126">
        <v>6413</v>
      </c>
      <c r="B6474" s="1831"/>
      <c r="D6474" s="2" t="str">
        <f t="shared" si="100"/>
        <v>OK</v>
      </c>
      <c r="E6474" s="4" t="s">
        <v>1990</v>
      </c>
    </row>
    <row r="6475" spans="1:5" x14ac:dyDescent="0.2">
      <c r="A6475" s="126">
        <v>6414</v>
      </c>
      <c r="B6475" s="1831"/>
      <c r="D6475" s="2" t="str">
        <f t="shared" si="100"/>
        <v>OK</v>
      </c>
      <c r="E6475" s="4" t="s">
        <v>1990</v>
      </c>
    </row>
    <row r="6476" spans="1:5" x14ac:dyDescent="0.2">
      <c r="A6476" s="126">
        <v>6415</v>
      </c>
      <c r="B6476" s="1831"/>
      <c r="D6476" s="2" t="str">
        <f t="shared" si="100"/>
        <v>OK</v>
      </c>
      <c r="E6476" s="4" t="s">
        <v>1990</v>
      </c>
    </row>
    <row r="6477" spans="1:5" x14ac:dyDescent="0.2">
      <c r="A6477" s="126">
        <v>6416</v>
      </c>
      <c r="B6477" s="1831"/>
      <c r="D6477" s="2" t="str">
        <f t="shared" si="100"/>
        <v>OK</v>
      </c>
      <c r="E6477" s="4" t="s">
        <v>1990</v>
      </c>
    </row>
    <row r="6478" spans="1:5" x14ac:dyDescent="0.2">
      <c r="A6478" s="126">
        <v>6417</v>
      </c>
      <c r="B6478" s="1831"/>
      <c r="D6478" s="2" t="str">
        <f t="shared" si="100"/>
        <v>OK</v>
      </c>
      <c r="E6478" s="4" t="s">
        <v>1990</v>
      </c>
    </row>
    <row r="6479" spans="1:5" x14ac:dyDescent="0.2">
      <c r="A6479" s="126">
        <v>6418</v>
      </c>
      <c r="B6479" s="1831"/>
      <c r="D6479" s="2" t="str">
        <f t="shared" si="100"/>
        <v>OK</v>
      </c>
      <c r="E6479" s="4" t="s">
        <v>1990</v>
      </c>
    </row>
    <row r="6480" spans="1:5" x14ac:dyDescent="0.2">
      <c r="A6480" s="126">
        <v>6419</v>
      </c>
      <c r="B6480" s="1831"/>
      <c r="D6480" s="2" t="str">
        <f t="shared" si="100"/>
        <v>OK</v>
      </c>
      <c r="E6480" s="4" t="s">
        <v>1990</v>
      </c>
    </row>
    <row r="6481" spans="1:5" x14ac:dyDescent="0.2">
      <c r="A6481" s="126">
        <v>6420</v>
      </c>
      <c r="B6481" s="1831"/>
      <c r="D6481" s="2" t="str">
        <f t="shared" si="100"/>
        <v>OK</v>
      </c>
      <c r="E6481" s="4" t="s">
        <v>1990</v>
      </c>
    </row>
    <row r="6482" spans="1:5" x14ac:dyDescent="0.2">
      <c r="A6482" s="126">
        <v>6421</v>
      </c>
      <c r="B6482" s="1831"/>
      <c r="D6482" s="2" t="str">
        <f t="shared" si="100"/>
        <v>OK</v>
      </c>
      <c r="E6482" s="4" t="s">
        <v>1990</v>
      </c>
    </row>
    <row r="6483" spans="1:5" x14ac:dyDescent="0.2">
      <c r="A6483" s="126">
        <v>6422</v>
      </c>
      <c r="B6483" s="1831"/>
      <c r="D6483" s="2" t="str">
        <f t="shared" si="100"/>
        <v>OK</v>
      </c>
      <c r="E6483" s="4" t="s">
        <v>1990</v>
      </c>
    </row>
    <row r="6484" spans="1:5" x14ac:dyDescent="0.2">
      <c r="A6484" s="126">
        <v>6423</v>
      </c>
      <c r="B6484" s="1831"/>
      <c r="D6484" s="2" t="str">
        <f t="shared" si="100"/>
        <v>OK</v>
      </c>
      <c r="E6484" s="4" t="s">
        <v>1990</v>
      </c>
    </row>
    <row r="6485" spans="1:5" x14ac:dyDescent="0.2">
      <c r="A6485" s="126">
        <v>6424</v>
      </c>
      <c r="B6485" s="1831"/>
      <c r="D6485" s="2" t="str">
        <f t="shared" si="100"/>
        <v>OK</v>
      </c>
      <c r="E6485" s="4" t="s">
        <v>1990</v>
      </c>
    </row>
    <row r="6486" spans="1:5" x14ac:dyDescent="0.2">
      <c r="A6486" s="126">
        <v>6425</v>
      </c>
      <c r="B6486" s="1831"/>
      <c r="D6486" s="2" t="str">
        <f t="shared" si="100"/>
        <v>OK</v>
      </c>
      <c r="E6486" s="4" t="s">
        <v>1990</v>
      </c>
    </row>
    <row r="6487" spans="1:5" x14ac:dyDescent="0.2">
      <c r="A6487" s="126">
        <v>6426</v>
      </c>
      <c r="B6487" s="1831"/>
      <c r="D6487" s="2" t="str">
        <f t="shared" si="100"/>
        <v>OK</v>
      </c>
      <c r="E6487" s="4" t="s">
        <v>1990</v>
      </c>
    </row>
    <row r="6488" spans="1:5" x14ac:dyDescent="0.2">
      <c r="A6488" s="126">
        <v>6427</v>
      </c>
      <c r="B6488" s="1831"/>
      <c r="D6488" s="2" t="str">
        <f t="shared" si="100"/>
        <v>OK</v>
      </c>
      <c r="E6488" s="4" t="s">
        <v>1990</v>
      </c>
    </row>
    <row r="6489" spans="1:5" x14ac:dyDescent="0.2">
      <c r="A6489" s="126">
        <v>6428</v>
      </c>
      <c r="B6489" s="1831"/>
      <c r="D6489" s="2" t="str">
        <f t="shared" si="100"/>
        <v>OK</v>
      </c>
      <c r="E6489" s="4" t="s">
        <v>1990</v>
      </c>
    </row>
    <row r="6490" spans="1:5" x14ac:dyDescent="0.2">
      <c r="A6490" s="126">
        <v>6429</v>
      </c>
      <c r="B6490" s="1831"/>
      <c r="D6490" s="2" t="str">
        <f t="shared" si="100"/>
        <v>OK</v>
      </c>
      <c r="E6490" s="4" t="s">
        <v>1990</v>
      </c>
    </row>
    <row r="6491" spans="1:5" x14ac:dyDescent="0.2">
      <c r="A6491" s="126">
        <v>6430</v>
      </c>
      <c r="B6491" s="1831"/>
      <c r="D6491" s="2" t="str">
        <f t="shared" si="100"/>
        <v>OK</v>
      </c>
      <c r="E6491" s="4" t="s">
        <v>1990</v>
      </c>
    </row>
    <row r="6492" spans="1:5" x14ac:dyDescent="0.2">
      <c r="A6492" s="126">
        <v>6431</v>
      </c>
      <c r="B6492" s="1831"/>
      <c r="D6492" s="2" t="str">
        <f t="shared" si="100"/>
        <v>OK</v>
      </c>
      <c r="E6492" s="4" t="s">
        <v>1990</v>
      </c>
    </row>
    <row r="6493" spans="1:5" x14ac:dyDescent="0.2">
      <c r="A6493" s="126">
        <v>6432</v>
      </c>
      <c r="B6493" s="1831"/>
      <c r="D6493" s="2" t="str">
        <f t="shared" si="100"/>
        <v>OK</v>
      </c>
      <c r="E6493" s="4" t="s">
        <v>1990</v>
      </c>
    </row>
    <row r="6494" spans="1:5" x14ac:dyDescent="0.2">
      <c r="A6494" s="126">
        <v>6433</v>
      </c>
      <c r="B6494" s="1831"/>
      <c r="D6494" s="2" t="str">
        <f t="shared" si="100"/>
        <v>OK</v>
      </c>
      <c r="E6494" s="4" t="s">
        <v>1990</v>
      </c>
    </row>
    <row r="6495" spans="1:5" x14ac:dyDescent="0.2">
      <c r="A6495" s="126">
        <v>6434</v>
      </c>
      <c r="B6495" s="1831"/>
      <c r="D6495" s="2" t="str">
        <f t="shared" si="100"/>
        <v>OK</v>
      </c>
      <c r="E6495" s="4" t="s">
        <v>1990</v>
      </c>
    </row>
    <row r="6496" spans="1:5" x14ac:dyDescent="0.2">
      <c r="A6496" s="126">
        <v>6435</v>
      </c>
      <c r="B6496" s="1831"/>
      <c r="D6496" s="2" t="str">
        <f t="shared" si="100"/>
        <v>OK</v>
      </c>
      <c r="E6496" s="4" t="s">
        <v>1990</v>
      </c>
    </row>
    <row r="6497" spans="1:5" x14ac:dyDescent="0.2">
      <c r="A6497" s="126">
        <v>6436</v>
      </c>
      <c r="B6497" s="1831"/>
      <c r="D6497" s="2" t="str">
        <f t="shared" si="100"/>
        <v>OK</v>
      </c>
      <c r="E6497" s="4" t="s">
        <v>1990</v>
      </c>
    </row>
    <row r="6498" spans="1:5" x14ac:dyDescent="0.2">
      <c r="A6498" s="126">
        <v>6437</v>
      </c>
      <c r="B6498" s="1831"/>
      <c r="D6498" s="2" t="str">
        <f t="shared" si="100"/>
        <v>OK</v>
      </c>
      <c r="E6498" s="4" t="s">
        <v>1990</v>
      </c>
    </row>
    <row r="6499" spans="1:5" x14ac:dyDescent="0.2">
      <c r="A6499" s="126">
        <v>6438</v>
      </c>
      <c r="B6499" s="1831"/>
      <c r="D6499" s="2" t="str">
        <f t="shared" si="100"/>
        <v>OK</v>
      </c>
      <c r="E6499" s="4" t="s">
        <v>1990</v>
      </c>
    </row>
    <row r="6500" spans="1:5" x14ac:dyDescent="0.2">
      <c r="A6500" s="126">
        <v>6439</v>
      </c>
      <c r="B6500" s="1831"/>
      <c r="D6500" s="2" t="str">
        <f t="shared" si="100"/>
        <v>OK</v>
      </c>
      <c r="E6500" s="4" t="s">
        <v>1990</v>
      </c>
    </row>
    <row r="6501" spans="1:5" x14ac:dyDescent="0.2">
      <c r="A6501" s="126">
        <v>6440</v>
      </c>
      <c r="B6501" s="1831"/>
      <c r="D6501" s="2" t="str">
        <f t="shared" si="100"/>
        <v>OK</v>
      </c>
      <c r="E6501" s="4" t="s">
        <v>1990</v>
      </c>
    </row>
    <row r="6502" spans="1:5" x14ac:dyDescent="0.2">
      <c r="A6502" s="126">
        <v>6441</v>
      </c>
      <c r="B6502" s="1831"/>
      <c r="D6502" s="2" t="str">
        <f t="shared" si="100"/>
        <v>OK</v>
      </c>
      <c r="E6502" s="4" t="s">
        <v>1990</v>
      </c>
    </row>
    <row r="6503" spans="1:5" x14ac:dyDescent="0.2">
      <c r="A6503" s="126">
        <v>6442</v>
      </c>
      <c r="B6503" s="1831"/>
      <c r="D6503" s="2" t="str">
        <f t="shared" si="100"/>
        <v>OK</v>
      </c>
      <c r="E6503" s="4" t="s">
        <v>1990</v>
      </c>
    </row>
    <row r="6504" spans="1:5" x14ac:dyDescent="0.2">
      <c r="A6504" s="126">
        <v>6443</v>
      </c>
      <c r="B6504" s="1831"/>
      <c r="D6504" s="2" t="str">
        <f t="shared" si="100"/>
        <v>OK</v>
      </c>
      <c r="E6504" s="4" t="s">
        <v>1990</v>
      </c>
    </row>
    <row r="6505" spans="1:5" x14ac:dyDescent="0.2">
      <c r="A6505" s="126">
        <v>6444</v>
      </c>
      <c r="B6505" s="1831"/>
      <c r="D6505" s="2" t="str">
        <f t="shared" si="100"/>
        <v>OK</v>
      </c>
      <c r="E6505" s="4" t="s">
        <v>1990</v>
      </c>
    </row>
    <row r="6506" spans="1:5" x14ac:dyDescent="0.2">
      <c r="A6506" s="126">
        <v>6445</v>
      </c>
      <c r="B6506" s="1831"/>
      <c r="D6506" s="2" t="str">
        <f t="shared" si="100"/>
        <v>OK</v>
      </c>
      <c r="E6506" s="4" t="s">
        <v>1990</v>
      </c>
    </row>
    <row r="6507" spans="1:5" x14ac:dyDescent="0.2">
      <c r="A6507" s="126">
        <v>6446</v>
      </c>
      <c r="B6507" s="1831"/>
      <c r="D6507" s="2" t="str">
        <f t="shared" si="100"/>
        <v>OK</v>
      </c>
      <c r="E6507" s="4" t="s">
        <v>1990</v>
      </c>
    </row>
    <row r="6508" spans="1:5" x14ac:dyDescent="0.2">
      <c r="A6508" s="126">
        <v>6447</v>
      </c>
      <c r="B6508" s="1831"/>
      <c r="D6508" s="2" t="str">
        <f t="shared" si="100"/>
        <v>OK</v>
      </c>
      <c r="E6508" s="4" t="s">
        <v>1990</v>
      </c>
    </row>
    <row r="6509" spans="1:5" x14ac:dyDescent="0.2">
      <c r="A6509" s="126">
        <v>6448</v>
      </c>
      <c r="B6509" s="1831"/>
      <c r="D6509" s="2" t="str">
        <f t="shared" si="100"/>
        <v>OK</v>
      </c>
      <c r="E6509" s="4" t="s">
        <v>1990</v>
      </c>
    </row>
    <row r="6510" spans="1:5" x14ac:dyDescent="0.2">
      <c r="A6510" s="126">
        <v>6449</v>
      </c>
      <c r="B6510" s="1831"/>
      <c r="D6510" s="2" t="str">
        <f t="shared" si="100"/>
        <v>OK</v>
      </c>
      <c r="E6510" s="4" t="s">
        <v>1990</v>
      </c>
    </row>
    <row r="6511" spans="1:5" x14ac:dyDescent="0.2">
      <c r="A6511" s="126">
        <v>6450</v>
      </c>
      <c r="B6511" s="1831"/>
      <c r="D6511" s="2" t="str">
        <f t="shared" si="100"/>
        <v>OK</v>
      </c>
      <c r="E6511" s="4" t="s">
        <v>1990</v>
      </c>
    </row>
    <row r="6512" spans="1:5" x14ac:dyDescent="0.2">
      <c r="A6512" s="126">
        <v>6451</v>
      </c>
      <c r="B6512" s="1831"/>
      <c r="D6512" s="2" t="str">
        <f t="shared" si="100"/>
        <v>OK</v>
      </c>
      <c r="E6512" s="4" t="s">
        <v>1990</v>
      </c>
    </row>
    <row r="6513" spans="1:5" x14ac:dyDescent="0.2">
      <c r="A6513" s="126">
        <v>6452</v>
      </c>
      <c r="B6513" s="1831"/>
      <c r="D6513" s="2" t="str">
        <f t="shared" si="100"/>
        <v>OK</v>
      </c>
      <c r="E6513" s="4" t="s">
        <v>1990</v>
      </c>
    </row>
    <row r="6514" spans="1:5" x14ac:dyDescent="0.2">
      <c r="A6514" s="126">
        <v>6453</v>
      </c>
      <c r="B6514" s="1831"/>
      <c r="D6514" s="2" t="str">
        <f t="shared" si="100"/>
        <v>OK</v>
      </c>
      <c r="E6514" s="4" t="s">
        <v>1990</v>
      </c>
    </row>
    <row r="6515" spans="1:5" x14ac:dyDescent="0.2">
      <c r="A6515" s="126">
        <v>6454</v>
      </c>
      <c r="B6515" s="1831"/>
      <c r="D6515" s="2" t="str">
        <f t="shared" si="100"/>
        <v>OK</v>
      </c>
      <c r="E6515" s="4" t="s">
        <v>1990</v>
      </c>
    </row>
    <row r="6516" spans="1:5" x14ac:dyDescent="0.2">
      <c r="A6516" s="126">
        <v>6455</v>
      </c>
      <c r="B6516" s="1831"/>
      <c r="D6516" s="2" t="str">
        <f t="shared" si="100"/>
        <v>OK</v>
      </c>
      <c r="E6516" s="4" t="s">
        <v>1990</v>
      </c>
    </row>
    <row r="6517" spans="1:5" x14ac:dyDescent="0.2">
      <c r="A6517" s="126">
        <v>6456</v>
      </c>
      <c r="B6517" s="1831"/>
      <c r="D6517" s="2" t="str">
        <f t="shared" si="100"/>
        <v>OK</v>
      </c>
      <c r="E6517" s="4" t="s">
        <v>1990</v>
      </c>
    </row>
    <row r="6518" spans="1:5" x14ac:dyDescent="0.2">
      <c r="A6518" s="126">
        <v>6457</v>
      </c>
      <c r="B6518" s="1831"/>
      <c r="D6518" s="2" t="str">
        <f t="shared" si="100"/>
        <v>OK</v>
      </c>
      <c r="E6518" s="4" t="s">
        <v>1990</v>
      </c>
    </row>
    <row r="6519" spans="1:5" x14ac:dyDescent="0.2">
      <c r="A6519" s="126">
        <v>6458</v>
      </c>
      <c r="B6519" s="1831"/>
      <c r="D6519" s="2" t="str">
        <f t="shared" si="100"/>
        <v>OK</v>
      </c>
      <c r="E6519" s="4" t="s">
        <v>1990</v>
      </c>
    </row>
    <row r="6520" spans="1:5" x14ac:dyDescent="0.2">
      <c r="A6520" s="126">
        <v>6459</v>
      </c>
      <c r="B6520" s="1831"/>
      <c r="D6520" s="2" t="str">
        <f t="shared" si="100"/>
        <v>OK</v>
      </c>
      <c r="E6520" s="4" t="s">
        <v>1990</v>
      </c>
    </row>
    <row r="6521" spans="1:5" x14ac:dyDescent="0.2">
      <c r="A6521" s="126">
        <v>6460</v>
      </c>
      <c r="B6521" s="1831"/>
      <c r="D6521" s="2" t="str">
        <f t="shared" si="100"/>
        <v>OK</v>
      </c>
      <c r="E6521" s="4" t="s">
        <v>1990</v>
      </c>
    </row>
    <row r="6522" spans="1:5" x14ac:dyDescent="0.2">
      <c r="A6522" s="126">
        <v>6461</v>
      </c>
      <c r="B6522" s="1831"/>
      <c r="D6522" s="2" t="str">
        <f t="shared" si="100"/>
        <v>OK</v>
      </c>
      <c r="E6522" s="4" t="s">
        <v>1990</v>
      </c>
    </row>
    <row r="6523" spans="1:5" x14ac:dyDescent="0.2">
      <c r="A6523" s="126">
        <v>6462</v>
      </c>
      <c r="B6523" s="1831"/>
      <c r="D6523" s="2" t="str">
        <f t="shared" si="100"/>
        <v>OK</v>
      </c>
      <c r="E6523" s="4" t="s">
        <v>1990</v>
      </c>
    </row>
    <row r="6524" spans="1:5" x14ac:dyDescent="0.2">
      <c r="A6524" s="126">
        <v>6463</v>
      </c>
      <c r="B6524" s="1831"/>
      <c r="D6524" s="2" t="str">
        <f t="shared" si="100"/>
        <v>OK</v>
      </c>
      <c r="E6524" s="4" t="s">
        <v>1990</v>
      </c>
    </row>
    <row r="6525" spans="1:5" x14ac:dyDescent="0.2">
      <c r="A6525" s="126">
        <v>6464</v>
      </c>
      <c r="B6525" s="1831"/>
      <c r="D6525" s="2" t="str">
        <f t="shared" si="100"/>
        <v>OK</v>
      </c>
      <c r="E6525" s="4" t="s">
        <v>1990</v>
      </c>
    </row>
    <row r="6526" spans="1:5" x14ac:dyDescent="0.2">
      <c r="A6526" s="126">
        <v>6465</v>
      </c>
      <c r="B6526" s="1831"/>
      <c r="D6526" s="2" t="str">
        <f t="shared" si="100"/>
        <v>OK</v>
      </c>
      <c r="E6526" s="4" t="s">
        <v>1990</v>
      </c>
    </row>
    <row r="6527" spans="1:5" x14ac:dyDescent="0.2">
      <c r="A6527" s="126">
        <v>6466</v>
      </c>
      <c r="B6527" s="1831"/>
      <c r="D6527" s="2" t="str">
        <f t="shared" ref="D6527:D6590" si="101">IF(ISBLANK(B6527),"OK",IF(A6527-B6527=0,"OK","Error?"))</f>
        <v>OK</v>
      </c>
      <c r="E6527" s="4" t="s">
        <v>1990</v>
      </c>
    </row>
    <row r="6528" spans="1:5" x14ac:dyDescent="0.2">
      <c r="A6528" s="126">
        <v>6467</v>
      </c>
      <c r="B6528" s="1831"/>
      <c r="D6528" s="2" t="str">
        <f t="shared" si="101"/>
        <v>OK</v>
      </c>
      <c r="E6528" s="4" t="s">
        <v>1990</v>
      </c>
    </row>
    <row r="6529" spans="1:5" x14ac:dyDescent="0.2">
      <c r="A6529" s="126">
        <v>6468</v>
      </c>
      <c r="B6529" s="1831"/>
      <c r="D6529" s="2" t="str">
        <f t="shared" si="101"/>
        <v>OK</v>
      </c>
      <c r="E6529" s="4" t="s">
        <v>1990</v>
      </c>
    </row>
    <row r="6530" spans="1:5" x14ac:dyDescent="0.2">
      <c r="A6530" s="126">
        <v>6469</v>
      </c>
      <c r="B6530" s="1831"/>
      <c r="D6530" s="2" t="str">
        <f t="shared" si="101"/>
        <v>OK</v>
      </c>
      <c r="E6530" s="4" t="s">
        <v>1990</v>
      </c>
    </row>
    <row r="6531" spans="1:5" x14ac:dyDescent="0.2">
      <c r="A6531" s="126">
        <v>6470</v>
      </c>
      <c r="B6531" s="1831"/>
      <c r="D6531" s="2" t="str">
        <f t="shared" si="101"/>
        <v>OK</v>
      </c>
      <c r="E6531" s="4" t="s">
        <v>1990</v>
      </c>
    </row>
    <row r="6532" spans="1:5" x14ac:dyDescent="0.2">
      <c r="A6532" s="126">
        <v>6471</v>
      </c>
      <c r="B6532" s="1831"/>
      <c r="D6532" s="2" t="str">
        <f t="shared" si="101"/>
        <v>OK</v>
      </c>
      <c r="E6532" s="4" t="s">
        <v>1990</v>
      </c>
    </row>
    <row r="6533" spans="1:5" x14ac:dyDescent="0.2">
      <c r="A6533" s="126">
        <v>6472</v>
      </c>
      <c r="B6533" s="1831"/>
      <c r="D6533" s="2" t="str">
        <f t="shared" si="101"/>
        <v>OK</v>
      </c>
      <c r="E6533" s="4" t="s">
        <v>1990</v>
      </c>
    </row>
    <row r="6534" spans="1:5" x14ac:dyDescent="0.2">
      <c r="A6534" s="126">
        <v>6473</v>
      </c>
      <c r="B6534" s="1831"/>
      <c r="D6534" s="2" t="str">
        <f t="shared" si="101"/>
        <v>OK</v>
      </c>
      <c r="E6534" s="4" t="s">
        <v>1990</v>
      </c>
    </row>
    <row r="6535" spans="1:5" x14ac:dyDescent="0.2">
      <c r="A6535" s="126">
        <v>6474</v>
      </c>
      <c r="B6535" s="1831"/>
      <c r="D6535" s="2" t="str">
        <f t="shared" si="101"/>
        <v>OK</v>
      </c>
      <c r="E6535" s="4" t="s">
        <v>1990</v>
      </c>
    </row>
    <row r="6536" spans="1:5" x14ac:dyDescent="0.2">
      <c r="A6536" s="126">
        <v>6475</v>
      </c>
      <c r="B6536" s="1831"/>
      <c r="D6536" s="2" t="str">
        <f t="shared" si="101"/>
        <v>OK</v>
      </c>
      <c r="E6536" s="4" t="s">
        <v>1990</v>
      </c>
    </row>
    <row r="6537" spans="1:5" x14ac:dyDescent="0.2">
      <c r="A6537" s="126">
        <v>6476</v>
      </c>
      <c r="B6537" s="1831"/>
      <c r="D6537" s="2" t="str">
        <f t="shared" si="101"/>
        <v>OK</v>
      </c>
      <c r="E6537" s="4" t="s">
        <v>1990</v>
      </c>
    </row>
    <row r="6538" spans="1:5" x14ac:dyDescent="0.2">
      <c r="A6538" s="126">
        <v>6477</v>
      </c>
      <c r="B6538" s="1831"/>
      <c r="D6538" s="2" t="str">
        <f t="shared" si="101"/>
        <v>OK</v>
      </c>
      <c r="E6538" s="4" t="s">
        <v>1990</v>
      </c>
    </row>
    <row r="6539" spans="1:5" x14ac:dyDescent="0.2">
      <c r="A6539" s="126">
        <v>6478</v>
      </c>
      <c r="B6539" s="1831"/>
      <c r="D6539" s="2" t="str">
        <f t="shared" si="101"/>
        <v>OK</v>
      </c>
      <c r="E6539" s="4" t="s">
        <v>1990</v>
      </c>
    </row>
    <row r="6540" spans="1:5" x14ac:dyDescent="0.2">
      <c r="A6540" s="126">
        <v>6479</v>
      </c>
      <c r="B6540" s="1831"/>
      <c r="D6540" s="2" t="str">
        <f t="shared" si="101"/>
        <v>OK</v>
      </c>
      <c r="E6540" s="4" t="s">
        <v>1990</v>
      </c>
    </row>
    <row r="6541" spans="1:5" x14ac:dyDescent="0.2">
      <c r="A6541" s="126">
        <v>6480</v>
      </c>
      <c r="B6541" s="1831"/>
      <c r="D6541" s="2" t="str">
        <f t="shared" si="101"/>
        <v>OK</v>
      </c>
      <c r="E6541" s="4" t="s">
        <v>1990</v>
      </c>
    </row>
    <row r="6542" spans="1:5" x14ac:dyDescent="0.2">
      <c r="A6542" s="126">
        <v>6481</v>
      </c>
      <c r="B6542" s="1831"/>
      <c r="D6542" s="2" t="str">
        <f t="shared" si="101"/>
        <v>OK</v>
      </c>
      <c r="E6542" s="4" t="s">
        <v>1990</v>
      </c>
    </row>
    <row r="6543" spans="1:5" x14ac:dyDescent="0.2">
      <c r="A6543" s="126">
        <v>6482</v>
      </c>
      <c r="B6543" s="1831"/>
      <c r="D6543" s="2" t="str">
        <f t="shared" si="101"/>
        <v>OK</v>
      </c>
      <c r="E6543" s="4" t="s">
        <v>1990</v>
      </c>
    </row>
    <row r="6544" spans="1:5" x14ac:dyDescent="0.2">
      <c r="A6544" s="126">
        <v>6483</v>
      </c>
      <c r="B6544" s="1831"/>
      <c r="D6544" s="2" t="str">
        <f t="shared" si="101"/>
        <v>OK</v>
      </c>
      <c r="E6544" s="4" t="s">
        <v>1990</v>
      </c>
    </row>
    <row r="6545" spans="1:5" x14ac:dyDescent="0.2">
      <c r="A6545" s="126">
        <v>6484</v>
      </c>
      <c r="B6545" s="1831"/>
      <c r="D6545" s="2" t="str">
        <f t="shared" si="101"/>
        <v>OK</v>
      </c>
      <c r="E6545" s="4" t="s">
        <v>1990</v>
      </c>
    </row>
    <row r="6546" spans="1:5" x14ac:dyDescent="0.2">
      <c r="A6546" s="126">
        <v>6485</v>
      </c>
      <c r="B6546" s="1831"/>
      <c r="D6546" s="2" t="str">
        <f t="shared" si="101"/>
        <v>OK</v>
      </c>
      <c r="E6546" s="4" t="s">
        <v>1990</v>
      </c>
    </row>
    <row r="6547" spans="1:5" x14ac:dyDescent="0.2">
      <c r="A6547" s="126">
        <v>6486</v>
      </c>
      <c r="B6547" s="1831"/>
      <c r="D6547" s="2" t="str">
        <f t="shared" si="101"/>
        <v>OK</v>
      </c>
      <c r="E6547" s="4" t="s">
        <v>1990</v>
      </c>
    </row>
    <row r="6548" spans="1:5" x14ac:dyDescent="0.2">
      <c r="A6548" s="126">
        <v>6487</v>
      </c>
      <c r="B6548" s="1831"/>
      <c r="D6548" s="2" t="str">
        <f t="shared" si="101"/>
        <v>OK</v>
      </c>
      <c r="E6548" s="4" t="s">
        <v>1990</v>
      </c>
    </row>
    <row r="6549" spans="1:5" x14ac:dyDescent="0.2">
      <c r="A6549" s="126">
        <v>6488</v>
      </c>
      <c r="B6549" s="1831"/>
      <c r="D6549" s="2" t="str">
        <f t="shared" si="101"/>
        <v>OK</v>
      </c>
      <c r="E6549" s="4" t="s">
        <v>1990</v>
      </c>
    </row>
    <row r="6550" spans="1:5" x14ac:dyDescent="0.2">
      <c r="A6550" s="126">
        <v>6489</v>
      </c>
      <c r="B6550" s="1831"/>
      <c r="D6550" s="2" t="str">
        <f t="shared" si="101"/>
        <v>OK</v>
      </c>
      <c r="E6550" s="4" t="s">
        <v>1990</v>
      </c>
    </row>
    <row r="6551" spans="1:5" x14ac:dyDescent="0.2">
      <c r="A6551" s="126">
        <v>6490</v>
      </c>
      <c r="B6551" s="1831"/>
      <c r="D6551" s="2" t="str">
        <f t="shared" si="101"/>
        <v>OK</v>
      </c>
      <c r="E6551" s="4" t="s">
        <v>1990</v>
      </c>
    </row>
    <row r="6552" spans="1:5" x14ac:dyDescent="0.2">
      <c r="A6552" s="126">
        <v>6491</v>
      </c>
      <c r="B6552" s="1831"/>
      <c r="D6552" s="2" t="str">
        <f t="shared" si="101"/>
        <v>OK</v>
      </c>
      <c r="E6552" s="4" t="s">
        <v>1990</v>
      </c>
    </row>
    <row r="6553" spans="1:5" x14ac:dyDescent="0.2">
      <c r="A6553" s="126">
        <v>6492</v>
      </c>
      <c r="B6553" s="1831"/>
      <c r="D6553" s="2" t="str">
        <f t="shared" si="101"/>
        <v>OK</v>
      </c>
      <c r="E6553" s="4" t="s">
        <v>1990</v>
      </c>
    </row>
    <row r="6554" spans="1:5" x14ac:dyDescent="0.2">
      <c r="A6554" s="126">
        <v>6493</v>
      </c>
      <c r="B6554" s="1831"/>
      <c r="D6554" s="2" t="str">
        <f t="shared" si="101"/>
        <v>OK</v>
      </c>
      <c r="E6554" s="4" t="s">
        <v>1990</v>
      </c>
    </row>
    <row r="6555" spans="1:5" x14ac:dyDescent="0.2">
      <c r="A6555" s="126">
        <v>6494</v>
      </c>
      <c r="B6555" s="1831"/>
      <c r="D6555" s="2" t="str">
        <f t="shared" si="101"/>
        <v>OK</v>
      </c>
      <c r="E6555" s="4" t="s">
        <v>1990</v>
      </c>
    </row>
    <row r="6556" spans="1:5" x14ac:dyDescent="0.2">
      <c r="A6556" s="126">
        <v>6495</v>
      </c>
      <c r="B6556" s="1831"/>
      <c r="D6556" s="2" t="str">
        <f t="shared" si="101"/>
        <v>OK</v>
      </c>
      <c r="E6556" s="4" t="s">
        <v>1990</v>
      </c>
    </row>
    <row r="6557" spans="1:5" x14ac:dyDescent="0.2">
      <c r="A6557" s="126">
        <v>6496</v>
      </c>
      <c r="B6557" s="1831"/>
      <c r="D6557" s="2" t="str">
        <f t="shared" si="101"/>
        <v>OK</v>
      </c>
      <c r="E6557" s="4" t="s">
        <v>1990</v>
      </c>
    </row>
    <row r="6558" spans="1:5" x14ac:dyDescent="0.2">
      <c r="A6558" s="126">
        <v>6497</v>
      </c>
      <c r="B6558" s="1831"/>
      <c r="D6558" s="2" t="str">
        <f t="shared" si="101"/>
        <v>OK</v>
      </c>
      <c r="E6558" s="4" t="s">
        <v>1990</v>
      </c>
    </row>
    <row r="6559" spans="1:5" x14ac:dyDescent="0.2">
      <c r="A6559" s="126">
        <v>6498</v>
      </c>
      <c r="B6559" s="1831"/>
      <c r="D6559" s="2" t="str">
        <f t="shared" si="101"/>
        <v>OK</v>
      </c>
      <c r="E6559" s="4" t="s">
        <v>1990</v>
      </c>
    </row>
    <row r="6560" spans="1:5" x14ac:dyDescent="0.2">
      <c r="A6560" s="126">
        <v>6499</v>
      </c>
      <c r="B6560" s="1831"/>
      <c r="D6560" s="2" t="str">
        <f t="shared" si="101"/>
        <v>OK</v>
      </c>
      <c r="E6560" s="4" t="s">
        <v>1990</v>
      </c>
    </row>
    <row r="6561" spans="1:5" x14ac:dyDescent="0.2">
      <c r="A6561" s="126">
        <v>6500</v>
      </c>
      <c r="B6561" s="1831"/>
      <c r="D6561" s="2" t="str">
        <f t="shared" si="101"/>
        <v>OK</v>
      </c>
      <c r="E6561" s="4" t="s">
        <v>1990</v>
      </c>
    </row>
    <row r="6562" spans="1:5" x14ac:dyDescent="0.2">
      <c r="A6562" s="126">
        <v>6501</v>
      </c>
      <c r="B6562" s="1831"/>
      <c r="D6562" s="2" t="str">
        <f t="shared" si="101"/>
        <v>OK</v>
      </c>
      <c r="E6562" s="4" t="s">
        <v>1990</v>
      </c>
    </row>
    <row r="6563" spans="1:5" x14ac:dyDescent="0.2">
      <c r="A6563" s="126">
        <v>6502</v>
      </c>
      <c r="B6563" s="1831"/>
      <c r="D6563" s="2" t="str">
        <f t="shared" si="101"/>
        <v>OK</v>
      </c>
      <c r="E6563" s="4" t="s">
        <v>1990</v>
      </c>
    </row>
    <row r="6564" spans="1:5" x14ac:dyDescent="0.2">
      <c r="A6564" s="126">
        <v>6503</v>
      </c>
      <c r="B6564" s="1831"/>
      <c r="D6564" s="2" t="str">
        <f t="shared" si="101"/>
        <v>OK</v>
      </c>
      <c r="E6564" s="4" t="s">
        <v>1990</v>
      </c>
    </row>
    <row r="6565" spans="1:5" x14ac:dyDescent="0.2">
      <c r="A6565" s="126">
        <v>6504</v>
      </c>
      <c r="B6565" s="1831"/>
      <c r="D6565" s="2" t="str">
        <f t="shared" si="101"/>
        <v>OK</v>
      </c>
      <c r="E6565" s="4" t="s">
        <v>1990</v>
      </c>
    </row>
    <row r="6566" spans="1:5" x14ac:dyDescent="0.2">
      <c r="A6566" s="126">
        <v>6505</v>
      </c>
      <c r="B6566" s="1831"/>
      <c r="D6566" s="2" t="str">
        <f t="shared" si="101"/>
        <v>OK</v>
      </c>
      <c r="E6566" s="4" t="s">
        <v>1990</v>
      </c>
    </row>
    <row r="6567" spans="1:5" x14ac:dyDescent="0.2">
      <c r="A6567" s="126">
        <v>6506</v>
      </c>
      <c r="B6567" s="1831"/>
      <c r="D6567" s="2" t="str">
        <f t="shared" si="101"/>
        <v>OK</v>
      </c>
      <c r="E6567" s="4" t="s">
        <v>1990</v>
      </c>
    </row>
    <row r="6568" spans="1:5" x14ac:dyDescent="0.2">
      <c r="A6568" s="126">
        <v>6507</v>
      </c>
      <c r="B6568" s="1831"/>
      <c r="D6568" s="2" t="str">
        <f t="shared" si="101"/>
        <v>OK</v>
      </c>
      <c r="E6568" s="4" t="s">
        <v>1990</v>
      </c>
    </row>
    <row r="6569" spans="1:5" x14ac:dyDescent="0.2">
      <c r="A6569" s="126">
        <v>6508</v>
      </c>
      <c r="B6569" s="1831"/>
      <c r="D6569" s="2" t="str">
        <f t="shared" si="101"/>
        <v>OK</v>
      </c>
      <c r="E6569" s="4" t="s">
        <v>1990</v>
      </c>
    </row>
    <row r="6570" spans="1:5" x14ac:dyDescent="0.2">
      <c r="A6570" s="126">
        <v>6509</v>
      </c>
      <c r="B6570" s="1831"/>
      <c r="D6570" s="2" t="str">
        <f t="shared" si="101"/>
        <v>OK</v>
      </c>
      <c r="E6570" s="4" t="s">
        <v>1990</v>
      </c>
    </row>
    <row r="6571" spans="1:5" x14ac:dyDescent="0.2">
      <c r="A6571" s="126">
        <v>6510</v>
      </c>
      <c r="B6571" s="1831"/>
      <c r="D6571" s="2" t="str">
        <f t="shared" si="101"/>
        <v>OK</v>
      </c>
      <c r="E6571" s="4" t="s">
        <v>1990</v>
      </c>
    </row>
    <row r="6572" spans="1:5" x14ac:dyDescent="0.2">
      <c r="A6572" s="126">
        <v>6511</v>
      </c>
      <c r="B6572" s="1831"/>
      <c r="D6572" s="2" t="str">
        <f t="shared" si="101"/>
        <v>OK</v>
      </c>
      <c r="E6572" s="4" t="s">
        <v>1990</v>
      </c>
    </row>
    <row r="6573" spans="1:5" x14ac:dyDescent="0.2">
      <c r="A6573" s="126">
        <v>6512</v>
      </c>
      <c r="B6573" s="1831"/>
      <c r="D6573" s="2" t="str">
        <f t="shared" si="101"/>
        <v>OK</v>
      </c>
      <c r="E6573" s="4" t="s">
        <v>1990</v>
      </c>
    </row>
    <row r="6574" spans="1:5" x14ac:dyDescent="0.2">
      <c r="A6574" s="126">
        <v>6513</v>
      </c>
      <c r="B6574" s="1831"/>
      <c r="D6574" s="2" t="str">
        <f t="shared" si="101"/>
        <v>OK</v>
      </c>
      <c r="E6574" s="4" t="s">
        <v>1990</v>
      </c>
    </row>
    <row r="6575" spans="1:5" x14ac:dyDescent="0.2">
      <c r="A6575" s="126">
        <v>6514</v>
      </c>
      <c r="B6575" s="1831"/>
      <c r="D6575" s="2" t="str">
        <f t="shared" si="101"/>
        <v>OK</v>
      </c>
      <c r="E6575" s="4" t="s">
        <v>1990</v>
      </c>
    </row>
    <row r="6576" spans="1:5" x14ac:dyDescent="0.2">
      <c r="A6576" s="126">
        <v>6515</v>
      </c>
      <c r="B6576" s="1831"/>
      <c r="D6576" s="2" t="str">
        <f t="shared" si="101"/>
        <v>OK</v>
      </c>
      <c r="E6576" s="4" t="s">
        <v>1990</v>
      </c>
    </row>
    <row r="6577" spans="1:5" x14ac:dyDescent="0.2">
      <c r="A6577" s="126">
        <v>6516</v>
      </c>
      <c r="B6577" s="1831"/>
      <c r="D6577" s="2" t="str">
        <f t="shared" si="101"/>
        <v>OK</v>
      </c>
      <c r="E6577" s="4" t="s">
        <v>1990</v>
      </c>
    </row>
    <row r="6578" spans="1:5" x14ac:dyDescent="0.2">
      <c r="A6578" s="126">
        <v>6517</v>
      </c>
      <c r="B6578" s="1831"/>
      <c r="D6578" s="2" t="str">
        <f t="shared" si="101"/>
        <v>OK</v>
      </c>
      <c r="E6578" s="4" t="s">
        <v>1990</v>
      </c>
    </row>
    <row r="6579" spans="1:5" x14ac:dyDescent="0.2">
      <c r="A6579" s="126">
        <v>6518</v>
      </c>
      <c r="B6579" s="1831"/>
      <c r="D6579" s="2" t="str">
        <f t="shared" si="101"/>
        <v>OK</v>
      </c>
      <c r="E6579" s="4" t="s">
        <v>1990</v>
      </c>
    </row>
    <row r="6580" spans="1:5" x14ac:dyDescent="0.2">
      <c r="A6580" s="126">
        <v>6519</v>
      </c>
      <c r="B6580" s="1831"/>
      <c r="D6580" s="2" t="str">
        <f t="shared" si="101"/>
        <v>OK</v>
      </c>
      <c r="E6580" s="4" t="s">
        <v>1990</v>
      </c>
    </row>
    <row r="6581" spans="1:5" x14ac:dyDescent="0.2">
      <c r="A6581" s="126">
        <v>6520</v>
      </c>
      <c r="B6581" s="1831"/>
      <c r="D6581" s="2" t="str">
        <f t="shared" si="101"/>
        <v>OK</v>
      </c>
      <c r="E6581" s="4" t="s">
        <v>1990</v>
      </c>
    </row>
    <row r="6582" spans="1:5" x14ac:dyDescent="0.2">
      <c r="A6582" s="126">
        <v>6521</v>
      </c>
      <c r="B6582" s="1831"/>
      <c r="D6582" s="2" t="str">
        <f t="shared" si="101"/>
        <v>OK</v>
      </c>
      <c r="E6582" s="4" t="s">
        <v>1990</v>
      </c>
    </row>
    <row r="6583" spans="1:5" x14ac:dyDescent="0.2">
      <c r="A6583" s="126">
        <v>6522</v>
      </c>
      <c r="B6583" s="1831"/>
      <c r="D6583" s="2" t="str">
        <f t="shared" si="101"/>
        <v>OK</v>
      </c>
      <c r="E6583" s="4" t="s">
        <v>1990</v>
      </c>
    </row>
    <row r="6584" spans="1:5" x14ac:dyDescent="0.2">
      <c r="A6584" s="126">
        <v>6523</v>
      </c>
      <c r="B6584" s="1831"/>
      <c r="D6584" s="2" t="str">
        <f t="shared" si="101"/>
        <v>OK</v>
      </c>
      <c r="E6584" s="4" t="s">
        <v>1990</v>
      </c>
    </row>
    <row r="6585" spans="1:5" x14ac:dyDescent="0.2">
      <c r="A6585" s="126">
        <v>6524</v>
      </c>
      <c r="B6585" s="1831"/>
      <c r="D6585" s="2" t="str">
        <f t="shared" si="101"/>
        <v>OK</v>
      </c>
      <c r="E6585" s="4" t="s">
        <v>1990</v>
      </c>
    </row>
    <row r="6586" spans="1:5" x14ac:dyDescent="0.2">
      <c r="A6586" s="126">
        <v>6525</v>
      </c>
      <c r="B6586" s="1831"/>
      <c r="D6586" s="2" t="str">
        <f t="shared" si="101"/>
        <v>OK</v>
      </c>
      <c r="E6586" s="4" t="s">
        <v>1990</v>
      </c>
    </row>
    <row r="6587" spans="1:5" x14ac:dyDescent="0.2">
      <c r="A6587" s="126">
        <v>6526</v>
      </c>
      <c r="B6587" s="1831"/>
      <c r="D6587" s="2" t="str">
        <f t="shared" si="101"/>
        <v>OK</v>
      </c>
      <c r="E6587" s="4" t="s">
        <v>1990</v>
      </c>
    </row>
    <row r="6588" spans="1:5" x14ac:dyDescent="0.2">
      <c r="A6588" s="126">
        <v>6527</v>
      </c>
      <c r="B6588" s="1831"/>
      <c r="D6588" s="2" t="str">
        <f t="shared" si="101"/>
        <v>OK</v>
      </c>
      <c r="E6588" s="4" t="s">
        <v>1990</v>
      </c>
    </row>
    <row r="6589" spans="1:5" x14ac:dyDescent="0.2">
      <c r="A6589" s="126">
        <v>6528</v>
      </c>
      <c r="B6589" s="1831"/>
      <c r="D6589" s="2" t="str">
        <f t="shared" si="101"/>
        <v>OK</v>
      </c>
      <c r="E6589" s="4" t="s">
        <v>1990</v>
      </c>
    </row>
    <row r="6590" spans="1:5" x14ac:dyDescent="0.2">
      <c r="A6590" s="126">
        <v>6529</v>
      </c>
      <c r="B6590" s="1831"/>
      <c r="D6590" s="2" t="str">
        <f t="shared" si="101"/>
        <v>OK</v>
      </c>
      <c r="E6590" s="4" t="s">
        <v>1990</v>
      </c>
    </row>
    <row r="6591" spans="1:5" x14ac:dyDescent="0.2">
      <c r="A6591" s="126">
        <v>6530</v>
      </c>
      <c r="B6591" s="1831"/>
      <c r="D6591" s="2" t="str">
        <f t="shared" ref="D6591:D6654" si="102">IF(ISBLANK(B6591),"OK",IF(A6591-B6591=0,"OK","Error?"))</f>
        <v>OK</v>
      </c>
      <c r="E6591" s="4" t="s">
        <v>1990</v>
      </c>
    </row>
    <row r="6592" spans="1:5" x14ac:dyDescent="0.2">
      <c r="A6592" s="126">
        <v>6531</v>
      </c>
      <c r="B6592" s="1831"/>
      <c r="D6592" s="2" t="str">
        <f t="shared" si="102"/>
        <v>OK</v>
      </c>
      <c r="E6592" s="4" t="s">
        <v>1990</v>
      </c>
    </row>
    <row r="6593" spans="1:5" x14ac:dyDescent="0.2">
      <c r="A6593" s="126">
        <v>6532</v>
      </c>
      <c r="B6593" s="1831"/>
      <c r="D6593" s="2" t="str">
        <f t="shared" si="102"/>
        <v>OK</v>
      </c>
      <c r="E6593" s="4" t="s">
        <v>1990</v>
      </c>
    </row>
    <row r="6594" spans="1:5" x14ac:dyDescent="0.2">
      <c r="A6594" s="126">
        <v>6533</v>
      </c>
      <c r="B6594" s="1831"/>
      <c r="D6594" s="2" t="str">
        <f t="shared" si="102"/>
        <v>OK</v>
      </c>
      <c r="E6594" s="4" t="s">
        <v>1990</v>
      </c>
    </row>
    <row r="6595" spans="1:5" x14ac:dyDescent="0.2">
      <c r="A6595" s="126">
        <v>6534</v>
      </c>
      <c r="B6595" s="1831"/>
      <c r="D6595" s="2" t="str">
        <f t="shared" si="102"/>
        <v>OK</v>
      </c>
      <c r="E6595" s="4" t="s">
        <v>1990</v>
      </c>
    </row>
    <row r="6596" spans="1:5" x14ac:dyDescent="0.2">
      <c r="A6596" s="126">
        <v>6535</v>
      </c>
      <c r="B6596" s="1831"/>
      <c r="D6596" s="2" t="str">
        <f t="shared" si="102"/>
        <v>OK</v>
      </c>
      <c r="E6596" s="4" t="s">
        <v>1990</v>
      </c>
    </row>
    <row r="6597" spans="1:5" x14ac:dyDescent="0.2">
      <c r="A6597" s="126">
        <v>6536</v>
      </c>
      <c r="B6597" s="1831"/>
      <c r="D6597" s="2" t="str">
        <f t="shared" si="102"/>
        <v>OK</v>
      </c>
      <c r="E6597" s="4" t="s">
        <v>1990</v>
      </c>
    </row>
    <row r="6598" spans="1:5" x14ac:dyDescent="0.2">
      <c r="A6598" s="126">
        <v>6537</v>
      </c>
      <c r="B6598" s="1831"/>
      <c r="D6598" s="2" t="str">
        <f t="shared" si="102"/>
        <v>OK</v>
      </c>
      <c r="E6598" s="4" t="s">
        <v>1990</v>
      </c>
    </row>
    <row r="6599" spans="1:5" x14ac:dyDescent="0.2">
      <c r="A6599" s="126">
        <v>6538</v>
      </c>
      <c r="B6599" s="1831"/>
      <c r="D6599" s="2" t="str">
        <f t="shared" si="102"/>
        <v>OK</v>
      </c>
      <c r="E6599" s="4" t="s">
        <v>1990</v>
      </c>
    </row>
    <row r="6600" spans="1:5" x14ac:dyDescent="0.2">
      <c r="A6600" s="126">
        <v>6539</v>
      </c>
      <c r="B6600" s="1831"/>
      <c r="D6600" s="2" t="str">
        <f t="shared" si="102"/>
        <v>OK</v>
      </c>
      <c r="E6600" s="4" t="s">
        <v>1990</v>
      </c>
    </row>
    <row r="6601" spans="1:5" x14ac:dyDescent="0.2">
      <c r="A6601" s="126">
        <v>6540</v>
      </c>
      <c r="B6601" s="1831"/>
      <c r="D6601" s="2" t="str">
        <f t="shared" si="102"/>
        <v>OK</v>
      </c>
      <c r="E6601" s="4" t="s">
        <v>1990</v>
      </c>
    </row>
    <row r="6602" spans="1:5" x14ac:dyDescent="0.2">
      <c r="A6602" s="126">
        <v>6541</v>
      </c>
      <c r="B6602" s="1831"/>
      <c r="D6602" s="2" t="str">
        <f t="shared" si="102"/>
        <v>OK</v>
      </c>
      <c r="E6602" s="4" t="s">
        <v>1990</v>
      </c>
    </row>
    <row r="6603" spans="1:5" x14ac:dyDescent="0.2">
      <c r="A6603" s="126">
        <v>6542</v>
      </c>
      <c r="B6603" s="1831"/>
      <c r="D6603" s="2" t="str">
        <f t="shared" si="102"/>
        <v>OK</v>
      </c>
      <c r="E6603" s="4" t="s">
        <v>1990</v>
      </c>
    </row>
    <row r="6604" spans="1:5" x14ac:dyDescent="0.2">
      <c r="A6604" s="126">
        <v>6543</v>
      </c>
      <c r="B6604" s="1831"/>
      <c r="D6604" s="2" t="str">
        <f t="shared" si="102"/>
        <v>OK</v>
      </c>
      <c r="E6604" s="4" t="s">
        <v>1990</v>
      </c>
    </row>
    <row r="6605" spans="1:5" x14ac:dyDescent="0.2">
      <c r="A6605" s="126">
        <v>6544</v>
      </c>
      <c r="B6605" s="1831"/>
      <c r="D6605" s="2" t="str">
        <f t="shared" si="102"/>
        <v>OK</v>
      </c>
      <c r="E6605" s="4" t="s">
        <v>1990</v>
      </c>
    </row>
    <row r="6606" spans="1:5" x14ac:dyDescent="0.2">
      <c r="A6606" s="126">
        <v>6545</v>
      </c>
      <c r="B6606" s="1831"/>
      <c r="D6606" s="2" t="str">
        <f t="shared" si="102"/>
        <v>OK</v>
      </c>
      <c r="E6606" s="4" t="s">
        <v>1990</v>
      </c>
    </row>
    <row r="6607" spans="1:5" x14ac:dyDescent="0.2">
      <c r="A6607" s="126">
        <v>6546</v>
      </c>
      <c r="B6607" s="1831"/>
      <c r="D6607" s="2" t="str">
        <f t="shared" si="102"/>
        <v>OK</v>
      </c>
      <c r="E6607" s="4" t="s">
        <v>1990</v>
      </c>
    </row>
    <row r="6608" spans="1:5" x14ac:dyDescent="0.2">
      <c r="A6608" s="126">
        <v>6547</v>
      </c>
      <c r="B6608" s="1831"/>
      <c r="D6608" s="2" t="str">
        <f t="shared" si="102"/>
        <v>OK</v>
      </c>
      <c r="E6608" s="4" t="s">
        <v>1990</v>
      </c>
    </row>
    <row r="6609" spans="1:5" x14ac:dyDescent="0.2">
      <c r="A6609" s="126">
        <v>6548</v>
      </c>
      <c r="B6609" s="1831"/>
      <c r="D6609" s="2" t="str">
        <f t="shared" si="102"/>
        <v>OK</v>
      </c>
      <c r="E6609" s="4" t="s">
        <v>1990</v>
      </c>
    </row>
    <row r="6610" spans="1:5" x14ac:dyDescent="0.2">
      <c r="A6610" s="126">
        <v>6549</v>
      </c>
      <c r="B6610" s="1831"/>
      <c r="D6610" s="2" t="str">
        <f t="shared" si="102"/>
        <v>OK</v>
      </c>
      <c r="E6610" s="4" t="s">
        <v>1990</v>
      </c>
    </row>
    <row r="6611" spans="1:5" x14ac:dyDescent="0.2">
      <c r="A6611" s="126">
        <v>6550</v>
      </c>
      <c r="B6611" s="1831"/>
      <c r="D6611" s="2" t="str">
        <f t="shared" si="102"/>
        <v>OK</v>
      </c>
      <c r="E6611" s="4" t="s">
        <v>1990</v>
      </c>
    </row>
    <row r="6612" spans="1:5" x14ac:dyDescent="0.2">
      <c r="A6612" s="126">
        <v>6551</v>
      </c>
      <c r="B6612" s="1831"/>
      <c r="D6612" s="2" t="str">
        <f t="shared" si="102"/>
        <v>OK</v>
      </c>
      <c r="E6612" s="4" t="s">
        <v>1990</v>
      </c>
    </row>
    <row r="6613" spans="1:5" x14ac:dyDescent="0.2">
      <c r="A6613" s="126">
        <v>6552</v>
      </c>
      <c r="B6613" s="1831"/>
      <c r="D6613" s="2" t="str">
        <f t="shared" si="102"/>
        <v>OK</v>
      </c>
      <c r="E6613" s="4" t="s">
        <v>1990</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1894</v>
      </c>
    </row>
    <row r="6842" spans="1:5" x14ac:dyDescent="0.2">
      <c r="A6842" s="126">
        <v>6781</v>
      </c>
      <c r="B6842" s="1831"/>
      <c r="D6842" s="2" t="str">
        <f t="shared" si="105"/>
        <v>OK</v>
      </c>
      <c r="E6842" s="1" t="s">
        <v>1894</v>
      </c>
    </row>
    <row r="6843" spans="1:5" x14ac:dyDescent="0.2">
      <c r="A6843" s="126">
        <v>6782</v>
      </c>
      <c r="B6843" s="1831"/>
      <c r="D6843" s="2" t="str">
        <f t="shared" si="105"/>
        <v>OK</v>
      </c>
      <c r="E6843" s="1" t="s">
        <v>1894</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245625</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182273</v>
      </c>
      <c r="D7251" s="2" t="str">
        <f t="shared" si="112"/>
        <v>Error?</v>
      </c>
    </row>
    <row r="7252" spans="1:4" x14ac:dyDescent="0.2">
      <c r="A7252">
        <f t="shared" si="113"/>
        <v>7191</v>
      </c>
      <c r="B7252" s="1831">
        <f>'Expenditures 15-22'!D9</f>
        <v>51361</v>
      </c>
      <c r="D7252" s="2" t="str">
        <f t="shared" si="112"/>
        <v>Error?</v>
      </c>
    </row>
    <row r="7253" spans="1:4" x14ac:dyDescent="0.2">
      <c r="A7253">
        <f t="shared" si="113"/>
        <v>7192</v>
      </c>
      <c r="B7253" s="1831">
        <f>'Expenditures 15-22'!E9</f>
        <v>1342</v>
      </c>
      <c r="D7253" s="2" t="str">
        <f t="shared" si="112"/>
        <v>Error?</v>
      </c>
    </row>
    <row r="7254" spans="1:4" x14ac:dyDescent="0.2">
      <c r="A7254">
        <f t="shared" si="113"/>
        <v>7193</v>
      </c>
      <c r="B7254" s="1831">
        <f>'Expenditures 15-22'!F9</f>
        <v>6349</v>
      </c>
      <c r="D7254" s="2" t="str">
        <f t="shared" si="112"/>
        <v>Error?</v>
      </c>
    </row>
    <row r="7255" spans="1:4" x14ac:dyDescent="0.2">
      <c r="A7255">
        <f t="shared" si="113"/>
        <v>7194</v>
      </c>
      <c r="B7255" s="1831">
        <f>'Expenditures 15-22'!G9</f>
        <v>4300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44605</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1991</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1991</v>
      </c>
    </row>
    <row r="7641" spans="1:6" x14ac:dyDescent="0.2">
      <c r="A7641" s="126">
        <f t="shared" si="125"/>
        <v>7580</v>
      </c>
      <c r="B7641" s="1832"/>
      <c r="D7641" s="2" t="str">
        <f t="shared" si="124"/>
        <v>OK</v>
      </c>
      <c r="E7641" s="4" t="s">
        <v>1991</v>
      </c>
    </row>
    <row r="7642" spans="1:6" x14ac:dyDescent="0.2">
      <c r="A7642" s="126">
        <f t="shared" si="125"/>
        <v>7581</v>
      </c>
      <c r="B7642" s="1832"/>
      <c r="D7642" s="2" t="str">
        <f t="shared" si="124"/>
        <v>OK</v>
      </c>
      <c r="E7642" s="4" t="s">
        <v>1991</v>
      </c>
    </row>
    <row r="7643" spans="1:6" x14ac:dyDescent="0.2">
      <c r="A7643" s="126">
        <f t="shared" si="125"/>
        <v>7582</v>
      </c>
      <c r="B7643" s="1832"/>
      <c r="D7643" s="2" t="str">
        <f t="shared" si="124"/>
        <v>OK</v>
      </c>
      <c r="E7643" s="4" t="s">
        <v>1991</v>
      </c>
    </row>
    <row r="7644" spans="1:6" x14ac:dyDescent="0.2">
      <c r="A7644" s="126">
        <f t="shared" si="125"/>
        <v>7583</v>
      </c>
      <c r="B7644" s="1832"/>
      <c r="D7644" s="2" t="str">
        <f t="shared" si="124"/>
        <v>OK</v>
      </c>
      <c r="E7644" s="4" t="s">
        <v>1991</v>
      </c>
    </row>
    <row r="7645" spans="1:6" x14ac:dyDescent="0.2">
      <c r="A7645" s="126">
        <f t="shared" si="125"/>
        <v>7584</v>
      </c>
      <c r="B7645" s="1832"/>
      <c r="D7645" s="2" t="str">
        <f t="shared" si="124"/>
        <v>OK</v>
      </c>
      <c r="E7645" s="4" t="s">
        <v>1991</v>
      </c>
    </row>
    <row r="7646" spans="1:6" x14ac:dyDescent="0.2">
      <c r="A7646" s="126">
        <f t="shared" si="125"/>
        <v>7585</v>
      </c>
      <c r="B7646" s="1832"/>
      <c r="D7646" s="2" t="str">
        <f t="shared" si="124"/>
        <v>OK</v>
      </c>
      <c r="E7646" s="4" t="s">
        <v>1991</v>
      </c>
    </row>
    <row r="7647" spans="1:6" x14ac:dyDescent="0.2">
      <c r="A7647" s="126">
        <f t="shared" si="125"/>
        <v>7586</v>
      </c>
      <c r="B7647" s="1832"/>
      <c r="D7647" s="2" t="str">
        <f t="shared" si="124"/>
        <v>OK</v>
      </c>
      <c r="E7647" s="4" t="s">
        <v>1991</v>
      </c>
    </row>
    <row r="7648" spans="1:6" x14ac:dyDescent="0.2">
      <c r="A7648" s="126">
        <f t="shared" si="125"/>
        <v>7587</v>
      </c>
      <c r="B7648" s="1832"/>
      <c r="D7648" s="2" t="str">
        <f t="shared" si="124"/>
        <v>OK</v>
      </c>
      <c r="E7648" s="4" t="s">
        <v>1991</v>
      </c>
    </row>
    <row r="7649" spans="1:5" x14ac:dyDescent="0.2">
      <c r="A7649" s="126">
        <f t="shared" si="125"/>
        <v>7588</v>
      </c>
      <c r="B7649" s="1832"/>
      <c r="D7649" s="2" t="str">
        <f t="shared" si="124"/>
        <v>OK</v>
      </c>
      <c r="E7649" s="4" t="s">
        <v>1991</v>
      </c>
    </row>
    <row r="7650" spans="1:5" x14ac:dyDescent="0.2">
      <c r="A7650" s="126">
        <f t="shared" si="125"/>
        <v>7589</v>
      </c>
      <c r="B7650" s="1832"/>
      <c r="D7650" s="2" t="str">
        <f t="shared" si="124"/>
        <v>OK</v>
      </c>
      <c r="E7650" s="4" t="s">
        <v>1991</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1</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1</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1993</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1822</v>
      </c>
    </row>
    <row r="7775" spans="1:5" x14ac:dyDescent="0.2">
      <c r="A7775">
        <v>7714</v>
      </c>
      <c r="B7775" s="1831">
        <f>'Expenditures 15-22'!H133</f>
        <v>0</v>
      </c>
      <c r="D7775" s="2" t="str">
        <f t="shared" si="127"/>
        <v>Error?</v>
      </c>
      <c r="E7775" s="4" t="s">
        <v>1822</v>
      </c>
    </row>
    <row r="7776" spans="1:5" x14ac:dyDescent="0.2">
      <c r="A7776">
        <v>7715</v>
      </c>
      <c r="B7776" s="1831">
        <f>'Expenditures 15-22'!K133</f>
        <v>0</v>
      </c>
      <c r="D7776" s="2" t="str">
        <f t="shared" si="127"/>
        <v>Error?</v>
      </c>
      <c r="E7776" s="4" t="s">
        <v>1822</v>
      </c>
    </row>
    <row r="7777" spans="1:5" x14ac:dyDescent="0.2">
      <c r="A7777">
        <v>7716</v>
      </c>
      <c r="B7777" s="1831">
        <f>'Expenditures 15-22'!H157</f>
        <v>0</v>
      </c>
      <c r="D7777" s="2" t="str">
        <f t="shared" si="127"/>
        <v>Error?</v>
      </c>
      <c r="E7777" s="4" t="s">
        <v>1822</v>
      </c>
    </row>
    <row r="7778" spans="1:5" x14ac:dyDescent="0.2">
      <c r="A7778">
        <v>7717</v>
      </c>
      <c r="B7778" s="1831">
        <f>'Expenditures 15-22'!K157</f>
        <v>0</v>
      </c>
      <c r="D7778" s="2" t="str">
        <f t="shared" si="127"/>
        <v>Error?</v>
      </c>
      <c r="E7778" s="4" t="s">
        <v>1822</v>
      </c>
    </row>
    <row r="7779" spans="1:5" x14ac:dyDescent="0.2">
      <c r="A7779">
        <v>7718</v>
      </c>
      <c r="B7779" s="1831">
        <f>'Expenditures 15-22'!H158</f>
        <v>0</v>
      </c>
      <c r="D7779" s="2" t="str">
        <f t="shared" si="127"/>
        <v>Error?</v>
      </c>
      <c r="E7779" s="4" t="s">
        <v>1822</v>
      </c>
    </row>
    <row r="7780" spans="1:5" x14ac:dyDescent="0.2">
      <c r="A7780">
        <v>7719</v>
      </c>
      <c r="B7780" s="1831">
        <f>'Expenditures 15-22'!K158</f>
        <v>0</v>
      </c>
      <c r="D7780" s="2" t="str">
        <f t="shared" si="127"/>
        <v>Error?</v>
      </c>
      <c r="E7780" s="4" t="s">
        <v>1822</v>
      </c>
    </row>
    <row r="7781" spans="1:5" x14ac:dyDescent="0.2">
      <c r="A7781">
        <v>7720</v>
      </c>
      <c r="B7781" s="1831">
        <f>'Expenditures 15-22'!H159</f>
        <v>0</v>
      </c>
      <c r="D7781" s="2" t="str">
        <f t="shared" si="127"/>
        <v>Error?</v>
      </c>
      <c r="E7781" s="4" t="s">
        <v>1822</v>
      </c>
    </row>
    <row r="7782" spans="1:5" x14ac:dyDescent="0.2">
      <c r="A7782">
        <v>7721</v>
      </c>
      <c r="B7782" s="1831">
        <f>'Expenditures 15-22'!K159</f>
        <v>0</v>
      </c>
      <c r="D7782" s="2" t="str">
        <f t="shared" si="127"/>
        <v>Error?</v>
      </c>
      <c r="E7782" s="4" t="s">
        <v>1822</v>
      </c>
    </row>
    <row r="7783" spans="1:5" x14ac:dyDescent="0.2">
      <c r="A7783">
        <v>7722</v>
      </c>
      <c r="B7783" s="1831">
        <f>'Expenditures 15-22'!D282</f>
        <v>0</v>
      </c>
      <c r="D7783" s="2" t="str">
        <f t="shared" si="127"/>
        <v>Error?</v>
      </c>
      <c r="E7783" s="4" t="s">
        <v>1822</v>
      </c>
    </row>
    <row r="7784" spans="1:5" x14ac:dyDescent="0.2">
      <c r="A7784">
        <v>7723</v>
      </c>
      <c r="B7784" s="1831">
        <f>'Expenditures 15-22'!K282</f>
        <v>0</v>
      </c>
      <c r="D7784" s="2" t="str">
        <f t="shared" si="127"/>
        <v>Error?</v>
      </c>
      <c r="E7784" s="4" t="s">
        <v>1822</v>
      </c>
    </row>
    <row r="7785" spans="1:5" x14ac:dyDescent="0.2">
      <c r="A7785">
        <v>7724</v>
      </c>
      <c r="B7785" s="1831">
        <f>'Expenditures 15-22'!H332</f>
        <v>0</v>
      </c>
      <c r="D7785" s="2" t="str">
        <f t="shared" si="127"/>
        <v>Error?</v>
      </c>
      <c r="E7785" s="4" t="s">
        <v>1822</v>
      </c>
    </row>
    <row r="7786" spans="1:5" x14ac:dyDescent="0.2">
      <c r="A7786">
        <v>7725</v>
      </c>
      <c r="B7786" s="1831">
        <f>'Expenditures 15-22'!K332</f>
        <v>0</v>
      </c>
      <c r="D7786" s="2" t="str">
        <f t="shared" si="127"/>
        <v>Error?</v>
      </c>
      <c r="E7786" s="4" t="s">
        <v>1822</v>
      </c>
    </row>
    <row r="7787" spans="1:5" x14ac:dyDescent="0.2">
      <c r="A7787">
        <v>7726</v>
      </c>
      <c r="B7787" s="1831">
        <f>'Expenditures 15-22'!H333</f>
        <v>0</v>
      </c>
      <c r="D7787" s="2" t="str">
        <f t="shared" si="127"/>
        <v>Error?</v>
      </c>
      <c r="E7787" s="4" t="s">
        <v>1822</v>
      </c>
    </row>
    <row r="7788" spans="1:5" x14ac:dyDescent="0.2">
      <c r="A7788">
        <v>7727</v>
      </c>
      <c r="B7788" s="1831">
        <f>'Expenditures 15-22'!K333</f>
        <v>0</v>
      </c>
      <c r="D7788" s="2" t="str">
        <f t="shared" si="127"/>
        <v>Error?</v>
      </c>
      <c r="E7788" s="4" t="s">
        <v>1822</v>
      </c>
    </row>
    <row r="7789" spans="1:5" x14ac:dyDescent="0.2">
      <c r="A7789">
        <v>7728</v>
      </c>
      <c r="B7789" s="1831">
        <f>'Expenditures 15-22'!H334</f>
        <v>0</v>
      </c>
      <c r="D7789" s="2" t="str">
        <f t="shared" si="127"/>
        <v>Error?</v>
      </c>
      <c r="E7789" s="4" t="s">
        <v>1822</v>
      </c>
    </row>
    <row r="7790" spans="1:5" x14ac:dyDescent="0.2">
      <c r="A7790">
        <v>7729</v>
      </c>
      <c r="B7790" s="1831">
        <f>'Expenditures 15-22'!K334</f>
        <v>0</v>
      </c>
      <c r="D7790" s="2" t="str">
        <f t="shared" si="127"/>
        <v>Error?</v>
      </c>
      <c r="E7790" s="4" t="s">
        <v>1822</v>
      </c>
    </row>
    <row r="7791" spans="1:5" x14ac:dyDescent="0.2">
      <c r="A7791">
        <v>7730</v>
      </c>
      <c r="B7791" s="1831">
        <f>'Expenditures 15-22'!H354</f>
        <v>0</v>
      </c>
      <c r="D7791" s="2" t="str">
        <f t="shared" si="127"/>
        <v>Error?</v>
      </c>
      <c r="E7791" s="4" t="s">
        <v>1822</v>
      </c>
    </row>
    <row r="7792" spans="1:5" x14ac:dyDescent="0.2">
      <c r="A7792">
        <v>7731</v>
      </c>
      <c r="B7792" s="1831">
        <f>'Expenditures 15-22'!K354</f>
        <v>0</v>
      </c>
      <c r="D7792" s="2" t="str">
        <f t="shared" si="127"/>
        <v>Error?</v>
      </c>
      <c r="E7792" s="4" t="s">
        <v>1822</v>
      </c>
    </row>
    <row r="7793" spans="1:5" x14ac:dyDescent="0.2">
      <c r="A7793">
        <v>7732</v>
      </c>
      <c r="B7793" s="1831">
        <f>'Expenditures 15-22'!H355</f>
        <v>0</v>
      </c>
      <c r="D7793" s="2" t="str">
        <f t="shared" si="127"/>
        <v>Error?</v>
      </c>
      <c r="E7793" s="4" t="s">
        <v>1822</v>
      </c>
    </row>
    <row r="7794" spans="1:5" x14ac:dyDescent="0.2">
      <c r="A7794">
        <v>7733</v>
      </c>
      <c r="B7794" s="1831">
        <f>'Expenditures 15-22'!K355</f>
        <v>0</v>
      </c>
      <c r="D7794" s="2" t="str">
        <f t="shared" si="127"/>
        <v>Error?</v>
      </c>
      <c r="E7794" s="4" t="s">
        <v>1822</v>
      </c>
    </row>
    <row r="7795" spans="1:5" x14ac:dyDescent="0.2">
      <c r="A7795">
        <v>7734</v>
      </c>
      <c r="B7795" s="1831">
        <f>'Expenditures 15-22'!E138</f>
        <v>0</v>
      </c>
      <c r="D7795" s="2" t="str">
        <f t="shared" si="127"/>
        <v>Error?</v>
      </c>
      <c r="E7795" s="4" t="s">
        <v>1822</v>
      </c>
    </row>
    <row r="7796" spans="1:5" x14ac:dyDescent="0.2">
      <c r="A7796">
        <v>7735</v>
      </c>
      <c r="B7796" s="1831">
        <f>'Acct Summary 7-8'!J15</f>
        <v>0</v>
      </c>
      <c r="D7796" s="2" t="str">
        <f t="shared" si="127"/>
        <v>Error?</v>
      </c>
      <c r="E7796" s="4" t="s">
        <v>1822</v>
      </c>
    </row>
    <row r="7797" spans="1:5" x14ac:dyDescent="0.2">
      <c r="A7797" s="126">
        <v>7736</v>
      </c>
      <c r="B7797" s="1831"/>
      <c r="D7797" s="2" t="str">
        <f t="shared" si="127"/>
        <v>OK</v>
      </c>
      <c r="E7797" s="4" t="s">
        <v>1975</v>
      </c>
    </row>
    <row r="7798" spans="1:5" x14ac:dyDescent="0.2">
      <c r="A7798" s="126">
        <v>7737</v>
      </c>
      <c r="B7798" s="1831"/>
      <c r="D7798" s="2" t="str">
        <f t="shared" si="127"/>
        <v>OK</v>
      </c>
      <c r="E7798" s="4" t="s">
        <v>1975</v>
      </c>
    </row>
    <row r="7799" spans="1:5" x14ac:dyDescent="0.2">
      <c r="A7799" s="126">
        <v>7738</v>
      </c>
      <c r="B7799" s="1831"/>
      <c r="D7799" s="2" t="str">
        <f t="shared" si="127"/>
        <v>OK</v>
      </c>
      <c r="E7799" s="4" t="s">
        <v>1975</v>
      </c>
    </row>
    <row r="7800" spans="1:5" x14ac:dyDescent="0.2">
      <c r="A7800">
        <v>7739</v>
      </c>
      <c r="B7800" s="1831">
        <f>'Rest Tax Levies-Tort Im 25'!K23</f>
        <v>0</v>
      </c>
      <c r="D7800" s="2" t="str">
        <f t="shared" si="127"/>
        <v>Error?</v>
      </c>
      <c r="E7800" s="4" t="s">
        <v>1962</v>
      </c>
    </row>
    <row r="7801" spans="1:5" x14ac:dyDescent="0.2">
      <c r="A7801">
        <v>7740</v>
      </c>
      <c r="B7801" s="1831">
        <f>'Revenues 9-14'!C120</f>
        <v>0</v>
      </c>
      <c r="D7801" s="2" t="str">
        <f t="shared" si="127"/>
        <v>Error?</v>
      </c>
      <c r="E7801" s="4" t="s">
        <v>1896</v>
      </c>
    </row>
    <row r="7802" spans="1:5" x14ac:dyDescent="0.2">
      <c r="A7802">
        <v>7741</v>
      </c>
      <c r="B7802" s="1831">
        <f>'Revenues 9-14'!D120</f>
        <v>0</v>
      </c>
      <c r="D7802" s="2" t="str">
        <f t="shared" si="127"/>
        <v>Error?</v>
      </c>
      <c r="E7802" s="4" t="s">
        <v>1896</v>
      </c>
    </row>
    <row r="7803" spans="1:5" x14ac:dyDescent="0.2">
      <c r="A7803">
        <v>7742</v>
      </c>
      <c r="B7803" s="1831">
        <f>'Revenues 9-14'!E120</f>
        <v>0</v>
      </c>
      <c r="D7803" s="2" t="str">
        <f t="shared" si="127"/>
        <v>Error?</v>
      </c>
      <c r="E7803" s="4" t="s">
        <v>1896</v>
      </c>
    </row>
    <row r="7804" spans="1:5" x14ac:dyDescent="0.2">
      <c r="A7804">
        <v>7743</v>
      </c>
      <c r="B7804" s="1831">
        <f>'Revenues 9-14'!F120</f>
        <v>0</v>
      </c>
      <c r="D7804" s="2" t="str">
        <f t="shared" si="127"/>
        <v>Error?</v>
      </c>
      <c r="E7804" s="4" t="s">
        <v>1896</v>
      </c>
    </row>
    <row r="7805" spans="1:5" x14ac:dyDescent="0.2">
      <c r="A7805">
        <v>7744</v>
      </c>
      <c r="B7805" s="1831">
        <f>'Revenues 9-14'!G120</f>
        <v>0</v>
      </c>
      <c r="D7805" s="2" t="str">
        <f t="shared" si="127"/>
        <v>Error?</v>
      </c>
      <c r="E7805" s="4" t="s">
        <v>1896</v>
      </c>
    </row>
    <row r="7806" spans="1:5" x14ac:dyDescent="0.2">
      <c r="A7806">
        <v>7745</v>
      </c>
      <c r="B7806" s="1831">
        <f>'Revenues 9-14'!H120</f>
        <v>0</v>
      </c>
      <c r="D7806" s="2" t="str">
        <f t="shared" si="127"/>
        <v>Error?</v>
      </c>
      <c r="E7806" s="4" t="s">
        <v>1896</v>
      </c>
    </row>
    <row r="7807" spans="1:5" x14ac:dyDescent="0.2">
      <c r="A7807">
        <v>7746</v>
      </c>
      <c r="B7807" s="1831">
        <f>'Revenues 9-14'!J120</f>
        <v>0</v>
      </c>
      <c r="D7807" s="2" t="str">
        <f t="shared" ref="D7807:D7821" si="128">IF(ISBLANK(B7807),"OK",IF(A7807-B7807=0,"OK","Error?"))</f>
        <v>Error?</v>
      </c>
      <c r="E7807" s="4" t="s">
        <v>1896</v>
      </c>
    </row>
    <row r="7808" spans="1:5" x14ac:dyDescent="0.2">
      <c r="A7808">
        <v>7747</v>
      </c>
      <c r="B7808" s="1831">
        <f>'Revenues 9-14'!K120</f>
        <v>0</v>
      </c>
      <c r="D7808" s="2" t="str">
        <f t="shared" si="128"/>
        <v>Error?</v>
      </c>
      <c r="E7808" s="4" t="s">
        <v>1896</v>
      </c>
    </row>
    <row r="7809" spans="1:5" x14ac:dyDescent="0.2">
      <c r="A7809">
        <v>7748</v>
      </c>
      <c r="B7809" s="1831">
        <f>'Revenues 9-14'!C261</f>
        <v>0</v>
      </c>
      <c r="D7809" s="2" t="str">
        <f t="shared" si="128"/>
        <v>Error?</v>
      </c>
      <c r="E7809" s="4" t="s">
        <v>1897</v>
      </c>
    </row>
    <row r="7810" spans="1:5" x14ac:dyDescent="0.2">
      <c r="A7810">
        <v>7749</v>
      </c>
      <c r="B7810" s="1831">
        <f>'Revenues 9-14'!D261</f>
        <v>0</v>
      </c>
      <c r="D7810" s="2" t="str">
        <f t="shared" si="128"/>
        <v>Error?</v>
      </c>
      <c r="E7810" s="4" t="s">
        <v>1897</v>
      </c>
    </row>
    <row r="7811" spans="1:5" x14ac:dyDescent="0.2">
      <c r="A7811">
        <v>7750</v>
      </c>
      <c r="B7811" s="1831">
        <f>'Revenues 9-14'!F261</f>
        <v>0</v>
      </c>
      <c r="D7811" s="2" t="str">
        <f t="shared" si="128"/>
        <v>Error?</v>
      </c>
      <c r="E7811" s="4" t="s">
        <v>1897</v>
      </c>
    </row>
    <row r="7812" spans="1:5" x14ac:dyDescent="0.2">
      <c r="A7812">
        <v>7751</v>
      </c>
      <c r="B7812" s="1831">
        <f>'Revenues 9-14'!G261</f>
        <v>0</v>
      </c>
      <c r="D7812" s="2" t="str">
        <f t="shared" si="128"/>
        <v>Error?</v>
      </c>
      <c r="E7812" s="4" t="s">
        <v>1897</v>
      </c>
    </row>
    <row r="7813" spans="1:5" x14ac:dyDescent="0.2">
      <c r="A7813">
        <v>7752</v>
      </c>
      <c r="B7813" s="1831">
        <f>'Revenues 9-14'!C262</f>
        <v>0</v>
      </c>
      <c r="D7813" s="2" t="str">
        <f t="shared" si="128"/>
        <v>Error?</v>
      </c>
      <c r="E7813" s="4" t="s">
        <v>1898</v>
      </c>
    </row>
    <row r="7814" spans="1:5" x14ac:dyDescent="0.2">
      <c r="A7814">
        <v>7753</v>
      </c>
      <c r="B7814" s="1831">
        <f>'Revenues 9-14'!D262</f>
        <v>0</v>
      </c>
      <c r="D7814" s="2" t="str">
        <f t="shared" si="128"/>
        <v>Error?</v>
      </c>
      <c r="E7814" s="4" t="s">
        <v>1898</v>
      </c>
    </row>
    <row r="7815" spans="1:5" x14ac:dyDescent="0.2">
      <c r="A7815">
        <v>7754</v>
      </c>
      <c r="B7815" s="1831">
        <f>'Revenues 9-14'!F262</f>
        <v>0</v>
      </c>
      <c r="D7815" s="2" t="str">
        <f t="shared" si="128"/>
        <v>Error?</v>
      </c>
      <c r="E7815" s="4" t="s">
        <v>1898</v>
      </c>
    </row>
    <row r="7816" spans="1:5" x14ac:dyDescent="0.2">
      <c r="A7816">
        <v>7755</v>
      </c>
      <c r="B7816" s="1831">
        <f>'Revenues 9-14'!G262</f>
        <v>0</v>
      </c>
      <c r="D7816" s="2" t="str">
        <f t="shared" si="128"/>
        <v>Error?</v>
      </c>
      <c r="E7816" s="4" t="s">
        <v>1898</v>
      </c>
    </row>
    <row r="7817" spans="1:5" x14ac:dyDescent="0.2">
      <c r="A7817">
        <v>7756</v>
      </c>
      <c r="B7817" s="1831">
        <f>'Short-Term Long-Term Debt 24'!C49</f>
        <v>0</v>
      </c>
      <c r="D7817" s="2" t="str">
        <f t="shared" si="128"/>
        <v>Error?</v>
      </c>
      <c r="E7817" s="4" t="s">
        <v>1962</v>
      </c>
    </row>
    <row r="7818" spans="1:5" x14ac:dyDescent="0.2">
      <c r="A7818">
        <v>7757</v>
      </c>
      <c r="B7818" s="1831">
        <f>'PCTC-OEPP 27-28'!F172</f>
        <v>0</v>
      </c>
      <c r="D7818" s="2" t="str">
        <f t="shared" si="128"/>
        <v>Error?</v>
      </c>
      <c r="E7818" s="4" t="s">
        <v>1976</v>
      </c>
    </row>
    <row r="7819" spans="1:5" x14ac:dyDescent="0.2">
      <c r="A7819">
        <v>7758</v>
      </c>
      <c r="B7819" s="1831">
        <f>'PCTC-OEPP 27-28'!F173</f>
        <v>0</v>
      </c>
      <c r="D7819" s="2" t="str">
        <f t="shared" si="128"/>
        <v>Error?</v>
      </c>
      <c r="E7819" s="4" t="s">
        <v>1976</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6421807</v>
      </c>
      <c r="D7822" s="4" t="s">
        <v>1993</v>
      </c>
      <c r="E7822" s="4" t="s">
        <v>1994</v>
      </c>
    </row>
    <row r="7823" spans="1:5" x14ac:dyDescent="0.2">
      <c r="A7823" s="1">
        <v>7762</v>
      </c>
      <c r="B7823" s="1831">
        <f>'PCTC-OEPP 27-28'!F30</f>
        <v>0</v>
      </c>
      <c r="D7823" s="4" t="s">
        <v>1993</v>
      </c>
      <c r="E7823" s="4" t="s">
        <v>1994</v>
      </c>
    </row>
    <row r="7824" spans="1:5" x14ac:dyDescent="0.2">
      <c r="A7824" s="1">
        <v>7763</v>
      </c>
      <c r="B7824" s="1831">
        <f>'PCTC-OEPP 27-28'!F31</f>
        <v>0</v>
      </c>
      <c r="D7824" s="4" t="s">
        <v>1993</v>
      </c>
      <c r="E7824" s="4" t="s">
        <v>1994</v>
      </c>
    </row>
    <row r="7825" spans="1:5" x14ac:dyDescent="0.2">
      <c r="A7825" s="1">
        <v>7764</v>
      </c>
      <c r="B7825" s="1831">
        <f>'PCTC-OEPP 27-28'!F32</f>
        <v>0</v>
      </c>
      <c r="D7825" s="2" t="str">
        <f t="shared" ref="D7825:D7887" si="129">IF(ISBLANK(B7825),"OK",IF(A7825-B7825=0,"OK","Error?"))</f>
        <v>Error?</v>
      </c>
      <c r="E7825" s="4" t="s">
        <v>1994</v>
      </c>
    </row>
    <row r="7826" spans="1:5" x14ac:dyDescent="0.2">
      <c r="A7826">
        <v>7765</v>
      </c>
      <c r="B7826" s="1831">
        <f>'PCTC-OEPP 27-28'!F34</f>
        <v>0</v>
      </c>
      <c r="D7826" s="2" t="str">
        <f t="shared" si="129"/>
        <v>Error?</v>
      </c>
      <c r="E7826" s="4" t="s">
        <v>1994</v>
      </c>
    </row>
    <row r="7827" spans="1:5" x14ac:dyDescent="0.2">
      <c r="A7827">
        <v>7766</v>
      </c>
      <c r="B7827" s="1831">
        <f>'PCTC-OEPP 27-28'!F35</f>
        <v>241325</v>
      </c>
      <c r="D7827" s="2" t="str">
        <f t="shared" si="129"/>
        <v>Error?</v>
      </c>
      <c r="E7827" s="4" t="s">
        <v>1994</v>
      </c>
    </row>
    <row r="7828" spans="1:5" x14ac:dyDescent="0.2">
      <c r="A7828">
        <v>7767</v>
      </c>
      <c r="B7828" s="1831">
        <f>'PCTC-OEPP 27-28'!F36</f>
        <v>0</v>
      </c>
      <c r="D7828" s="2" t="str">
        <f t="shared" si="129"/>
        <v>Error?</v>
      </c>
      <c r="E7828" s="4" t="s">
        <v>1994</v>
      </c>
    </row>
    <row r="7829" spans="1:5" x14ac:dyDescent="0.2">
      <c r="A7829">
        <v>7768</v>
      </c>
      <c r="B7829" s="1831">
        <f>'PCTC-OEPP 27-28'!F37</f>
        <v>0</v>
      </c>
      <c r="D7829" s="2" t="str">
        <f t="shared" si="129"/>
        <v>Error?</v>
      </c>
      <c r="E7829" s="4" t="s">
        <v>1994</v>
      </c>
    </row>
    <row r="7830" spans="1:5" x14ac:dyDescent="0.2">
      <c r="A7830">
        <v>7769</v>
      </c>
      <c r="B7830" s="1831">
        <f>'PCTC-OEPP 27-28'!F38</f>
        <v>0</v>
      </c>
      <c r="D7830" s="2" t="str">
        <f t="shared" si="129"/>
        <v>Error?</v>
      </c>
      <c r="E7830" s="4" t="s">
        <v>1994</v>
      </c>
    </row>
    <row r="7831" spans="1:5" x14ac:dyDescent="0.2">
      <c r="A7831">
        <v>7770</v>
      </c>
      <c r="B7831" s="1831">
        <f>'PCTC-OEPP 27-28'!F52</f>
        <v>0</v>
      </c>
      <c r="D7831" s="2" t="str">
        <f t="shared" si="129"/>
        <v>Error?</v>
      </c>
      <c r="E7831" s="4" t="s">
        <v>1994</v>
      </c>
    </row>
    <row r="7832" spans="1:5" x14ac:dyDescent="0.2">
      <c r="A7832">
        <v>7771</v>
      </c>
      <c r="B7832" s="1831">
        <f>'PCTC-OEPP 27-28'!F56</f>
        <v>0</v>
      </c>
      <c r="D7832" s="2" t="str">
        <f t="shared" si="129"/>
        <v>Error?</v>
      </c>
      <c r="E7832" s="4" t="s">
        <v>1994</v>
      </c>
    </row>
    <row r="7833" spans="1:5" x14ac:dyDescent="0.2">
      <c r="A7833">
        <v>7772</v>
      </c>
      <c r="B7833" s="1831">
        <f>'PCTC-OEPP 27-28'!F62</f>
        <v>0</v>
      </c>
      <c r="D7833" s="2" t="str">
        <f t="shared" si="129"/>
        <v>Error?</v>
      </c>
      <c r="E7833" s="4" t="s">
        <v>1994</v>
      </c>
    </row>
    <row r="7834" spans="1:5" x14ac:dyDescent="0.2">
      <c r="A7834">
        <v>7773</v>
      </c>
      <c r="B7834" s="1831">
        <f>'PCTC-OEPP 27-28'!F77</f>
        <v>793588</v>
      </c>
      <c r="D7834" s="2" t="str">
        <f t="shared" si="129"/>
        <v>Error?</v>
      </c>
      <c r="E7834" s="4" t="s">
        <v>1994</v>
      </c>
    </row>
    <row r="7835" spans="1:5" x14ac:dyDescent="0.2">
      <c r="A7835">
        <v>7774</v>
      </c>
      <c r="B7835" s="1831">
        <f>'PCTC-OEPP 27-28'!F78</f>
        <v>5628219</v>
      </c>
      <c r="D7835" s="2" t="str">
        <f t="shared" si="129"/>
        <v>Error?</v>
      </c>
      <c r="E7835" s="4" t="s">
        <v>1994</v>
      </c>
    </row>
    <row r="7836" spans="1:5" x14ac:dyDescent="0.2">
      <c r="A7836" s="126">
        <v>7775</v>
      </c>
      <c r="B7836" s="1831"/>
      <c r="D7836" s="2" t="str">
        <f t="shared" si="129"/>
        <v>OK</v>
      </c>
      <c r="E7836" s="4" t="s">
        <v>1996</v>
      </c>
    </row>
    <row r="7837" spans="1:5" x14ac:dyDescent="0.2">
      <c r="A7837">
        <v>7776</v>
      </c>
      <c r="B7837" s="1831" t="str">
        <f>'PCTC-OEPP 27-28'!F80</f>
        <v xml:space="preserve"> Complete Line 79</v>
      </c>
      <c r="D7837" s="2" t="e">
        <f t="shared" si="129"/>
        <v>#VALUE!</v>
      </c>
      <c r="E7837" s="4" t="s">
        <v>1994</v>
      </c>
    </row>
    <row r="7838" spans="1:5" x14ac:dyDescent="0.2">
      <c r="A7838">
        <v>7777</v>
      </c>
      <c r="B7838" s="1831">
        <f>'PCTC-OEPP 27-28'!F96</f>
        <v>0</v>
      </c>
      <c r="D7838" s="2" t="str">
        <f t="shared" si="129"/>
        <v>Error?</v>
      </c>
      <c r="E7838" s="4" t="s">
        <v>1994</v>
      </c>
    </row>
    <row r="7839" spans="1:5" x14ac:dyDescent="0.2">
      <c r="A7839">
        <v>7778</v>
      </c>
      <c r="B7839" s="1831">
        <f>'PCTC-OEPP 27-28'!F102</f>
        <v>0</v>
      </c>
      <c r="D7839" s="2" t="str">
        <f t="shared" si="129"/>
        <v>Error?</v>
      </c>
      <c r="E7839" s="4" t="s">
        <v>1994</v>
      </c>
    </row>
    <row r="7840" spans="1:5" x14ac:dyDescent="0.2">
      <c r="A7840">
        <v>7779</v>
      </c>
      <c r="B7840" s="1831">
        <f>'PCTC-OEPP 27-28'!F103</f>
        <v>0</v>
      </c>
      <c r="D7840" s="2" t="str">
        <f t="shared" si="129"/>
        <v>Error?</v>
      </c>
      <c r="E7840" s="4" t="s">
        <v>1994</v>
      </c>
    </row>
    <row r="7841" spans="1:5" x14ac:dyDescent="0.2">
      <c r="A7841">
        <v>7780</v>
      </c>
      <c r="B7841" s="1831">
        <f>'PCTC-OEPP 27-28'!F104</f>
        <v>0</v>
      </c>
      <c r="D7841" s="2" t="str">
        <f t="shared" si="129"/>
        <v>Error?</v>
      </c>
      <c r="E7841" s="4" t="s">
        <v>1994</v>
      </c>
    </row>
    <row r="7842" spans="1:5" x14ac:dyDescent="0.2">
      <c r="A7842">
        <v>7781</v>
      </c>
      <c r="B7842" s="1831">
        <f>'PCTC-OEPP 27-28'!F106</f>
        <v>0</v>
      </c>
      <c r="D7842" s="2" t="str">
        <f t="shared" si="129"/>
        <v>Error?</v>
      </c>
      <c r="E7842" s="4" t="s">
        <v>1994</v>
      </c>
    </row>
    <row r="7843" spans="1:5" x14ac:dyDescent="0.2">
      <c r="A7843">
        <v>7782</v>
      </c>
      <c r="B7843" s="1831">
        <f>'PCTC-OEPP 27-28'!F107</f>
        <v>0</v>
      </c>
      <c r="D7843" s="2" t="str">
        <f t="shared" si="129"/>
        <v>Error?</v>
      </c>
      <c r="E7843" s="4" t="s">
        <v>1994</v>
      </c>
    </row>
    <row r="7844" spans="1:5" x14ac:dyDescent="0.2">
      <c r="A7844">
        <v>7783</v>
      </c>
      <c r="B7844" s="1831">
        <f>'PCTC-OEPP 27-28'!F108</f>
        <v>0</v>
      </c>
      <c r="D7844" s="2" t="str">
        <f t="shared" si="129"/>
        <v>Error?</v>
      </c>
      <c r="E7844" s="4" t="s">
        <v>1994</v>
      </c>
    </row>
    <row r="7845" spans="1:5" x14ac:dyDescent="0.2">
      <c r="A7845">
        <v>7784</v>
      </c>
      <c r="B7845" s="1831">
        <f>'PCTC-OEPP 27-28'!F110</f>
        <v>0</v>
      </c>
      <c r="D7845" s="2" t="str">
        <f t="shared" si="129"/>
        <v>Error?</v>
      </c>
      <c r="E7845" s="4" t="s">
        <v>1994</v>
      </c>
    </row>
    <row r="7846" spans="1:5" x14ac:dyDescent="0.2">
      <c r="A7846">
        <v>7785</v>
      </c>
      <c r="B7846" s="1831">
        <f>'PCTC-OEPP 27-28'!F111</f>
        <v>0</v>
      </c>
      <c r="D7846" s="2" t="str">
        <f t="shared" si="129"/>
        <v>Error?</v>
      </c>
      <c r="E7846" s="4" t="s">
        <v>1994</v>
      </c>
    </row>
    <row r="7847" spans="1:5" x14ac:dyDescent="0.2">
      <c r="A7847">
        <v>7786</v>
      </c>
      <c r="B7847" s="1831">
        <f>'PCTC-OEPP 27-28'!F112</f>
        <v>0</v>
      </c>
      <c r="D7847" s="2" t="str">
        <f t="shared" si="129"/>
        <v>Error?</v>
      </c>
      <c r="E7847" s="4" t="s">
        <v>1994</v>
      </c>
    </row>
    <row r="7848" spans="1:5" x14ac:dyDescent="0.2">
      <c r="A7848">
        <v>7787</v>
      </c>
      <c r="B7848" s="1831">
        <f>'PCTC-OEPP 27-28'!F114</f>
        <v>0</v>
      </c>
      <c r="D7848" s="2" t="str">
        <f t="shared" si="129"/>
        <v>Error?</v>
      </c>
      <c r="E7848" s="4" t="s">
        <v>1994</v>
      </c>
    </row>
    <row r="7849" spans="1:5" x14ac:dyDescent="0.2">
      <c r="A7849">
        <v>7788</v>
      </c>
      <c r="B7849" s="1831">
        <f>'PCTC-OEPP 27-28'!F115</f>
        <v>0</v>
      </c>
      <c r="D7849" s="2" t="str">
        <f t="shared" si="129"/>
        <v>Error?</v>
      </c>
      <c r="E7849" s="4" t="s">
        <v>1994</v>
      </c>
    </row>
    <row r="7850" spans="1:5" x14ac:dyDescent="0.2">
      <c r="A7850">
        <v>7789</v>
      </c>
      <c r="B7850" s="1831">
        <f>'PCTC-OEPP 27-28'!F116</f>
        <v>0</v>
      </c>
      <c r="D7850" s="2" t="str">
        <f t="shared" si="129"/>
        <v>Error?</v>
      </c>
      <c r="E7850" s="4" t="s">
        <v>1994</v>
      </c>
    </row>
    <row r="7851" spans="1:5" x14ac:dyDescent="0.2">
      <c r="A7851">
        <v>7790</v>
      </c>
      <c r="B7851" s="1831">
        <f>'PCTC-OEPP 27-28'!F117</f>
        <v>0</v>
      </c>
      <c r="D7851" s="2" t="str">
        <f t="shared" si="129"/>
        <v>Error?</v>
      </c>
      <c r="E7851" s="4" t="s">
        <v>1994</v>
      </c>
    </row>
    <row r="7852" spans="1:5" x14ac:dyDescent="0.2">
      <c r="A7852">
        <v>7791</v>
      </c>
      <c r="B7852" s="1831">
        <f>'PCTC-OEPP 27-28'!F118</f>
        <v>0</v>
      </c>
      <c r="D7852" s="2" t="str">
        <f t="shared" si="129"/>
        <v>Error?</v>
      </c>
      <c r="E7852" s="4" t="s">
        <v>1994</v>
      </c>
    </row>
    <row r="7853" spans="1:5" x14ac:dyDescent="0.2">
      <c r="A7853">
        <v>7792</v>
      </c>
      <c r="B7853" s="1831">
        <f>'PCTC-OEPP 27-28'!F119</f>
        <v>0</v>
      </c>
      <c r="D7853" s="2" t="str">
        <f t="shared" si="129"/>
        <v>Error?</v>
      </c>
      <c r="E7853" s="4" t="s">
        <v>1994</v>
      </c>
    </row>
    <row r="7854" spans="1:5" x14ac:dyDescent="0.2">
      <c r="A7854">
        <v>7793</v>
      </c>
      <c r="B7854" s="1831">
        <f>'PCTC-OEPP 27-28'!F120</f>
        <v>0</v>
      </c>
      <c r="D7854" s="2" t="str">
        <f t="shared" si="129"/>
        <v>Error?</v>
      </c>
      <c r="E7854" s="4" t="s">
        <v>1994</v>
      </c>
    </row>
    <row r="7855" spans="1:5" x14ac:dyDescent="0.2">
      <c r="A7855">
        <v>7794</v>
      </c>
      <c r="B7855" s="1831">
        <f>'PCTC-OEPP 27-28'!F122</f>
        <v>0</v>
      </c>
      <c r="D7855" s="2" t="str">
        <f t="shared" si="129"/>
        <v>Error?</v>
      </c>
      <c r="E7855" s="4" t="s">
        <v>1994</v>
      </c>
    </row>
    <row r="7856" spans="1:5" x14ac:dyDescent="0.2">
      <c r="A7856">
        <v>7795</v>
      </c>
      <c r="B7856" s="1831">
        <f>'PCTC-OEPP 27-28'!F124</f>
        <v>0</v>
      </c>
      <c r="D7856" s="2" t="str">
        <f t="shared" si="129"/>
        <v>Error?</v>
      </c>
      <c r="E7856" s="4" t="s">
        <v>1994</v>
      </c>
    </row>
    <row r="7857" spans="1:5" x14ac:dyDescent="0.2">
      <c r="A7857">
        <v>7796</v>
      </c>
      <c r="B7857" s="1831">
        <f>'PCTC-OEPP 27-28'!F125</f>
        <v>0</v>
      </c>
      <c r="D7857" s="2" t="str">
        <f t="shared" si="129"/>
        <v>Error?</v>
      </c>
      <c r="E7857" s="4" t="s">
        <v>1994</v>
      </c>
    </row>
    <row r="7858" spans="1:5" x14ac:dyDescent="0.2">
      <c r="A7858">
        <v>7797</v>
      </c>
      <c r="B7858" s="1831">
        <f>'PCTC-OEPP 27-28'!F126</f>
        <v>0</v>
      </c>
      <c r="D7858" s="2" t="str">
        <f t="shared" si="129"/>
        <v>Error?</v>
      </c>
      <c r="E7858" s="4" t="s">
        <v>1994</v>
      </c>
    </row>
    <row r="7859" spans="1:5" x14ac:dyDescent="0.2">
      <c r="A7859">
        <v>7798</v>
      </c>
      <c r="B7859" s="1831">
        <f>'PCTC-OEPP 27-28'!F127</f>
        <v>0</v>
      </c>
      <c r="D7859" s="2" t="str">
        <f t="shared" si="129"/>
        <v>Error?</v>
      </c>
      <c r="E7859" s="4" t="s">
        <v>1994</v>
      </c>
    </row>
    <row r="7860" spans="1:5" x14ac:dyDescent="0.2">
      <c r="A7860">
        <v>7799</v>
      </c>
      <c r="B7860" s="1831">
        <f>'PCTC-OEPP 27-28'!F128</f>
        <v>0</v>
      </c>
      <c r="D7860" s="2" t="str">
        <f t="shared" si="129"/>
        <v>Error?</v>
      </c>
      <c r="E7860" s="4" t="s">
        <v>1994</v>
      </c>
    </row>
    <row r="7861" spans="1:5" x14ac:dyDescent="0.2">
      <c r="A7861">
        <v>7800</v>
      </c>
      <c r="B7861" s="1831">
        <f>'PCTC-OEPP 27-28'!F129</f>
        <v>2564421</v>
      </c>
      <c r="D7861" s="2" t="str">
        <f t="shared" si="129"/>
        <v>Error?</v>
      </c>
      <c r="E7861" s="4" t="s">
        <v>1994</v>
      </c>
    </row>
    <row r="7862" spans="1:5" x14ac:dyDescent="0.2">
      <c r="A7862">
        <v>7801</v>
      </c>
      <c r="B7862" s="1831">
        <f>'PCTC-OEPP 27-28'!F130</f>
        <v>0</v>
      </c>
      <c r="D7862" s="2" t="str">
        <f t="shared" si="129"/>
        <v>Error?</v>
      </c>
      <c r="E7862" s="4" t="s">
        <v>1994</v>
      </c>
    </row>
    <row r="7863" spans="1:5" x14ac:dyDescent="0.2">
      <c r="A7863">
        <v>7802</v>
      </c>
      <c r="B7863" s="1831">
        <f>'PCTC-OEPP 27-28'!F131</f>
        <v>0</v>
      </c>
      <c r="D7863" s="2" t="str">
        <f t="shared" si="129"/>
        <v>Error?</v>
      </c>
      <c r="E7863" s="4" t="s">
        <v>1994</v>
      </c>
    </row>
    <row r="7864" spans="1:5" x14ac:dyDescent="0.2">
      <c r="A7864">
        <v>7803</v>
      </c>
      <c r="B7864" s="1831">
        <f>'PCTC-OEPP 27-28'!F132</f>
        <v>0</v>
      </c>
      <c r="D7864" s="2" t="str">
        <f t="shared" si="129"/>
        <v>Error?</v>
      </c>
      <c r="E7864" s="4" t="s">
        <v>1994</v>
      </c>
    </row>
    <row r="7865" spans="1:5" x14ac:dyDescent="0.2">
      <c r="A7865">
        <v>7804</v>
      </c>
      <c r="B7865" s="1831">
        <f>'PCTC-OEPP 27-28'!F133</f>
        <v>0</v>
      </c>
      <c r="D7865" s="2" t="str">
        <f t="shared" si="129"/>
        <v>Error?</v>
      </c>
      <c r="E7865" s="4" t="s">
        <v>1994</v>
      </c>
    </row>
    <row r="7866" spans="1:5" x14ac:dyDescent="0.2">
      <c r="A7866">
        <v>7805</v>
      </c>
      <c r="B7866" s="1831">
        <f>'PCTC-OEPP 27-28'!F158</f>
        <v>0</v>
      </c>
      <c r="D7866" s="2" t="str">
        <f t="shared" si="129"/>
        <v>Error?</v>
      </c>
      <c r="E7866" s="4" t="s">
        <v>1994</v>
      </c>
    </row>
    <row r="7867" spans="1:5" x14ac:dyDescent="0.2">
      <c r="A7867">
        <v>7806</v>
      </c>
      <c r="B7867" s="1831">
        <f>'PCTC-OEPP 27-28'!F160</f>
        <v>0</v>
      </c>
      <c r="D7867" s="2" t="str">
        <f t="shared" si="129"/>
        <v>Error?</v>
      </c>
      <c r="E7867" s="4" t="s">
        <v>1994</v>
      </c>
    </row>
    <row r="7868" spans="1:5" x14ac:dyDescent="0.2">
      <c r="A7868">
        <v>7807</v>
      </c>
      <c r="B7868" s="1831">
        <f>'PCTC-OEPP 27-28'!F161</f>
        <v>0</v>
      </c>
      <c r="D7868" s="2" t="str">
        <f t="shared" si="129"/>
        <v>Error?</v>
      </c>
      <c r="E7868" s="4" t="s">
        <v>1994</v>
      </c>
    </row>
    <row r="7869" spans="1:5" x14ac:dyDescent="0.2">
      <c r="A7869">
        <v>7808</v>
      </c>
      <c r="B7869" s="1831">
        <f>'PCTC-OEPP 27-28'!F162</f>
        <v>0</v>
      </c>
      <c r="D7869" s="2" t="str">
        <f t="shared" si="129"/>
        <v>Error?</v>
      </c>
      <c r="E7869" s="4" t="s">
        <v>1994</v>
      </c>
    </row>
    <row r="7870" spans="1:5" x14ac:dyDescent="0.2">
      <c r="A7870">
        <v>7809</v>
      </c>
      <c r="B7870" s="1831">
        <f>'PCTC-OEPP 27-28'!F163</f>
        <v>0</v>
      </c>
      <c r="D7870" s="2" t="str">
        <f t="shared" si="129"/>
        <v>Error?</v>
      </c>
      <c r="E7870" s="4" t="s">
        <v>1994</v>
      </c>
    </row>
    <row r="7871" spans="1:5" x14ac:dyDescent="0.2">
      <c r="A7871">
        <v>7810</v>
      </c>
      <c r="B7871" s="1831">
        <f>'PCTC-OEPP 27-28'!F164</f>
        <v>0</v>
      </c>
      <c r="D7871" s="2" t="str">
        <f t="shared" si="129"/>
        <v>Error?</v>
      </c>
      <c r="E7871" s="4" t="s">
        <v>1994</v>
      </c>
    </row>
    <row r="7872" spans="1:5" x14ac:dyDescent="0.2">
      <c r="A7872">
        <v>7811</v>
      </c>
      <c r="B7872" s="1831">
        <f>'PCTC-OEPP 27-28'!F165</f>
        <v>0</v>
      </c>
      <c r="D7872" s="2" t="str">
        <f t="shared" si="129"/>
        <v>Error?</v>
      </c>
      <c r="E7872" s="4" t="s">
        <v>1994</v>
      </c>
    </row>
    <row r="7873" spans="1:5" x14ac:dyDescent="0.2">
      <c r="A7873">
        <v>7812</v>
      </c>
      <c r="B7873" s="1831">
        <f>'PCTC-OEPP 27-28'!F166</f>
        <v>0</v>
      </c>
      <c r="D7873" s="2" t="str">
        <f t="shared" si="129"/>
        <v>Error?</v>
      </c>
      <c r="E7873" s="4" t="s">
        <v>1994</v>
      </c>
    </row>
    <row r="7874" spans="1:5" x14ac:dyDescent="0.2">
      <c r="A7874">
        <v>7813</v>
      </c>
      <c r="B7874" s="1831">
        <f>'PCTC-OEPP 27-28'!F169</f>
        <v>59117</v>
      </c>
      <c r="D7874" s="2" t="str">
        <f t="shared" si="129"/>
        <v>Error?</v>
      </c>
      <c r="E7874" s="4" t="s">
        <v>1994</v>
      </c>
    </row>
    <row r="7875" spans="1:5" x14ac:dyDescent="0.2">
      <c r="A7875">
        <v>7814</v>
      </c>
      <c r="B7875" s="1831">
        <f>'PCTC-OEPP 27-28'!F170</f>
        <v>107773</v>
      </c>
      <c r="D7875" s="2" t="str">
        <f t="shared" si="129"/>
        <v>Error?</v>
      </c>
      <c r="E7875" s="4" t="s">
        <v>1994</v>
      </c>
    </row>
    <row r="7876" spans="1:5" x14ac:dyDescent="0.2">
      <c r="A7876">
        <v>7815</v>
      </c>
      <c r="B7876" s="1831">
        <f>'PCTC-OEPP 27-28'!F171</f>
        <v>0</v>
      </c>
      <c r="D7876" s="2" t="str">
        <f t="shared" si="129"/>
        <v>Error?</v>
      </c>
      <c r="E7876" s="4" t="s">
        <v>1994</v>
      </c>
    </row>
    <row r="7877" spans="1:5" x14ac:dyDescent="0.2">
      <c r="A7877">
        <v>7816</v>
      </c>
      <c r="B7877" s="1831">
        <f>'PCTC-OEPP 27-28'!F175</f>
        <v>2731311</v>
      </c>
      <c r="D7877" s="2" t="str">
        <f t="shared" si="129"/>
        <v>Error?</v>
      </c>
      <c r="E7877" s="4" t="s">
        <v>1994</v>
      </c>
    </row>
    <row r="7878" spans="1:5" x14ac:dyDescent="0.2">
      <c r="A7878">
        <v>7817</v>
      </c>
      <c r="B7878" s="1831">
        <f>'PCTC-OEPP 27-28'!F176</f>
        <v>2896908</v>
      </c>
      <c r="D7878" s="2" t="str">
        <f t="shared" si="129"/>
        <v>Error?</v>
      </c>
      <c r="E7878" s="4" t="s">
        <v>1994</v>
      </c>
    </row>
    <row r="7879" spans="1:5" x14ac:dyDescent="0.2">
      <c r="A7879">
        <v>7818</v>
      </c>
      <c r="B7879" s="1831">
        <f>'PCTC-OEPP 27-28'!F178</f>
        <v>2941513</v>
      </c>
      <c r="D7879" s="2" t="str">
        <f t="shared" si="129"/>
        <v>Error?</v>
      </c>
      <c r="E7879" s="4" t="s">
        <v>1994</v>
      </c>
    </row>
    <row r="7880" spans="1:5" x14ac:dyDescent="0.2">
      <c r="A7880">
        <v>7819</v>
      </c>
      <c r="B7880" s="1831" t="e">
        <f>'PCTC-OEPP 27-28'!F180</f>
        <v>#DIV/0!</v>
      </c>
      <c r="D7880" s="2" t="e">
        <f t="shared" si="129"/>
        <v>#DIV/0!</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701" t="s">
        <v>1181</v>
      </c>
      <c r="B2" s="2701"/>
      <c r="C2" s="2701"/>
      <c r="D2" s="2701"/>
      <c r="E2" s="2701"/>
      <c r="F2" s="2701"/>
      <c r="G2" s="2701"/>
      <c r="H2" s="2701"/>
      <c r="I2" s="2701"/>
      <c r="J2" s="2701"/>
      <c r="K2" s="2701"/>
      <c r="L2" s="2701"/>
    </row>
    <row r="3" spans="1:29" ht="13.5" customHeight="1" x14ac:dyDescent="0.2">
      <c r="A3" s="2733" t="s">
        <v>1180</v>
      </c>
      <c r="B3" s="2733"/>
      <c r="C3" s="2733"/>
      <c r="D3" s="2733"/>
      <c r="E3" s="2733"/>
      <c r="F3" s="2733"/>
      <c r="G3" s="2733"/>
      <c r="H3" s="2733"/>
      <c r="I3" s="2733"/>
      <c r="J3" s="2733"/>
      <c r="K3" s="2733"/>
      <c r="L3" s="2733"/>
    </row>
    <row r="4" spans="1:29" ht="13.5" customHeight="1" x14ac:dyDescent="0.2">
      <c r="A4" s="2722" t="str">
        <f>"Year Ending June 30, "&amp;'AFR20'!E2</f>
        <v>Year Ending June 30, 2020</v>
      </c>
      <c r="B4" s="2723"/>
      <c r="C4" s="2723"/>
      <c r="D4" s="2723"/>
      <c r="E4" s="2723"/>
      <c r="F4" s="2723"/>
      <c r="G4" s="2723"/>
      <c r="H4" s="2723"/>
      <c r="I4" s="2723"/>
      <c r="J4" s="2723"/>
      <c r="K4" s="2723"/>
      <c r="L4" s="272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724" t="str">
        <f>COVER!A17</f>
        <v xml:space="preserve">   Bi-County Special Educ Coop</v>
      </c>
      <c r="B7" s="2725"/>
      <c r="C7" s="2725"/>
      <c r="D7" s="2726"/>
      <c r="E7" s="2727">
        <f>COVER!A13</f>
        <v>47098000061</v>
      </c>
      <c r="F7" s="2728"/>
      <c r="G7" s="2734" t="str">
        <f>COVER!T23</f>
        <v>066-005027</v>
      </c>
      <c r="H7" s="2735"/>
      <c r="I7" s="2735"/>
      <c r="J7" s="2735"/>
      <c r="K7" s="2735"/>
      <c r="L7" s="27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737"/>
      <c r="B9" s="2738"/>
      <c r="C9" s="2738"/>
      <c r="D9" s="2738"/>
      <c r="E9" s="2738"/>
      <c r="F9" s="2739"/>
      <c r="G9" s="2707" t="str">
        <f>COVER!T13</f>
        <v>Gorenz and Associates, Ltd.</v>
      </c>
      <c r="H9" s="2740"/>
      <c r="I9" s="2740"/>
      <c r="J9" s="2740"/>
      <c r="K9" s="2740"/>
      <c r="L9" s="2741"/>
    </row>
    <row r="10" spans="1:29" ht="13.5" customHeight="1" x14ac:dyDescent="0.2">
      <c r="A10" s="2713" t="str">
        <f>COVER!A38</f>
        <v>Laurie A. Fane</v>
      </c>
      <c r="B10" s="2714"/>
      <c r="C10" s="2714"/>
      <c r="D10" s="2714"/>
      <c r="E10" s="2714"/>
      <c r="F10" s="2715"/>
      <c r="G10" s="2707" t="str">
        <f>COVER!T17</f>
        <v>4200 N Knoxville Ave.</v>
      </c>
      <c r="H10" s="2708"/>
      <c r="I10" s="2708"/>
      <c r="J10" s="2708"/>
      <c r="K10" s="2708"/>
      <c r="L10" s="2709"/>
    </row>
    <row r="11" spans="1:29" ht="13.5" customHeight="1" x14ac:dyDescent="0.2">
      <c r="A11" s="963" t="s">
        <v>1502</v>
      </c>
      <c r="B11" s="964"/>
      <c r="C11" s="965"/>
      <c r="D11" s="970"/>
      <c r="E11" s="965"/>
      <c r="F11" s="969"/>
      <c r="G11" s="2707" t="str">
        <f>COVER!T19</f>
        <v>Peoria</v>
      </c>
      <c r="H11" s="2708"/>
      <c r="I11" s="2708"/>
      <c r="J11" s="2708"/>
      <c r="K11" s="2708"/>
      <c r="L11" s="2709"/>
    </row>
    <row r="12" spans="1:29" ht="13.5" customHeight="1" x14ac:dyDescent="0.2">
      <c r="A12" s="2716" t="s">
        <v>1501</v>
      </c>
      <c r="B12" s="2717"/>
      <c r="C12" s="2717"/>
      <c r="D12" s="2717"/>
      <c r="E12" s="2717"/>
      <c r="F12" s="2718"/>
      <c r="G12" s="2710"/>
      <c r="H12" s="2711"/>
      <c r="I12" s="2711"/>
      <c r="J12" s="2711"/>
      <c r="K12" s="2711"/>
      <c r="L12" s="2712"/>
    </row>
    <row r="13" spans="1:29" ht="13.5" customHeight="1" x14ac:dyDescent="0.2">
      <c r="A13" s="2707"/>
      <c r="B13" s="2708"/>
      <c r="C13" s="2708"/>
      <c r="D13" s="2708"/>
      <c r="E13" s="2708"/>
      <c r="F13" s="2709"/>
      <c r="G13" s="2702" t="s">
        <v>1503</v>
      </c>
      <c r="H13" s="2703"/>
      <c r="I13" s="2719" t="str">
        <f>COVER!T25</f>
        <v>jhohulin@gorenzcpa.com</v>
      </c>
      <c r="J13" s="2720"/>
      <c r="K13" s="2720"/>
      <c r="L13" s="2721"/>
    </row>
    <row r="14" spans="1:29" ht="13.5" customHeight="1" x14ac:dyDescent="0.2">
      <c r="A14" s="2707" t="str">
        <f>COVER!A19</f>
        <v>2317 E Lincolnway, Ste. A</v>
      </c>
      <c r="B14" s="2708"/>
      <c r="C14" s="2708"/>
      <c r="D14" s="2708"/>
      <c r="E14" s="2708"/>
      <c r="F14" s="2709"/>
      <c r="G14" s="974" t="s">
        <v>1175</v>
      </c>
      <c r="H14" s="972"/>
      <c r="I14" s="972"/>
      <c r="J14" s="972"/>
      <c r="K14" s="972"/>
      <c r="L14" s="973"/>
    </row>
    <row r="15" spans="1:29" ht="13.5" customHeight="1" x14ac:dyDescent="0.2">
      <c r="A15" s="2707" t="str">
        <f>COVER!A21</f>
        <v>Sterling</v>
      </c>
      <c r="B15" s="2708"/>
      <c r="C15" s="2708"/>
      <c r="D15" s="2708"/>
      <c r="E15" s="2708"/>
      <c r="F15" s="2709"/>
      <c r="G15" s="2704" t="str">
        <f>COVER!T15</f>
        <v>Jason Hohulin, CPA</v>
      </c>
      <c r="H15" s="2705"/>
      <c r="I15" s="2705"/>
      <c r="J15" s="2705"/>
      <c r="K15" s="2705"/>
      <c r="L15" s="2706"/>
    </row>
    <row r="16" spans="1:29" ht="12.2" customHeight="1" x14ac:dyDescent="0.2">
      <c r="A16" s="2730">
        <f>COVER!A25</f>
        <v>61081</v>
      </c>
      <c r="B16" s="2731"/>
      <c r="C16" s="2731"/>
      <c r="D16" s="2731"/>
      <c r="E16" s="2731"/>
      <c r="F16" s="2732"/>
      <c r="G16" s="2742"/>
      <c r="H16" s="2743"/>
      <c r="I16" s="2743"/>
      <c r="J16" s="2743"/>
      <c r="K16" s="2743"/>
      <c r="L16" s="2744"/>
    </row>
    <row r="17" spans="1:13" ht="12.2" customHeight="1" x14ac:dyDescent="0.2">
      <c r="A17" s="2745"/>
      <c r="B17" s="2731"/>
      <c r="C17" s="2731"/>
      <c r="D17" s="2731"/>
      <c r="E17" s="2731"/>
      <c r="F17" s="2732"/>
      <c r="G17" s="974" t="s">
        <v>1174</v>
      </c>
      <c r="H17" s="972"/>
      <c r="I17" s="972"/>
      <c r="J17" s="972"/>
      <c r="K17" s="976" t="s">
        <v>1173</v>
      </c>
      <c r="L17" s="969"/>
      <c r="M17" s="962"/>
    </row>
    <row r="18" spans="1:13" ht="12.2" customHeight="1" x14ac:dyDescent="0.2">
      <c r="A18" s="2713"/>
      <c r="B18" s="2714"/>
      <c r="C18" s="2714"/>
      <c r="D18" s="2714"/>
      <c r="E18" s="2714"/>
      <c r="F18" s="2715"/>
      <c r="G18" s="2724" t="str">
        <f>COVER!T21</f>
        <v>309-685-7621</v>
      </c>
      <c r="H18" s="2725"/>
      <c r="I18" s="2725"/>
      <c r="J18" s="2725"/>
      <c r="K18" s="2724" t="str">
        <f>COVER!X21</f>
        <v>309-685-4758</v>
      </c>
      <c r="L18" s="27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2067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2067</v>
      </c>
      <c r="C26" s="981" t="s">
        <v>1677</v>
      </c>
    </row>
    <row r="27" spans="1:13" s="977" customFormat="1" ht="9" customHeight="1" x14ac:dyDescent="0.2">
      <c r="B27" s="982"/>
      <c r="C27" s="981"/>
    </row>
    <row r="28" spans="1:13" s="977" customFormat="1" ht="12.2" customHeight="1" x14ac:dyDescent="0.2">
      <c r="A28" s="984"/>
      <c r="B28" s="980" t="s">
        <v>2067</v>
      </c>
      <c r="C28" s="981" t="s">
        <v>1678</v>
      </c>
    </row>
    <row r="29" spans="1:13" s="977" customFormat="1" ht="9" customHeight="1" x14ac:dyDescent="0.2">
      <c r="A29" s="984"/>
      <c r="B29" s="982"/>
      <c r="C29" s="981"/>
    </row>
    <row r="30" spans="1:13" s="977" customFormat="1" ht="12.2" customHeight="1" x14ac:dyDescent="0.2">
      <c r="B30" s="980" t="s">
        <v>2067</v>
      </c>
      <c r="C30" s="981" t="s">
        <v>1545</v>
      </c>
      <c r="D30" s="975"/>
      <c r="E30" s="975"/>
    </row>
    <row r="31" spans="1:13" s="977" customFormat="1" ht="9" customHeight="1" x14ac:dyDescent="0.2">
      <c r="B31" s="982"/>
      <c r="C31" s="981"/>
      <c r="D31" s="975"/>
      <c r="E31" s="975"/>
    </row>
    <row r="32" spans="1:13" s="977" customFormat="1" ht="12.2" customHeight="1" x14ac:dyDescent="0.2">
      <c r="B32" s="980" t="s">
        <v>2067</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2067</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2067</v>
      </c>
      <c r="C38" s="981" t="s">
        <v>1549</v>
      </c>
    </row>
    <row r="39" spans="1:8" ht="9" customHeight="1" x14ac:dyDescent="0.2">
      <c r="B39" s="982"/>
      <c r="C39" s="985"/>
    </row>
    <row r="40" spans="1:8" s="977" customFormat="1" ht="13.5" customHeight="1" x14ac:dyDescent="0.2">
      <c r="B40" s="980" t="s">
        <v>2067</v>
      </c>
      <c r="C40" s="981" t="s">
        <v>1550</v>
      </c>
    </row>
    <row r="41" spans="1:8" ht="9" customHeight="1" x14ac:dyDescent="0.2">
      <c r="A41" s="986"/>
      <c r="B41" s="982"/>
      <c r="C41" s="985"/>
    </row>
    <row r="42" spans="1:8" s="977" customFormat="1" ht="13.5" customHeight="1" x14ac:dyDescent="0.2">
      <c r="B42" s="980" t="s">
        <v>2067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2067</v>
      </c>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46" t="str">
        <f>'Single Audit Cover'!A7</f>
        <v xml:space="preserve">   Bi-County Special Educ Coop</v>
      </c>
      <c r="B1" s="2747"/>
      <c r="C1" s="2747"/>
      <c r="D1" s="2747"/>
    </row>
    <row r="2" spans="1:11" s="991" customFormat="1" ht="12.75" x14ac:dyDescent="0.2">
      <c r="A2" s="2748">
        <f>'Single Audit Cover'!E7</f>
        <v>47098000061</v>
      </c>
      <c r="B2" s="2749"/>
      <c r="C2" s="2749"/>
      <c r="D2" s="2749"/>
    </row>
    <row r="3" spans="1:11" s="991" customFormat="1" ht="12.75" x14ac:dyDescent="0.2">
      <c r="A3" s="2746" t="s">
        <v>1496</v>
      </c>
      <c r="B3" s="2747"/>
      <c r="C3" s="2747"/>
      <c r="D3" s="274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51" t="str">
        <f>'Single Audit Cover'!A7</f>
        <v xml:space="preserve">   Bi-County Special Educ Coop</v>
      </c>
      <c r="B1" s="2751"/>
      <c r="C1" s="2751"/>
      <c r="D1" s="2751"/>
      <c r="E1" s="2751"/>
    </row>
    <row r="2" spans="1:5" x14ac:dyDescent="0.2">
      <c r="A2" s="2752">
        <f>'Single Audit Cover'!E7</f>
        <v>47098000061</v>
      </c>
      <c r="B2" s="2752"/>
      <c r="C2" s="2752"/>
      <c r="D2" s="2752"/>
      <c r="E2" s="2752"/>
    </row>
    <row r="3" spans="1:5" ht="4.5" customHeight="1" x14ac:dyDescent="0.2"/>
    <row r="4" spans="1:5" x14ac:dyDescent="0.2">
      <c r="A4" s="2751" t="s">
        <v>1234</v>
      </c>
      <c r="B4" s="2751"/>
      <c r="C4" s="2751"/>
      <c r="D4" s="2751"/>
      <c r="E4" s="2751"/>
    </row>
    <row r="5" spans="1:5" x14ac:dyDescent="0.2">
      <c r="A5" s="2754" t="str">
        <f>'Single Audit Cover'!A4</f>
        <v>Year Ending June 30, 2020</v>
      </c>
      <c r="B5" s="2754"/>
      <c r="C5" s="2754"/>
      <c r="D5" s="2754"/>
      <c r="E5" s="2754"/>
    </row>
    <row r="6" spans="1:5" x14ac:dyDescent="0.2">
      <c r="A6" s="2751" t="s">
        <v>1233</v>
      </c>
      <c r="B6" s="2751"/>
      <c r="C6" s="2751"/>
      <c r="D6" s="2751"/>
      <c r="E6" s="2751"/>
    </row>
    <row r="8" spans="1:5" x14ac:dyDescent="0.2">
      <c r="A8" s="1036" t="s">
        <v>1232</v>
      </c>
    </row>
    <row r="10" spans="1:5" x14ac:dyDescent="0.2">
      <c r="A10" s="1037" t="s">
        <v>1231</v>
      </c>
      <c r="B10" s="1038" t="s">
        <v>1230</v>
      </c>
      <c r="C10" s="1038"/>
      <c r="D10" s="1039">
        <f>SUM('Acct Summary 7-8'!C7:K7)</f>
        <v>2796459</v>
      </c>
    </row>
    <row r="11" spans="1:5" ht="18" customHeight="1" x14ac:dyDescent="0.2">
      <c r="A11" s="1037" t="s">
        <v>1229</v>
      </c>
      <c r="B11" s="1038"/>
      <c r="C11" s="1038"/>
    </row>
    <row r="12" spans="1:5" x14ac:dyDescent="0.2">
      <c r="A12" s="1037" t="s">
        <v>1228</v>
      </c>
      <c r="B12" s="1038" t="s">
        <v>1227</v>
      </c>
      <c r="C12" s="1038"/>
      <c r="D12" s="1040">
        <f>SUM('Revenues 9-14'!C112:D112,'Revenues 9-14'!F112:G112)</f>
        <v>78475</v>
      </c>
    </row>
    <row r="13" spans="1:5" x14ac:dyDescent="0.2">
      <c r="A13" s="1037" t="s">
        <v>1226</v>
      </c>
      <c r="B13" s="1038"/>
      <c r="C13" s="1038"/>
    </row>
    <row r="14" spans="1:5" x14ac:dyDescent="0.2">
      <c r="A14" s="1037" t="s">
        <v>2000</v>
      </c>
      <c r="B14" s="1038"/>
      <c r="C14" s="1038"/>
      <c r="D14" s="1040">
        <f>'ICR Computation 30'!E11</f>
        <v>2086</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-107773</v>
      </c>
    </row>
    <row r="19" spans="1:4" ht="13.5" thickBot="1" x14ac:dyDescent="0.25">
      <c r="A19" s="1041" t="s">
        <v>1224</v>
      </c>
      <c r="D19" s="1042">
        <f>SUM(D10:D17)</f>
        <v>2769247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53"/>
      <c r="B24" s="2753"/>
      <c r="D24" s="1044"/>
    </row>
    <row r="25" spans="1:4" x14ac:dyDescent="0.2">
      <c r="A25" s="2750"/>
      <c r="B25" s="2750"/>
      <c r="D25" s="1044"/>
    </row>
    <row r="26" spans="1:4" x14ac:dyDescent="0.2">
      <c r="A26" s="2750"/>
      <c r="B26" s="2750"/>
      <c r="D26" s="1044"/>
    </row>
    <row r="27" spans="1:4" x14ac:dyDescent="0.2">
      <c r="A27" s="2750"/>
      <c r="B27" s="2750"/>
      <c r="D27" s="1044"/>
    </row>
    <row r="28" spans="1:4" x14ac:dyDescent="0.2">
      <c r="A28" s="2750"/>
      <c r="B28" s="2750"/>
      <c r="D28" s="1044"/>
    </row>
    <row r="29" spans="1:4" x14ac:dyDescent="0.2">
      <c r="A29" s="2750"/>
      <c r="B29" s="2750"/>
      <c r="D29" s="1044"/>
    </row>
    <row r="30" spans="1:4" x14ac:dyDescent="0.2">
      <c r="A30" s="2750"/>
      <c r="B30" s="2750"/>
      <c r="D30" s="1044"/>
    </row>
    <row r="32" spans="1:4" x14ac:dyDescent="0.2">
      <c r="A32" s="1036" t="s">
        <v>1222</v>
      </c>
      <c r="D32" s="1039">
        <f>SUM(D19:D30)</f>
        <v>2769247</v>
      </c>
    </row>
    <row r="33" spans="1:4" x14ac:dyDescent="0.2">
      <c r="D33" s="1045"/>
    </row>
    <row r="34" spans="1:4" x14ac:dyDescent="0.2">
      <c r="A34" s="295" t="s">
        <v>1221</v>
      </c>
    </row>
    <row r="35" spans="1:4" x14ac:dyDescent="0.2">
      <c r="A35" s="295" t="s">
        <v>1220</v>
      </c>
      <c r="B35" s="1034" t="s">
        <v>1219</v>
      </c>
      <c r="D35" s="1046">
        <v>2767161</v>
      </c>
    </row>
    <row r="37" spans="1:4" x14ac:dyDescent="0.2">
      <c r="A37" s="1036" t="s">
        <v>1218</v>
      </c>
    </row>
    <row r="39" spans="1:4" ht="13.35" customHeight="1" x14ac:dyDescent="0.2">
      <c r="A39" s="1043" t="s">
        <v>1217</v>
      </c>
    </row>
    <row r="40" spans="1:4" x14ac:dyDescent="0.2">
      <c r="A40" s="2750" t="s">
        <v>2210</v>
      </c>
      <c r="B40" s="2750"/>
      <c r="D40" s="1044">
        <v>2086</v>
      </c>
    </row>
    <row r="41" spans="1:4" x14ac:dyDescent="0.2">
      <c r="A41" s="2750"/>
      <c r="B41" s="2750"/>
      <c r="D41" s="1047"/>
    </row>
    <row r="42" spans="1:4" x14ac:dyDescent="0.2">
      <c r="A42" s="2750"/>
      <c r="B42" s="2750"/>
      <c r="D42" s="1047"/>
    </row>
    <row r="43" spans="1:4" x14ac:dyDescent="0.2">
      <c r="A43" s="2750"/>
      <c r="B43" s="2750"/>
      <c r="D43" s="1047"/>
    </row>
    <row r="44" spans="1:4" x14ac:dyDescent="0.2">
      <c r="A44" s="2750"/>
      <c r="B44" s="2750"/>
      <c r="D44" s="1047"/>
    </row>
    <row r="45" spans="1:4" x14ac:dyDescent="0.2">
      <c r="A45" s="2750"/>
      <c r="B45" s="2750"/>
      <c r="D45" s="1047"/>
    </row>
    <row r="47" spans="1:4" x14ac:dyDescent="0.2">
      <c r="B47" s="1048" t="s">
        <v>1216</v>
      </c>
      <c r="C47" s="1048"/>
      <c r="D47" s="1049">
        <f>SUM(D35:D45)</f>
        <v>2769247</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33" t="str">
        <f>'Single Audit Cover'!A7</f>
        <v xml:space="preserve">   Bi-County Special Educ Coop</v>
      </c>
      <c r="C1" s="2755"/>
      <c r="D1" s="2755"/>
      <c r="E1" s="2755"/>
      <c r="F1" s="2755"/>
      <c r="G1" s="2755"/>
      <c r="H1" s="2755"/>
      <c r="I1" s="2755"/>
      <c r="J1" s="2755"/>
      <c r="K1" s="2755"/>
      <c r="L1" s="2755"/>
      <c r="M1" s="2755"/>
    </row>
    <row r="2" spans="2:14" ht="15" x14ac:dyDescent="0.2">
      <c r="B2" s="2756">
        <f>'Single Audit Cover'!E7</f>
        <v>47098000061</v>
      </c>
      <c r="C2" s="2756"/>
      <c r="D2" s="2756"/>
      <c r="E2" s="2756"/>
      <c r="F2" s="2756"/>
      <c r="G2" s="2756"/>
      <c r="H2" s="2756"/>
      <c r="I2" s="2756"/>
      <c r="J2" s="2756"/>
      <c r="K2" s="2756"/>
      <c r="L2" s="2756"/>
      <c r="M2" s="2756"/>
      <c r="N2" s="1078"/>
    </row>
    <row r="3" spans="2:14" ht="15" x14ac:dyDescent="0.2">
      <c r="B3" s="2757" t="s">
        <v>1208</v>
      </c>
      <c r="C3" s="2757"/>
      <c r="D3" s="2757"/>
      <c r="E3" s="2757"/>
      <c r="F3" s="2757"/>
      <c r="G3" s="2757"/>
      <c r="H3" s="2757"/>
      <c r="I3" s="2757"/>
      <c r="J3" s="2757"/>
      <c r="K3" s="2757"/>
      <c r="L3" s="2757"/>
      <c r="M3" s="2757"/>
      <c r="N3" s="1078"/>
    </row>
    <row r="4" spans="2:14" ht="15" x14ac:dyDescent="0.2">
      <c r="B4" s="2758" t="str">
        <f>'Single Audit Cover'!A4</f>
        <v>Year Ending June 30, 2020</v>
      </c>
      <c r="C4" s="2758"/>
      <c r="D4" s="2758"/>
      <c r="E4" s="2758"/>
      <c r="F4" s="2758"/>
      <c r="G4" s="2758"/>
      <c r="H4" s="2758"/>
      <c r="I4" s="2758"/>
      <c r="J4" s="2758"/>
      <c r="K4" s="2758"/>
      <c r="L4" s="2758"/>
      <c r="M4" s="2758"/>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t="s">
        <v>2055</v>
      </c>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1159</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34D7-BBC5-4BA0-867D-20CEAF661CE6}">
  <sheetPr transitionEvaluation="1"/>
  <dimension ref="A1:AB90"/>
  <sheetViews>
    <sheetView showGridLines="0" zoomScale="70" zoomScaleNormal="70" workbookViewId="0">
      <pane xSplit="2" ySplit="10" topLeftCell="C11" activePane="bottomRight" state="frozen"/>
      <selection activeCell="T21" sqref="T21:W21"/>
      <selection pane="topRight" activeCell="T21" sqref="T21:W21"/>
      <selection pane="bottomLeft" activeCell="T21" sqref="T21:W21"/>
      <selection pane="bottomRight" activeCell="C11" sqref="C11"/>
    </sheetView>
  </sheetViews>
  <sheetFormatPr defaultColWidth="16.7109375" defaultRowHeight="15" x14ac:dyDescent="0.2"/>
  <cols>
    <col min="1" max="1" width="6.42578125" style="2198" customWidth="1"/>
    <col min="2" max="2" width="51.42578125" style="2059" customWidth="1"/>
    <col min="3" max="3" width="9.85546875" style="2059" customWidth="1"/>
    <col min="4" max="4" width="1.28515625" style="2059" customWidth="1"/>
    <col min="5" max="5" width="13.85546875" style="2059" bestFit="1" customWidth="1"/>
    <col min="6" max="6" width="3" style="2199" customWidth="1"/>
    <col min="7" max="7" width="15" style="2059" bestFit="1" customWidth="1"/>
    <col min="8" max="8" width="2.42578125" style="2059" customWidth="1"/>
    <col min="9" max="9" width="15.42578125" style="2059" bestFit="1" customWidth="1"/>
    <col min="10" max="10" width="3.85546875" style="2199" customWidth="1"/>
    <col min="11" max="11" width="12.42578125" style="2059" bestFit="1" customWidth="1"/>
    <col min="12" max="12" width="3.5703125" style="2059" bestFit="1" customWidth="1"/>
    <col min="13" max="13" width="13.28515625" style="2059" customWidth="1"/>
    <col min="14" max="14" width="5" style="2059" bestFit="1" customWidth="1"/>
    <col min="15" max="15" width="14.42578125" style="2059" customWidth="1"/>
    <col min="16" max="16" width="4" style="2059" customWidth="1"/>
    <col min="17" max="17" width="10.85546875" style="2059" customWidth="1"/>
    <col min="18" max="18" width="4.140625" style="2199" customWidth="1"/>
    <col min="19" max="19" width="12.42578125" style="2059" bestFit="1" customWidth="1"/>
    <col min="20" max="20" width="1.85546875" style="2059" customWidth="1"/>
    <col min="21" max="21" width="12.42578125" style="2059" bestFit="1" customWidth="1"/>
    <col min="22" max="22" width="10.7109375" style="2059" hidden="1" customWidth="1"/>
    <col min="23" max="23" width="12.42578125" style="2059" hidden="1" customWidth="1"/>
    <col min="24" max="24" width="14.28515625" style="2059" hidden="1" customWidth="1"/>
    <col min="25" max="25" width="14.42578125" style="2059" hidden="1" customWidth="1"/>
    <col min="26" max="26" width="15" style="2059" hidden="1" customWidth="1"/>
    <col min="27" max="27" width="16.28515625" style="2059" hidden="1" customWidth="1"/>
    <col min="28" max="28" width="12.42578125" style="2059" hidden="1" customWidth="1"/>
    <col min="29" max="248" width="16.7109375" style="2059"/>
    <col min="249" max="249" width="6.42578125" style="2059" customWidth="1"/>
    <col min="250" max="250" width="51.42578125" style="2059" customWidth="1"/>
    <col min="251" max="251" width="9.85546875" style="2059" customWidth="1"/>
    <col min="252" max="252" width="1.28515625" style="2059" customWidth="1"/>
    <col min="253" max="253" width="11" style="2059" customWidth="1"/>
    <col min="254" max="254" width="3" style="2059" customWidth="1"/>
    <col min="255" max="255" width="11.7109375" style="2059" customWidth="1"/>
    <col min="256" max="256" width="2.42578125" style="2059" customWidth="1"/>
    <col min="257" max="257" width="11.42578125" style="2059" customWidth="1"/>
    <col min="258" max="258" width="3.85546875" style="2059" customWidth="1"/>
    <col min="259" max="259" width="11.5703125" style="2059" customWidth="1"/>
    <col min="260" max="260" width="1.85546875" style="2059" customWidth="1"/>
    <col min="261" max="261" width="13.28515625" style="2059" customWidth="1"/>
    <col min="262" max="262" width="3.85546875" style="2059" customWidth="1"/>
    <col min="263" max="263" width="14.42578125" style="2059" customWidth="1"/>
    <col min="264" max="264" width="4" style="2059" customWidth="1"/>
    <col min="265" max="265" width="10.85546875" style="2059" customWidth="1"/>
    <col min="266" max="266" width="4.140625" style="2059" customWidth="1"/>
    <col min="267" max="267" width="11.85546875" style="2059" customWidth="1"/>
    <col min="268" max="268" width="1.85546875" style="2059" customWidth="1"/>
    <col min="269" max="269" width="10.7109375" style="2059" customWidth="1"/>
    <col min="270" max="278" width="0" style="2059" hidden="1" customWidth="1"/>
    <col min="279" max="282" width="16.7109375" style="2059"/>
    <col min="283" max="283" width="19.5703125" style="2059" customWidth="1"/>
    <col min="284" max="504" width="16.7109375" style="2059"/>
    <col min="505" max="505" width="6.42578125" style="2059" customWidth="1"/>
    <col min="506" max="506" width="51.42578125" style="2059" customWidth="1"/>
    <col min="507" max="507" width="9.85546875" style="2059" customWidth="1"/>
    <col min="508" max="508" width="1.28515625" style="2059" customWidth="1"/>
    <col min="509" max="509" width="11" style="2059" customWidth="1"/>
    <col min="510" max="510" width="3" style="2059" customWidth="1"/>
    <col min="511" max="511" width="11.7109375" style="2059" customWidth="1"/>
    <col min="512" max="512" width="2.42578125" style="2059" customWidth="1"/>
    <col min="513" max="513" width="11.42578125" style="2059" customWidth="1"/>
    <col min="514" max="514" width="3.85546875" style="2059" customWidth="1"/>
    <col min="515" max="515" width="11.5703125" style="2059" customWidth="1"/>
    <col min="516" max="516" width="1.85546875" style="2059" customWidth="1"/>
    <col min="517" max="517" width="13.28515625" style="2059" customWidth="1"/>
    <col min="518" max="518" width="3.85546875" style="2059" customWidth="1"/>
    <col min="519" max="519" width="14.42578125" style="2059" customWidth="1"/>
    <col min="520" max="520" width="4" style="2059" customWidth="1"/>
    <col min="521" max="521" width="10.85546875" style="2059" customWidth="1"/>
    <col min="522" max="522" width="4.140625" style="2059" customWidth="1"/>
    <col min="523" max="523" width="11.85546875" style="2059" customWidth="1"/>
    <col min="524" max="524" width="1.85546875" style="2059" customWidth="1"/>
    <col min="525" max="525" width="10.7109375" style="2059" customWidth="1"/>
    <col min="526" max="534" width="0" style="2059" hidden="1" customWidth="1"/>
    <col min="535" max="538" width="16.7109375" style="2059"/>
    <col min="539" max="539" width="19.5703125" style="2059" customWidth="1"/>
    <col min="540" max="760" width="16.7109375" style="2059"/>
    <col min="761" max="761" width="6.42578125" style="2059" customWidth="1"/>
    <col min="762" max="762" width="51.42578125" style="2059" customWidth="1"/>
    <col min="763" max="763" width="9.85546875" style="2059" customWidth="1"/>
    <col min="764" max="764" width="1.28515625" style="2059" customWidth="1"/>
    <col min="765" max="765" width="11" style="2059" customWidth="1"/>
    <col min="766" max="766" width="3" style="2059" customWidth="1"/>
    <col min="767" max="767" width="11.7109375" style="2059" customWidth="1"/>
    <col min="768" max="768" width="2.42578125" style="2059" customWidth="1"/>
    <col min="769" max="769" width="11.42578125" style="2059" customWidth="1"/>
    <col min="770" max="770" width="3.85546875" style="2059" customWidth="1"/>
    <col min="771" max="771" width="11.5703125" style="2059" customWidth="1"/>
    <col min="772" max="772" width="1.85546875" style="2059" customWidth="1"/>
    <col min="773" max="773" width="13.28515625" style="2059" customWidth="1"/>
    <col min="774" max="774" width="3.85546875" style="2059" customWidth="1"/>
    <col min="775" max="775" width="14.42578125" style="2059" customWidth="1"/>
    <col min="776" max="776" width="4" style="2059" customWidth="1"/>
    <col min="777" max="777" width="10.85546875" style="2059" customWidth="1"/>
    <col min="778" max="778" width="4.140625" style="2059" customWidth="1"/>
    <col min="779" max="779" width="11.85546875" style="2059" customWidth="1"/>
    <col min="780" max="780" width="1.85546875" style="2059" customWidth="1"/>
    <col min="781" max="781" width="10.7109375" style="2059" customWidth="1"/>
    <col min="782" max="790" width="0" style="2059" hidden="1" customWidth="1"/>
    <col min="791" max="794" width="16.7109375" style="2059"/>
    <col min="795" max="795" width="19.5703125" style="2059" customWidth="1"/>
    <col min="796" max="1016" width="16.7109375" style="2059"/>
    <col min="1017" max="1017" width="6.42578125" style="2059" customWidth="1"/>
    <col min="1018" max="1018" width="51.42578125" style="2059" customWidth="1"/>
    <col min="1019" max="1019" width="9.85546875" style="2059" customWidth="1"/>
    <col min="1020" max="1020" width="1.28515625" style="2059" customWidth="1"/>
    <col min="1021" max="1021" width="11" style="2059" customWidth="1"/>
    <col min="1022" max="1022" width="3" style="2059" customWidth="1"/>
    <col min="1023" max="1023" width="11.7109375" style="2059" customWidth="1"/>
    <col min="1024" max="1024" width="2.42578125" style="2059" customWidth="1"/>
    <col min="1025" max="1025" width="11.42578125" style="2059" customWidth="1"/>
    <col min="1026" max="1026" width="3.85546875" style="2059" customWidth="1"/>
    <col min="1027" max="1027" width="11.5703125" style="2059" customWidth="1"/>
    <col min="1028" max="1028" width="1.85546875" style="2059" customWidth="1"/>
    <col min="1029" max="1029" width="13.28515625" style="2059" customWidth="1"/>
    <col min="1030" max="1030" width="3.85546875" style="2059" customWidth="1"/>
    <col min="1031" max="1031" width="14.42578125" style="2059" customWidth="1"/>
    <col min="1032" max="1032" width="4" style="2059" customWidth="1"/>
    <col min="1033" max="1033" width="10.85546875" style="2059" customWidth="1"/>
    <col min="1034" max="1034" width="4.140625" style="2059" customWidth="1"/>
    <col min="1035" max="1035" width="11.85546875" style="2059" customWidth="1"/>
    <col min="1036" max="1036" width="1.85546875" style="2059" customWidth="1"/>
    <col min="1037" max="1037" width="10.7109375" style="2059" customWidth="1"/>
    <col min="1038" max="1046" width="0" style="2059" hidden="1" customWidth="1"/>
    <col min="1047" max="1050" width="16.7109375" style="2059"/>
    <col min="1051" max="1051" width="19.5703125" style="2059" customWidth="1"/>
    <col min="1052" max="1272" width="16.7109375" style="2059"/>
    <col min="1273" max="1273" width="6.42578125" style="2059" customWidth="1"/>
    <col min="1274" max="1274" width="51.42578125" style="2059" customWidth="1"/>
    <col min="1275" max="1275" width="9.85546875" style="2059" customWidth="1"/>
    <col min="1276" max="1276" width="1.28515625" style="2059" customWidth="1"/>
    <col min="1277" max="1277" width="11" style="2059" customWidth="1"/>
    <col min="1278" max="1278" width="3" style="2059" customWidth="1"/>
    <col min="1279" max="1279" width="11.7109375" style="2059" customWidth="1"/>
    <col min="1280" max="1280" width="2.42578125" style="2059" customWidth="1"/>
    <col min="1281" max="1281" width="11.42578125" style="2059" customWidth="1"/>
    <col min="1282" max="1282" width="3.85546875" style="2059" customWidth="1"/>
    <col min="1283" max="1283" width="11.5703125" style="2059" customWidth="1"/>
    <col min="1284" max="1284" width="1.85546875" style="2059" customWidth="1"/>
    <col min="1285" max="1285" width="13.28515625" style="2059" customWidth="1"/>
    <col min="1286" max="1286" width="3.85546875" style="2059" customWidth="1"/>
    <col min="1287" max="1287" width="14.42578125" style="2059" customWidth="1"/>
    <col min="1288" max="1288" width="4" style="2059" customWidth="1"/>
    <col min="1289" max="1289" width="10.85546875" style="2059" customWidth="1"/>
    <col min="1290" max="1290" width="4.140625" style="2059" customWidth="1"/>
    <col min="1291" max="1291" width="11.85546875" style="2059" customWidth="1"/>
    <col min="1292" max="1292" width="1.85546875" style="2059" customWidth="1"/>
    <col min="1293" max="1293" width="10.7109375" style="2059" customWidth="1"/>
    <col min="1294" max="1302" width="0" style="2059" hidden="1" customWidth="1"/>
    <col min="1303" max="1306" width="16.7109375" style="2059"/>
    <col min="1307" max="1307" width="19.5703125" style="2059" customWidth="1"/>
    <col min="1308" max="1528" width="16.7109375" style="2059"/>
    <col min="1529" max="1529" width="6.42578125" style="2059" customWidth="1"/>
    <col min="1530" max="1530" width="51.42578125" style="2059" customWidth="1"/>
    <col min="1531" max="1531" width="9.85546875" style="2059" customWidth="1"/>
    <col min="1532" max="1532" width="1.28515625" style="2059" customWidth="1"/>
    <col min="1533" max="1533" width="11" style="2059" customWidth="1"/>
    <col min="1534" max="1534" width="3" style="2059" customWidth="1"/>
    <col min="1535" max="1535" width="11.7109375" style="2059" customWidth="1"/>
    <col min="1536" max="1536" width="2.42578125" style="2059" customWidth="1"/>
    <col min="1537" max="1537" width="11.42578125" style="2059" customWidth="1"/>
    <col min="1538" max="1538" width="3.85546875" style="2059" customWidth="1"/>
    <col min="1539" max="1539" width="11.5703125" style="2059" customWidth="1"/>
    <col min="1540" max="1540" width="1.85546875" style="2059" customWidth="1"/>
    <col min="1541" max="1541" width="13.28515625" style="2059" customWidth="1"/>
    <col min="1542" max="1542" width="3.85546875" style="2059" customWidth="1"/>
    <col min="1543" max="1543" width="14.42578125" style="2059" customWidth="1"/>
    <col min="1544" max="1544" width="4" style="2059" customWidth="1"/>
    <col min="1545" max="1545" width="10.85546875" style="2059" customWidth="1"/>
    <col min="1546" max="1546" width="4.140625" style="2059" customWidth="1"/>
    <col min="1547" max="1547" width="11.85546875" style="2059" customWidth="1"/>
    <col min="1548" max="1548" width="1.85546875" style="2059" customWidth="1"/>
    <col min="1549" max="1549" width="10.7109375" style="2059" customWidth="1"/>
    <col min="1550" max="1558" width="0" style="2059" hidden="1" customWidth="1"/>
    <col min="1559" max="1562" width="16.7109375" style="2059"/>
    <col min="1563" max="1563" width="19.5703125" style="2059" customWidth="1"/>
    <col min="1564" max="1784" width="16.7109375" style="2059"/>
    <col min="1785" max="1785" width="6.42578125" style="2059" customWidth="1"/>
    <col min="1786" max="1786" width="51.42578125" style="2059" customWidth="1"/>
    <col min="1787" max="1787" width="9.85546875" style="2059" customWidth="1"/>
    <col min="1788" max="1788" width="1.28515625" style="2059" customWidth="1"/>
    <col min="1789" max="1789" width="11" style="2059" customWidth="1"/>
    <col min="1790" max="1790" width="3" style="2059" customWidth="1"/>
    <col min="1791" max="1791" width="11.7109375" style="2059" customWidth="1"/>
    <col min="1792" max="1792" width="2.42578125" style="2059" customWidth="1"/>
    <col min="1793" max="1793" width="11.42578125" style="2059" customWidth="1"/>
    <col min="1794" max="1794" width="3.85546875" style="2059" customWidth="1"/>
    <col min="1795" max="1795" width="11.5703125" style="2059" customWidth="1"/>
    <col min="1796" max="1796" width="1.85546875" style="2059" customWidth="1"/>
    <col min="1797" max="1797" width="13.28515625" style="2059" customWidth="1"/>
    <col min="1798" max="1798" width="3.85546875" style="2059" customWidth="1"/>
    <col min="1799" max="1799" width="14.42578125" style="2059" customWidth="1"/>
    <col min="1800" max="1800" width="4" style="2059" customWidth="1"/>
    <col min="1801" max="1801" width="10.85546875" style="2059" customWidth="1"/>
    <col min="1802" max="1802" width="4.140625" style="2059" customWidth="1"/>
    <col min="1803" max="1803" width="11.85546875" style="2059" customWidth="1"/>
    <col min="1804" max="1804" width="1.85546875" style="2059" customWidth="1"/>
    <col min="1805" max="1805" width="10.7109375" style="2059" customWidth="1"/>
    <col min="1806" max="1814" width="0" style="2059" hidden="1" customWidth="1"/>
    <col min="1815" max="1818" width="16.7109375" style="2059"/>
    <col min="1819" max="1819" width="19.5703125" style="2059" customWidth="1"/>
    <col min="1820" max="2040" width="16.7109375" style="2059"/>
    <col min="2041" max="2041" width="6.42578125" style="2059" customWidth="1"/>
    <col min="2042" max="2042" width="51.42578125" style="2059" customWidth="1"/>
    <col min="2043" max="2043" width="9.85546875" style="2059" customWidth="1"/>
    <col min="2044" max="2044" width="1.28515625" style="2059" customWidth="1"/>
    <col min="2045" max="2045" width="11" style="2059" customWidth="1"/>
    <col min="2046" max="2046" width="3" style="2059" customWidth="1"/>
    <col min="2047" max="2047" width="11.7109375" style="2059" customWidth="1"/>
    <col min="2048" max="2048" width="2.42578125" style="2059" customWidth="1"/>
    <col min="2049" max="2049" width="11.42578125" style="2059" customWidth="1"/>
    <col min="2050" max="2050" width="3.85546875" style="2059" customWidth="1"/>
    <col min="2051" max="2051" width="11.5703125" style="2059" customWidth="1"/>
    <col min="2052" max="2052" width="1.85546875" style="2059" customWidth="1"/>
    <col min="2053" max="2053" width="13.28515625" style="2059" customWidth="1"/>
    <col min="2054" max="2054" width="3.85546875" style="2059" customWidth="1"/>
    <col min="2055" max="2055" width="14.42578125" style="2059" customWidth="1"/>
    <col min="2056" max="2056" width="4" style="2059" customWidth="1"/>
    <col min="2057" max="2057" width="10.85546875" style="2059" customWidth="1"/>
    <col min="2058" max="2058" width="4.140625" style="2059" customWidth="1"/>
    <col min="2059" max="2059" width="11.85546875" style="2059" customWidth="1"/>
    <col min="2060" max="2060" width="1.85546875" style="2059" customWidth="1"/>
    <col min="2061" max="2061" width="10.7109375" style="2059" customWidth="1"/>
    <col min="2062" max="2070" width="0" style="2059" hidden="1" customWidth="1"/>
    <col min="2071" max="2074" width="16.7109375" style="2059"/>
    <col min="2075" max="2075" width="19.5703125" style="2059" customWidth="1"/>
    <col min="2076" max="2296" width="16.7109375" style="2059"/>
    <col min="2297" max="2297" width="6.42578125" style="2059" customWidth="1"/>
    <col min="2298" max="2298" width="51.42578125" style="2059" customWidth="1"/>
    <col min="2299" max="2299" width="9.85546875" style="2059" customWidth="1"/>
    <col min="2300" max="2300" width="1.28515625" style="2059" customWidth="1"/>
    <col min="2301" max="2301" width="11" style="2059" customWidth="1"/>
    <col min="2302" max="2302" width="3" style="2059" customWidth="1"/>
    <col min="2303" max="2303" width="11.7109375" style="2059" customWidth="1"/>
    <col min="2304" max="2304" width="2.42578125" style="2059" customWidth="1"/>
    <col min="2305" max="2305" width="11.42578125" style="2059" customWidth="1"/>
    <col min="2306" max="2306" width="3.85546875" style="2059" customWidth="1"/>
    <col min="2307" max="2307" width="11.5703125" style="2059" customWidth="1"/>
    <col min="2308" max="2308" width="1.85546875" style="2059" customWidth="1"/>
    <col min="2309" max="2309" width="13.28515625" style="2059" customWidth="1"/>
    <col min="2310" max="2310" width="3.85546875" style="2059" customWidth="1"/>
    <col min="2311" max="2311" width="14.42578125" style="2059" customWidth="1"/>
    <col min="2312" max="2312" width="4" style="2059" customWidth="1"/>
    <col min="2313" max="2313" width="10.85546875" style="2059" customWidth="1"/>
    <col min="2314" max="2314" width="4.140625" style="2059" customWidth="1"/>
    <col min="2315" max="2315" width="11.85546875" style="2059" customWidth="1"/>
    <col min="2316" max="2316" width="1.85546875" style="2059" customWidth="1"/>
    <col min="2317" max="2317" width="10.7109375" style="2059" customWidth="1"/>
    <col min="2318" max="2326" width="0" style="2059" hidden="1" customWidth="1"/>
    <col min="2327" max="2330" width="16.7109375" style="2059"/>
    <col min="2331" max="2331" width="19.5703125" style="2059" customWidth="1"/>
    <col min="2332" max="2552" width="16.7109375" style="2059"/>
    <col min="2553" max="2553" width="6.42578125" style="2059" customWidth="1"/>
    <col min="2554" max="2554" width="51.42578125" style="2059" customWidth="1"/>
    <col min="2555" max="2555" width="9.85546875" style="2059" customWidth="1"/>
    <col min="2556" max="2556" width="1.28515625" style="2059" customWidth="1"/>
    <col min="2557" max="2557" width="11" style="2059" customWidth="1"/>
    <col min="2558" max="2558" width="3" style="2059" customWidth="1"/>
    <col min="2559" max="2559" width="11.7109375" style="2059" customWidth="1"/>
    <col min="2560" max="2560" width="2.42578125" style="2059" customWidth="1"/>
    <col min="2561" max="2561" width="11.42578125" style="2059" customWidth="1"/>
    <col min="2562" max="2562" width="3.85546875" style="2059" customWidth="1"/>
    <col min="2563" max="2563" width="11.5703125" style="2059" customWidth="1"/>
    <col min="2564" max="2564" width="1.85546875" style="2059" customWidth="1"/>
    <col min="2565" max="2565" width="13.28515625" style="2059" customWidth="1"/>
    <col min="2566" max="2566" width="3.85546875" style="2059" customWidth="1"/>
    <col min="2567" max="2567" width="14.42578125" style="2059" customWidth="1"/>
    <col min="2568" max="2568" width="4" style="2059" customWidth="1"/>
    <col min="2569" max="2569" width="10.85546875" style="2059" customWidth="1"/>
    <col min="2570" max="2570" width="4.140625" style="2059" customWidth="1"/>
    <col min="2571" max="2571" width="11.85546875" style="2059" customWidth="1"/>
    <col min="2572" max="2572" width="1.85546875" style="2059" customWidth="1"/>
    <col min="2573" max="2573" width="10.7109375" style="2059" customWidth="1"/>
    <col min="2574" max="2582" width="0" style="2059" hidden="1" customWidth="1"/>
    <col min="2583" max="2586" width="16.7109375" style="2059"/>
    <col min="2587" max="2587" width="19.5703125" style="2059" customWidth="1"/>
    <col min="2588" max="2808" width="16.7109375" style="2059"/>
    <col min="2809" max="2809" width="6.42578125" style="2059" customWidth="1"/>
    <col min="2810" max="2810" width="51.42578125" style="2059" customWidth="1"/>
    <col min="2811" max="2811" width="9.85546875" style="2059" customWidth="1"/>
    <col min="2812" max="2812" width="1.28515625" style="2059" customWidth="1"/>
    <col min="2813" max="2813" width="11" style="2059" customWidth="1"/>
    <col min="2814" max="2814" width="3" style="2059" customWidth="1"/>
    <col min="2815" max="2815" width="11.7109375" style="2059" customWidth="1"/>
    <col min="2816" max="2816" width="2.42578125" style="2059" customWidth="1"/>
    <col min="2817" max="2817" width="11.42578125" style="2059" customWidth="1"/>
    <col min="2818" max="2818" width="3.85546875" style="2059" customWidth="1"/>
    <col min="2819" max="2819" width="11.5703125" style="2059" customWidth="1"/>
    <col min="2820" max="2820" width="1.85546875" style="2059" customWidth="1"/>
    <col min="2821" max="2821" width="13.28515625" style="2059" customWidth="1"/>
    <col min="2822" max="2822" width="3.85546875" style="2059" customWidth="1"/>
    <col min="2823" max="2823" width="14.42578125" style="2059" customWidth="1"/>
    <col min="2824" max="2824" width="4" style="2059" customWidth="1"/>
    <col min="2825" max="2825" width="10.85546875" style="2059" customWidth="1"/>
    <col min="2826" max="2826" width="4.140625" style="2059" customWidth="1"/>
    <col min="2827" max="2827" width="11.85546875" style="2059" customWidth="1"/>
    <col min="2828" max="2828" width="1.85546875" style="2059" customWidth="1"/>
    <col min="2829" max="2829" width="10.7109375" style="2059" customWidth="1"/>
    <col min="2830" max="2838" width="0" style="2059" hidden="1" customWidth="1"/>
    <col min="2839" max="2842" width="16.7109375" style="2059"/>
    <col min="2843" max="2843" width="19.5703125" style="2059" customWidth="1"/>
    <col min="2844" max="3064" width="16.7109375" style="2059"/>
    <col min="3065" max="3065" width="6.42578125" style="2059" customWidth="1"/>
    <col min="3066" max="3066" width="51.42578125" style="2059" customWidth="1"/>
    <col min="3067" max="3067" width="9.85546875" style="2059" customWidth="1"/>
    <col min="3068" max="3068" width="1.28515625" style="2059" customWidth="1"/>
    <col min="3069" max="3069" width="11" style="2059" customWidth="1"/>
    <col min="3070" max="3070" width="3" style="2059" customWidth="1"/>
    <col min="3071" max="3071" width="11.7109375" style="2059" customWidth="1"/>
    <col min="3072" max="3072" width="2.42578125" style="2059" customWidth="1"/>
    <col min="3073" max="3073" width="11.42578125" style="2059" customWidth="1"/>
    <col min="3074" max="3074" width="3.85546875" style="2059" customWidth="1"/>
    <col min="3075" max="3075" width="11.5703125" style="2059" customWidth="1"/>
    <col min="3076" max="3076" width="1.85546875" style="2059" customWidth="1"/>
    <col min="3077" max="3077" width="13.28515625" style="2059" customWidth="1"/>
    <col min="3078" max="3078" width="3.85546875" style="2059" customWidth="1"/>
    <col min="3079" max="3079" width="14.42578125" style="2059" customWidth="1"/>
    <col min="3080" max="3080" width="4" style="2059" customWidth="1"/>
    <col min="3081" max="3081" width="10.85546875" style="2059" customWidth="1"/>
    <col min="3082" max="3082" width="4.140625" style="2059" customWidth="1"/>
    <col min="3083" max="3083" width="11.85546875" style="2059" customWidth="1"/>
    <col min="3084" max="3084" width="1.85546875" style="2059" customWidth="1"/>
    <col min="3085" max="3085" width="10.7109375" style="2059" customWidth="1"/>
    <col min="3086" max="3094" width="0" style="2059" hidden="1" customWidth="1"/>
    <col min="3095" max="3098" width="16.7109375" style="2059"/>
    <col min="3099" max="3099" width="19.5703125" style="2059" customWidth="1"/>
    <col min="3100" max="3320" width="16.7109375" style="2059"/>
    <col min="3321" max="3321" width="6.42578125" style="2059" customWidth="1"/>
    <col min="3322" max="3322" width="51.42578125" style="2059" customWidth="1"/>
    <col min="3323" max="3323" width="9.85546875" style="2059" customWidth="1"/>
    <col min="3324" max="3324" width="1.28515625" style="2059" customWidth="1"/>
    <col min="3325" max="3325" width="11" style="2059" customWidth="1"/>
    <col min="3326" max="3326" width="3" style="2059" customWidth="1"/>
    <col min="3327" max="3327" width="11.7109375" style="2059" customWidth="1"/>
    <col min="3328" max="3328" width="2.42578125" style="2059" customWidth="1"/>
    <col min="3329" max="3329" width="11.42578125" style="2059" customWidth="1"/>
    <col min="3330" max="3330" width="3.85546875" style="2059" customWidth="1"/>
    <col min="3331" max="3331" width="11.5703125" style="2059" customWidth="1"/>
    <col min="3332" max="3332" width="1.85546875" style="2059" customWidth="1"/>
    <col min="3333" max="3333" width="13.28515625" style="2059" customWidth="1"/>
    <col min="3334" max="3334" width="3.85546875" style="2059" customWidth="1"/>
    <col min="3335" max="3335" width="14.42578125" style="2059" customWidth="1"/>
    <col min="3336" max="3336" width="4" style="2059" customWidth="1"/>
    <col min="3337" max="3337" width="10.85546875" style="2059" customWidth="1"/>
    <col min="3338" max="3338" width="4.140625" style="2059" customWidth="1"/>
    <col min="3339" max="3339" width="11.85546875" style="2059" customWidth="1"/>
    <col min="3340" max="3340" width="1.85546875" style="2059" customWidth="1"/>
    <col min="3341" max="3341" width="10.7109375" style="2059" customWidth="1"/>
    <col min="3342" max="3350" width="0" style="2059" hidden="1" customWidth="1"/>
    <col min="3351" max="3354" width="16.7109375" style="2059"/>
    <col min="3355" max="3355" width="19.5703125" style="2059" customWidth="1"/>
    <col min="3356" max="3576" width="16.7109375" style="2059"/>
    <col min="3577" max="3577" width="6.42578125" style="2059" customWidth="1"/>
    <col min="3578" max="3578" width="51.42578125" style="2059" customWidth="1"/>
    <col min="3579" max="3579" width="9.85546875" style="2059" customWidth="1"/>
    <col min="3580" max="3580" width="1.28515625" style="2059" customWidth="1"/>
    <col min="3581" max="3581" width="11" style="2059" customWidth="1"/>
    <col min="3582" max="3582" width="3" style="2059" customWidth="1"/>
    <col min="3583" max="3583" width="11.7109375" style="2059" customWidth="1"/>
    <col min="3584" max="3584" width="2.42578125" style="2059" customWidth="1"/>
    <col min="3585" max="3585" width="11.42578125" style="2059" customWidth="1"/>
    <col min="3586" max="3586" width="3.85546875" style="2059" customWidth="1"/>
    <col min="3587" max="3587" width="11.5703125" style="2059" customWidth="1"/>
    <col min="3588" max="3588" width="1.85546875" style="2059" customWidth="1"/>
    <col min="3589" max="3589" width="13.28515625" style="2059" customWidth="1"/>
    <col min="3590" max="3590" width="3.85546875" style="2059" customWidth="1"/>
    <col min="3591" max="3591" width="14.42578125" style="2059" customWidth="1"/>
    <col min="3592" max="3592" width="4" style="2059" customWidth="1"/>
    <col min="3593" max="3593" width="10.85546875" style="2059" customWidth="1"/>
    <col min="3594" max="3594" width="4.140625" style="2059" customWidth="1"/>
    <col min="3595" max="3595" width="11.85546875" style="2059" customWidth="1"/>
    <col min="3596" max="3596" width="1.85546875" style="2059" customWidth="1"/>
    <col min="3597" max="3597" width="10.7109375" style="2059" customWidth="1"/>
    <col min="3598" max="3606" width="0" style="2059" hidden="1" customWidth="1"/>
    <col min="3607" max="3610" width="16.7109375" style="2059"/>
    <col min="3611" max="3611" width="19.5703125" style="2059" customWidth="1"/>
    <col min="3612" max="3832" width="16.7109375" style="2059"/>
    <col min="3833" max="3833" width="6.42578125" style="2059" customWidth="1"/>
    <col min="3834" max="3834" width="51.42578125" style="2059" customWidth="1"/>
    <col min="3835" max="3835" width="9.85546875" style="2059" customWidth="1"/>
    <col min="3836" max="3836" width="1.28515625" style="2059" customWidth="1"/>
    <col min="3837" max="3837" width="11" style="2059" customWidth="1"/>
    <col min="3838" max="3838" width="3" style="2059" customWidth="1"/>
    <col min="3839" max="3839" width="11.7109375" style="2059" customWidth="1"/>
    <col min="3840" max="3840" width="2.42578125" style="2059" customWidth="1"/>
    <col min="3841" max="3841" width="11.42578125" style="2059" customWidth="1"/>
    <col min="3842" max="3842" width="3.85546875" style="2059" customWidth="1"/>
    <col min="3843" max="3843" width="11.5703125" style="2059" customWidth="1"/>
    <col min="3844" max="3844" width="1.85546875" style="2059" customWidth="1"/>
    <col min="3845" max="3845" width="13.28515625" style="2059" customWidth="1"/>
    <col min="3846" max="3846" width="3.85546875" style="2059" customWidth="1"/>
    <col min="3847" max="3847" width="14.42578125" style="2059" customWidth="1"/>
    <col min="3848" max="3848" width="4" style="2059" customWidth="1"/>
    <col min="3849" max="3849" width="10.85546875" style="2059" customWidth="1"/>
    <col min="3850" max="3850" width="4.140625" style="2059" customWidth="1"/>
    <col min="3851" max="3851" width="11.85546875" style="2059" customWidth="1"/>
    <col min="3852" max="3852" width="1.85546875" style="2059" customWidth="1"/>
    <col min="3853" max="3853" width="10.7109375" style="2059" customWidth="1"/>
    <col min="3854" max="3862" width="0" style="2059" hidden="1" customWidth="1"/>
    <col min="3863" max="3866" width="16.7109375" style="2059"/>
    <col min="3867" max="3867" width="19.5703125" style="2059" customWidth="1"/>
    <col min="3868" max="4088" width="16.7109375" style="2059"/>
    <col min="4089" max="4089" width="6.42578125" style="2059" customWidth="1"/>
    <col min="4090" max="4090" width="51.42578125" style="2059" customWidth="1"/>
    <col min="4091" max="4091" width="9.85546875" style="2059" customWidth="1"/>
    <col min="4092" max="4092" width="1.28515625" style="2059" customWidth="1"/>
    <col min="4093" max="4093" width="11" style="2059" customWidth="1"/>
    <col min="4094" max="4094" width="3" style="2059" customWidth="1"/>
    <col min="4095" max="4095" width="11.7109375" style="2059" customWidth="1"/>
    <col min="4096" max="4096" width="2.42578125" style="2059" customWidth="1"/>
    <col min="4097" max="4097" width="11.42578125" style="2059" customWidth="1"/>
    <col min="4098" max="4098" width="3.85546875" style="2059" customWidth="1"/>
    <col min="4099" max="4099" width="11.5703125" style="2059" customWidth="1"/>
    <col min="4100" max="4100" width="1.85546875" style="2059" customWidth="1"/>
    <col min="4101" max="4101" width="13.28515625" style="2059" customWidth="1"/>
    <col min="4102" max="4102" width="3.85546875" style="2059" customWidth="1"/>
    <col min="4103" max="4103" width="14.42578125" style="2059" customWidth="1"/>
    <col min="4104" max="4104" width="4" style="2059" customWidth="1"/>
    <col min="4105" max="4105" width="10.85546875" style="2059" customWidth="1"/>
    <col min="4106" max="4106" width="4.140625" style="2059" customWidth="1"/>
    <col min="4107" max="4107" width="11.85546875" style="2059" customWidth="1"/>
    <col min="4108" max="4108" width="1.85546875" style="2059" customWidth="1"/>
    <col min="4109" max="4109" width="10.7109375" style="2059" customWidth="1"/>
    <col min="4110" max="4118" width="0" style="2059" hidden="1" customWidth="1"/>
    <col min="4119" max="4122" width="16.7109375" style="2059"/>
    <col min="4123" max="4123" width="19.5703125" style="2059" customWidth="1"/>
    <col min="4124" max="4344" width="16.7109375" style="2059"/>
    <col min="4345" max="4345" width="6.42578125" style="2059" customWidth="1"/>
    <col min="4346" max="4346" width="51.42578125" style="2059" customWidth="1"/>
    <col min="4347" max="4347" width="9.85546875" style="2059" customWidth="1"/>
    <col min="4348" max="4348" width="1.28515625" style="2059" customWidth="1"/>
    <col min="4349" max="4349" width="11" style="2059" customWidth="1"/>
    <col min="4350" max="4350" width="3" style="2059" customWidth="1"/>
    <col min="4351" max="4351" width="11.7109375" style="2059" customWidth="1"/>
    <col min="4352" max="4352" width="2.42578125" style="2059" customWidth="1"/>
    <col min="4353" max="4353" width="11.42578125" style="2059" customWidth="1"/>
    <col min="4354" max="4354" width="3.85546875" style="2059" customWidth="1"/>
    <col min="4355" max="4355" width="11.5703125" style="2059" customWidth="1"/>
    <col min="4356" max="4356" width="1.85546875" style="2059" customWidth="1"/>
    <col min="4357" max="4357" width="13.28515625" style="2059" customWidth="1"/>
    <col min="4358" max="4358" width="3.85546875" style="2059" customWidth="1"/>
    <col min="4359" max="4359" width="14.42578125" style="2059" customWidth="1"/>
    <col min="4360" max="4360" width="4" style="2059" customWidth="1"/>
    <col min="4361" max="4361" width="10.85546875" style="2059" customWidth="1"/>
    <col min="4362" max="4362" width="4.140625" style="2059" customWidth="1"/>
    <col min="4363" max="4363" width="11.85546875" style="2059" customWidth="1"/>
    <col min="4364" max="4364" width="1.85546875" style="2059" customWidth="1"/>
    <col min="4365" max="4365" width="10.7109375" style="2059" customWidth="1"/>
    <col min="4366" max="4374" width="0" style="2059" hidden="1" customWidth="1"/>
    <col min="4375" max="4378" width="16.7109375" style="2059"/>
    <col min="4379" max="4379" width="19.5703125" style="2059" customWidth="1"/>
    <col min="4380" max="4600" width="16.7109375" style="2059"/>
    <col min="4601" max="4601" width="6.42578125" style="2059" customWidth="1"/>
    <col min="4602" max="4602" width="51.42578125" style="2059" customWidth="1"/>
    <col min="4603" max="4603" width="9.85546875" style="2059" customWidth="1"/>
    <col min="4604" max="4604" width="1.28515625" style="2059" customWidth="1"/>
    <col min="4605" max="4605" width="11" style="2059" customWidth="1"/>
    <col min="4606" max="4606" width="3" style="2059" customWidth="1"/>
    <col min="4607" max="4607" width="11.7109375" style="2059" customWidth="1"/>
    <col min="4608" max="4608" width="2.42578125" style="2059" customWidth="1"/>
    <col min="4609" max="4609" width="11.42578125" style="2059" customWidth="1"/>
    <col min="4610" max="4610" width="3.85546875" style="2059" customWidth="1"/>
    <col min="4611" max="4611" width="11.5703125" style="2059" customWidth="1"/>
    <col min="4612" max="4612" width="1.85546875" style="2059" customWidth="1"/>
    <col min="4613" max="4613" width="13.28515625" style="2059" customWidth="1"/>
    <col min="4614" max="4614" width="3.85546875" style="2059" customWidth="1"/>
    <col min="4615" max="4615" width="14.42578125" style="2059" customWidth="1"/>
    <col min="4616" max="4616" width="4" style="2059" customWidth="1"/>
    <col min="4617" max="4617" width="10.85546875" style="2059" customWidth="1"/>
    <col min="4618" max="4618" width="4.140625" style="2059" customWidth="1"/>
    <col min="4619" max="4619" width="11.85546875" style="2059" customWidth="1"/>
    <col min="4620" max="4620" width="1.85546875" style="2059" customWidth="1"/>
    <col min="4621" max="4621" width="10.7109375" style="2059" customWidth="1"/>
    <col min="4622" max="4630" width="0" style="2059" hidden="1" customWidth="1"/>
    <col min="4631" max="4634" width="16.7109375" style="2059"/>
    <col min="4635" max="4635" width="19.5703125" style="2059" customWidth="1"/>
    <col min="4636" max="4856" width="16.7109375" style="2059"/>
    <col min="4857" max="4857" width="6.42578125" style="2059" customWidth="1"/>
    <col min="4858" max="4858" width="51.42578125" style="2059" customWidth="1"/>
    <col min="4859" max="4859" width="9.85546875" style="2059" customWidth="1"/>
    <col min="4860" max="4860" width="1.28515625" style="2059" customWidth="1"/>
    <col min="4861" max="4861" width="11" style="2059" customWidth="1"/>
    <col min="4862" max="4862" width="3" style="2059" customWidth="1"/>
    <col min="4863" max="4863" width="11.7109375" style="2059" customWidth="1"/>
    <col min="4864" max="4864" width="2.42578125" style="2059" customWidth="1"/>
    <col min="4865" max="4865" width="11.42578125" style="2059" customWidth="1"/>
    <col min="4866" max="4866" width="3.85546875" style="2059" customWidth="1"/>
    <col min="4867" max="4867" width="11.5703125" style="2059" customWidth="1"/>
    <col min="4868" max="4868" width="1.85546875" style="2059" customWidth="1"/>
    <col min="4869" max="4869" width="13.28515625" style="2059" customWidth="1"/>
    <col min="4870" max="4870" width="3.85546875" style="2059" customWidth="1"/>
    <col min="4871" max="4871" width="14.42578125" style="2059" customWidth="1"/>
    <col min="4872" max="4872" width="4" style="2059" customWidth="1"/>
    <col min="4873" max="4873" width="10.85546875" style="2059" customWidth="1"/>
    <col min="4874" max="4874" width="4.140625" style="2059" customWidth="1"/>
    <col min="4875" max="4875" width="11.85546875" style="2059" customWidth="1"/>
    <col min="4876" max="4876" width="1.85546875" style="2059" customWidth="1"/>
    <col min="4877" max="4877" width="10.7109375" style="2059" customWidth="1"/>
    <col min="4878" max="4886" width="0" style="2059" hidden="1" customWidth="1"/>
    <col min="4887" max="4890" width="16.7109375" style="2059"/>
    <col min="4891" max="4891" width="19.5703125" style="2059" customWidth="1"/>
    <col min="4892" max="5112" width="16.7109375" style="2059"/>
    <col min="5113" max="5113" width="6.42578125" style="2059" customWidth="1"/>
    <col min="5114" max="5114" width="51.42578125" style="2059" customWidth="1"/>
    <col min="5115" max="5115" width="9.85546875" style="2059" customWidth="1"/>
    <col min="5116" max="5116" width="1.28515625" style="2059" customWidth="1"/>
    <col min="5117" max="5117" width="11" style="2059" customWidth="1"/>
    <col min="5118" max="5118" width="3" style="2059" customWidth="1"/>
    <col min="5119" max="5119" width="11.7109375" style="2059" customWidth="1"/>
    <col min="5120" max="5120" width="2.42578125" style="2059" customWidth="1"/>
    <col min="5121" max="5121" width="11.42578125" style="2059" customWidth="1"/>
    <col min="5122" max="5122" width="3.85546875" style="2059" customWidth="1"/>
    <col min="5123" max="5123" width="11.5703125" style="2059" customWidth="1"/>
    <col min="5124" max="5124" width="1.85546875" style="2059" customWidth="1"/>
    <col min="5125" max="5125" width="13.28515625" style="2059" customWidth="1"/>
    <col min="5126" max="5126" width="3.85546875" style="2059" customWidth="1"/>
    <col min="5127" max="5127" width="14.42578125" style="2059" customWidth="1"/>
    <col min="5128" max="5128" width="4" style="2059" customWidth="1"/>
    <col min="5129" max="5129" width="10.85546875" style="2059" customWidth="1"/>
    <col min="5130" max="5130" width="4.140625" style="2059" customWidth="1"/>
    <col min="5131" max="5131" width="11.85546875" style="2059" customWidth="1"/>
    <col min="5132" max="5132" width="1.85546875" style="2059" customWidth="1"/>
    <col min="5133" max="5133" width="10.7109375" style="2059" customWidth="1"/>
    <col min="5134" max="5142" width="0" style="2059" hidden="1" customWidth="1"/>
    <col min="5143" max="5146" width="16.7109375" style="2059"/>
    <col min="5147" max="5147" width="19.5703125" style="2059" customWidth="1"/>
    <col min="5148" max="5368" width="16.7109375" style="2059"/>
    <col min="5369" max="5369" width="6.42578125" style="2059" customWidth="1"/>
    <col min="5370" max="5370" width="51.42578125" style="2059" customWidth="1"/>
    <col min="5371" max="5371" width="9.85546875" style="2059" customWidth="1"/>
    <col min="5372" max="5372" width="1.28515625" style="2059" customWidth="1"/>
    <col min="5373" max="5373" width="11" style="2059" customWidth="1"/>
    <col min="5374" max="5374" width="3" style="2059" customWidth="1"/>
    <col min="5375" max="5375" width="11.7109375" style="2059" customWidth="1"/>
    <col min="5376" max="5376" width="2.42578125" style="2059" customWidth="1"/>
    <col min="5377" max="5377" width="11.42578125" style="2059" customWidth="1"/>
    <col min="5378" max="5378" width="3.85546875" style="2059" customWidth="1"/>
    <col min="5379" max="5379" width="11.5703125" style="2059" customWidth="1"/>
    <col min="5380" max="5380" width="1.85546875" style="2059" customWidth="1"/>
    <col min="5381" max="5381" width="13.28515625" style="2059" customWidth="1"/>
    <col min="5382" max="5382" width="3.85546875" style="2059" customWidth="1"/>
    <col min="5383" max="5383" width="14.42578125" style="2059" customWidth="1"/>
    <col min="5384" max="5384" width="4" style="2059" customWidth="1"/>
    <col min="5385" max="5385" width="10.85546875" style="2059" customWidth="1"/>
    <col min="5386" max="5386" width="4.140625" style="2059" customWidth="1"/>
    <col min="5387" max="5387" width="11.85546875" style="2059" customWidth="1"/>
    <col min="5388" max="5388" width="1.85546875" style="2059" customWidth="1"/>
    <col min="5389" max="5389" width="10.7109375" style="2059" customWidth="1"/>
    <col min="5390" max="5398" width="0" style="2059" hidden="1" customWidth="1"/>
    <col min="5399" max="5402" width="16.7109375" style="2059"/>
    <col min="5403" max="5403" width="19.5703125" style="2059" customWidth="1"/>
    <col min="5404" max="5624" width="16.7109375" style="2059"/>
    <col min="5625" max="5625" width="6.42578125" style="2059" customWidth="1"/>
    <col min="5626" max="5626" width="51.42578125" style="2059" customWidth="1"/>
    <col min="5627" max="5627" width="9.85546875" style="2059" customWidth="1"/>
    <col min="5628" max="5628" width="1.28515625" style="2059" customWidth="1"/>
    <col min="5629" max="5629" width="11" style="2059" customWidth="1"/>
    <col min="5630" max="5630" width="3" style="2059" customWidth="1"/>
    <col min="5631" max="5631" width="11.7109375" style="2059" customWidth="1"/>
    <col min="5632" max="5632" width="2.42578125" style="2059" customWidth="1"/>
    <col min="5633" max="5633" width="11.42578125" style="2059" customWidth="1"/>
    <col min="5634" max="5634" width="3.85546875" style="2059" customWidth="1"/>
    <col min="5635" max="5635" width="11.5703125" style="2059" customWidth="1"/>
    <col min="5636" max="5636" width="1.85546875" style="2059" customWidth="1"/>
    <col min="5637" max="5637" width="13.28515625" style="2059" customWidth="1"/>
    <col min="5638" max="5638" width="3.85546875" style="2059" customWidth="1"/>
    <col min="5639" max="5639" width="14.42578125" style="2059" customWidth="1"/>
    <col min="5640" max="5640" width="4" style="2059" customWidth="1"/>
    <col min="5641" max="5641" width="10.85546875" style="2059" customWidth="1"/>
    <col min="5642" max="5642" width="4.140625" style="2059" customWidth="1"/>
    <col min="5643" max="5643" width="11.85546875" style="2059" customWidth="1"/>
    <col min="5644" max="5644" width="1.85546875" style="2059" customWidth="1"/>
    <col min="5645" max="5645" width="10.7109375" style="2059" customWidth="1"/>
    <col min="5646" max="5654" width="0" style="2059" hidden="1" customWidth="1"/>
    <col min="5655" max="5658" width="16.7109375" style="2059"/>
    <col min="5659" max="5659" width="19.5703125" style="2059" customWidth="1"/>
    <col min="5660" max="5880" width="16.7109375" style="2059"/>
    <col min="5881" max="5881" width="6.42578125" style="2059" customWidth="1"/>
    <col min="5882" max="5882" width="51.42578125" style="2059" customWidth="1"/>
    <col min="5883" max="5883" width="9.85546875" style="2059" customWidth="1"/>
    <col min="5884" max="5884" width="1.28515625" style="2059" customWidth="1"/>
    <col min="5885" max="5885" width="11" style="2059" customWidth="1"/>
    <col min="5886" max="5886" width="3" style="2059" customWidth="1"/>
    <col min="5887" max="5887" width="11.7109375" style="2059" customWidth="1"/>
    <col min="5888" max="5888" width="2.42578125" style="2059" customWidth="1"/>
    <col min="5889" max="5889" width="11.42578125" style="2059" customWidth="1"/>
    <col min="5890" max="5890" width="3.85546875" style="2059" customWidth="1"/>
    <col min="5891" max="5891" width="11.5703125" style="2059" customWidth="1"/>
    <col min="5892" max="5892" width="1.85546875" style="2059" customWidth="1"/>
    <col min="5893" max="5893" width="13.28515625" style="2059" customWidth="1"/>
    <col min="5894" max="5894" width="3.85546875" style="2059" customWidth="1"/>
    <col min="5895" max="5895" width="14.42578125" style="2059" customWidth="1"/>
    <col min="5896" max="5896" width="4" style="2059" customWidth="1"/>
    <col min="5897" max="5897" width="10.85546875" style="2059" customWidth="1"/>
    <col min="5898" max="5898" width="4.140625" style="2059" customWidth="1"/>
    <col min="5899" max="5899" width="11.85546875" style="2059" customWidth="1"/>
    <col min="5900" max="5900" width="1.85546875" style="2059" customWidth="1"/>
    <col min="5901" max="5901" width="10.7109375" style="2059" customWidth="1"/>
    <col min="5902" max="5910" width="0" style="2059" hidden="1" customWidth="1"/>
    <col min="5911" max="5914" width="16.7109375" style="2059"/>
    <col min="5915" max="5915" width="19.5703125" style="2059" customWidth="1"/>
    <col min="5916" max="6136" width="16.7109375" style="2059"/>
    <col min="6137" max="6137" width="6.42578125" style="2059" customWidth="1"/>
    <col min="6138" max="6138" width="51.42578125" style="2059" customWidth="1"/>
    <col min="6139" max="6139" width="9.85546875" style="2059" customWidth="1"/>
    <col min="6140" max="6140" width="1.28515625" style="2059" customWidth="1"/>
    <col min="6141" max="6141" width="11" style="2059" customWidth="1"/>
    <col min="6142" max="6142" width="3" style="2059" customWidth="1"/>
    <col min="6143" max="6143" width="11.7109375" style="2059" customWidth="1"/>
    <col min="6144" max="6144" width="2.42578125" style="2059" customWidth="1"/>
    <col min="6145" max="6145" width="11.42578125" style="2059" customWidth="1"/>
    <col min="6146" max="6146" width="3.85546875" style="2059" customWidth="1"/>
    <col min="6147" max="6147" width="11.5703125" style="2059" customWidth="1"/>
    <col min="6148" max="6148" width="1.85546875" style="2059" customWidth="1"/>
    <col min="6149" max="6149" width="13.28515625" style="2059" customWidth="1"/>
    <col min="6150" max="6150" width="3.85546875" style="2059" customWidth="1"/>
    <col min="6151" max="6151" width="14.42578125" style="2059" customWidth="1"/>
    <col min="6152" max="6152" width="4" style="2059" customWidth="1"/>
    <col min="6153" max="6153" width="10.85546875" style="2059" customWidth="1"/>
    <col min="6154" max="6154" width="4.140625" style="2059" customWidth="1"/>
    <col min="6155" max="6155" width="11.85546875" style="2059" customWidth="1"/>
    <col min="6156" max="6156" width="1.85546875" style="2059" customWidth="1"/>
    <col min="6157" max="6157" width="10.7109375" style="2059" customWidth="1"/>
    <col min="6158" max="6166" width="0" style="2059" hidden="1" customWidth="1"/>
    <col min="6167" max="6170" width="16.7109375" style="2059"/>
    <col min="6171" max="6171" width="19.5703125" style="2059" customWidth="1"/>
    <col min="6172" max="6392" width="16.7109375" style="2059"/>
    <col min="6393" max="6393" width="6.42578125" style="2059" customWidth="1"/>
    <col min="6394" max="6394" width="51.42578125" style="2059" customWidth="1"/>
    <col min="6395" max="6395" width="9.85546875" style="2059" customWidth="1"/>
    <col min="6396" max="6396" width="1.28515625" style="2059" customWidth="1"/>
    <col min="6397" max="6397" width="11" style="2059" customWidth="1"/>
    <col min="6398" max="6398" width="3" style="2059" customWidth="1"/>
    <col min="6399" max="6399" width="11.7109375" style="2059" customWidth="1"/>
    <col min="6400" max="6400" width="2.42578125" style="2059" customWidth="1"/>
    <col min="6401" max="6401" width="11.42578125" style="2059" customWidth="1"/>
    <col min="6402" max="6402" width="3.85546875" style="2059" customWidth="1"/>
    <col min="6403" max="6403" width="11.5703125" style="2059" customWidth="1"/>
    <col min="6404" max="6404" width="1.85546875" style="2059" customWidth="1"/>
    <col min="6405" max="6405" width="13.28515625" style="2059" customWidth="1"/>
    <col min="6406" max="6406" width="3.85546875" style="2059" customWidth="1"/>
    <col min="6407" max="6407" width="14.42578125" style="2059" customWidth="1"/>
    <col min="6408" max="6408" width="4" style="2059" customWidth="1"/>
    <col min="6409" max="6409" width="10.85546875" style="2059" customWidth="1"/>
    <col min="6410" max="6410" width="4.140625" style="2059" customWidth="1"/>
    <col min="6411" max="6411" width="11.85546875" style="2059" customWidth="1"/>
    <col min="6412" max="6412" width="1.85546875" style="2059" customWidth="1"/>
    <col min="6413" max="6413" width="10.7109375" style="2059" customWidth="1"/>
    <col min="6414" max="6422" width="0" style="2059" hidden="1" customWidth="1"/>
    <col min="6423" max="6426" width="16.7109375" style="2059"/>
    <col min="6427" max="6427" width="19.5703125" style="2059" customWidth="1"/>
    <col min="6428" max="6648" width="16.7109375" style="2059"/>
    <col min="6649" max="6649" width="6.42578125" style="2059" customWidth="1"/>
    <col min="6650" max="6650" width="51.42578125" style="2059" customWidth="1"/>
    <col min="6651" max="6651" width="9.85546875" style="2059" customWidth="1"/>
    <col min="6652" max="6652" width="1.28515625" style="2059" customWidth="1"/>
    <col min="6653" max="6653" width="11" style="2059" customWidth="1"/>
    <col min="6654" max="6654" width="3" style="2059" customWidth="1"/>
    <col min="6655" max="6655" width="11.7109375" style="2059" customWidth="1"/>
    <col min="6656" max="6656" width="2.42578125" style="2059" customWidth="1"/>
    <col min="6657" max="6657" width="11.42578125" style="2059" customWidth="1"/>
    <col min="6658" max="6658" width="3.85546875" style="2059" customWidth="1"/>
    <col min="6659" max="6659" width="11.5703125" style="2059" customWidth="1"/>
    <col min="6660" max="6660" width="1.85546875" style="2059" customWidth="1"/>
    <col min="6661" max="6661" width="13.28515625" style="2059" customWidth="1"/>
    <col min="6662" max="6662" width="3.85546875" style="2059" customWidth="1"/>
    <col min="6663" max="6663" width="14.42578125" style="2059" customWidth="1"/>
    <col min="6664" max="6664" width="4" style="2059" customWidth="1"/>
    <col min="6665" max="6665" width="10.85546875" style="2059" customWidth="1"/>
    <col min="6666" max="6666" width="4.140625" style="2059" customWidth="1"/>
    <col min="6667" max="6667" width="11.85546875" style="2059" customWidth="1"/>
    <col min="6668" max="6668" width="1.85546875" style="2059" customWidth="1"/>
    <col min="6669" max="6669" width="10.7109375" style="2059" customWidth="1"/>
    <col min="6670" max="6678" width="0" style="2059" hidden="1" customWidth="1"/>
    <col min="6679" max="6682" width="16.7109375" style="2059"/>
    <col min="6683" max="6683" width="19.5703125" style="2059" customWidth="1"/>
    <col min="6684" max="6904" width="16.7109375" style="2059"/>
    <col min="6905" max="6905" width="6.42578125" style="2059" customWidth="1"/>
    <col min="6906" max="6906" width="51.42578125" style="2059" customWidth="1"/>
    <col min="6907" max="6907" width="9.85546875" style="2059" customWidth="1"/>
    <col min="6908" max="6908" width="1.28515625" style="2059" customWidth="1"/>
    <col min="6909" max="6909" width="11" style="2059" customWidth="1"/>
    <col min="6910" max="6910" width="3" style="2059" customWidth="1"/>
    <col min="6911" max="6911" width="11.7109375" style="2059" customWidth="1"/>
    <col min="6912" max="6912" width="2.42578125" style="2059" customWidth="1"/>
    <col min="6913" max="6913" width="11.42578125" style="2059" customWidth="1"/>
    <col min="6914" max="6914" width="3.85546875" style="2059" customWidth="1"/>
    <col min="6915" max="6915" width="11.5703125" style="2059" customWidth="1"/>
    <col min="6916" max="6916" width="1.85546875" style="2059" customWidth="1"/>
    <col min="6917" max="6917" width="13.28515625" style="2059" customWidth="1"/>
    <col min="6918" max="6918" width="3.85546875" style="2059" customWidth="1"/>
    <col min="6919" max="6919" width="14.42578125" style="2059" customWidth="1"/>
    <col min="6920" max="6920" width="4" style="2059" customWidth="1"/>
    <col min="6921" max="6921" width="10.85546875" style="2059" customWidth="1"/>
    <col min="6922" max="6922" width="4.140625" style="2059" customWidth="1"/>
    <col min="6923" max="6923" width="11.85546875" style="2059" customWidth="1"/>
    <col min="6924" max="6924" width="1.85546875" style="2059" customWidth="1"/>
    <col min="6925" max="6925" width="10.7109375" style="2059" customWidth="1"/>
    <col min="6926" max="6934" width="0" style="2059" hidden="1" customWidth="1"/>
    <col min="6935" max="6938" width="16.7109375" style="2059"/>
    <col min="6939" max="6939" width="19.5703125" style="2059" customWidth="1"/>
    <col min="6940" max="7160" width="16.7109375" style="2059"/>
    <col min="7161" max="7161" width="6.42578125" style="2059" customWidth="1"/>
    <col min="7162" max="7162" width="51.42578125" style="2059" customWidth="1"/>
    <col min="7163" max="7163" width="9.85546875" style="2059" customWidth="1"/>
    <col min="7164" max="7164" width="1.28515625" style="2059" customWidth="1"/>
    <col min="7165" max="7165" width="11" style="2059" customWidth="1"/>
    <col min="7166" max="7166" width="3" style="2059" customWidth="1"/>
    <col min="7167" max="7167" width="11.7109375" style="2059" customWidth="1"/>
    <col min="7168" max="7168" width="2.42578125" style="2059" customWidth="1"/>
    <col min="7169" max="7169" width="11.42578125" style="2059" customWidth="1"/>
    <col min="7170" max="7170" width="3.85546875" style="2059" customWidth="1"/>
    <col min="7171" max="7171" width="11.5703125" style="2059" customWidth="1"/>
    <col min="7172" max="7172" width="1.85546875" style="2059" customWidth="1"/>
    <col min="7173" max="7173" width="13.28515625" style="2059" customWidth="1"/>
    <col min="7174" max="7174" width="3.85546875" style="2059" customWidth="1"/>
    <col min="7175" max="7175" width="14.42578125" style="2059" customWidth="1"/>
    <col min="7176" max="7176" width="4" style="2059" customWidth="1"/>
    <col min="7177" max="7177" width="10.85546875" style="2059" customWidth="1"/>
    <col min="7178" max="7178" width="4.140625" style="2059" customWidth="1"/>
    <col min="7179" max="7179" width="11.85546875" style="2059" customWidth="1"/>
    <col min="7180" max="7180" width="1.85546875" style="2059" customWidth="1"/>
    <col min="7181" max="7181" width="10.7109375" style="2059" customWidth="1"/>
    <col min="7182" max="7190" width="0" style="2059" hidden="1" customWidth="1"/>
    <col min="7191" max="7194" width="16.7109375" style="2059"/>
    <col min="7195" max="7195" width="19.5703125" style="2059" customWidth="1"/>
    <col min="7196" max="7416" width="16.7109375" style="2059"/>
    <col min="7417" max="7417" width="6.42578125" style="2059" customWidth="1"/>
    <col min="7418" max="7418" width="51.42578125" style="2059" customWidth="1"/>
    <col min="7419" max="7419" width="9.85546875" style="2059" customWidth="1"/>
    <col min="7420" max="7420" width="1.28515625" style="2059" customWidth="1"/>
    <col min="7421" max="7421" width="11" style="2059" customWidth="1"/>
    <col min="7422" max="7422" width="3" style="2059" customWidth="1"/>
    <col min="7423" max="7423" width="11.7109375" style="2059" customWidth="1"/>
    <col min="7424" max="7424" width="2.42578125" style="2059" customWidth="1"/>
    <col min="7425" max="7425" width="11.42578125" style="2059" customWidth="1"/>
    <col min="7426" max="7426" width="3.85546875" style="2059" customWidth="1"/>
    <col min="7427" max="7427" width="11.5703125" style="2059" customWidth="1"/>
    <col min="7428" max="7428" width="1.85546875" style="2059" customWidth="1"/>
    <col min="7429" max="7429" width="13.28515625" style="2059" customWidth="1"/>
    <col min="7430" max="7430" width="3.85546875" style="2059" customWidth="1"/>
    <col min="7431" max="7431" width="14.42578125" style="2059" customWidth="1"/>
    <col min="7432" max="7432" width="4" style="2059" customWidth="1"/>
    <col min="7433" max="7433" width="10.85546875" style="2059" customWidth="1"/>
    <col min="7434" max="7434" width="4.140625" style="2059" customWidth="1"/>
    <col min="7435" max="7435" width="11.85546875" style="2059" customWidth="1"/>
    <col min="7436" max="7436" width="1.85546875" style="2059" customWidth="1"/>
    <col min="7437" max="7437" width="10.7109375" style="2059" customWidth="1"/>
    <col min="7438" max="7446" width="0" style="2059" hidden="1" customWidth="1"/>
    <col min="7447" max="7450" width="16.7109375" style="2059"/>
    <col min="7451" max="7451" width="19.5703125" style="2059" customWidth="1"/>
    <col min="7452" max="7672" width="16.7109375" style="2059"/>
    <col min="7673" max="7673" width="6.42578125" style="2059" customWidth="1"/>
    <col min="7674" max="7674" width="51.42578125" style="2059" customWidth="1"/>
    <col min="7675" max="7675" width="9.85546875" style="2059" customWidth="1"/>
    <col min="7676" max="7676" width="1.28515625" style="2059" customWidth="1"/>
    <col min="7677" max="7677" width="11" style="2059" customWidth="1"/>
    <col min="7678" max="7678" width="3" style="2059" customWidth="1"/>
    <col min="7679" max="7679" width="11.7109375" style="2059" customWidth="1"/>
    <col min="7680" max="7680" width="2.42578125" style="2059" customWidth="1"/>
    <col min="7681" max="7681" width="11.42578125" style="2059" customWidth="1"/>
    <col min="7682" max="7682" width="3.85546875" style="2059" customWidth="1"/>
    <col min="7683" max="7683" width="11.5703125" style="2059" customWidth="1"/>
    <col min="7684" max="7684" width="1.85546875" style="2059" customWidth="1"/>
    <col min="7685" max="7685" width="13.28515625" style="2059" customWidth="1"/>
    <col min="7686" max="7686" width="3.85546875" style="2059" customWidth="1"/>
    <col min="7687" max="7687" width="14.42578125" style="2059" customWidth="1"/>
    <col min="7688" max="7688" width="4" style="2059" customWidth="1"/>
    <col min="7689" max="7689" width="10.85546875" style="2059" customWidth="1"/>
    <col min="7690" max="7690" width="4.140625" style="2059" customWidth="1"/>
    <col min="7691" max="7691" width="11.85546875" style="2059" customWidth="1"/>
    <col min="7692" max="7692" width="1.85546875" style="2059" customWidth="1"/>
    <col min="7693" max="7693" width="10.7109375" style="2059" customWidth="1"/>
    <col min="7694" max="7702" width="0" style="2059" hidden="1" customWidth="1"/>
    <col min="7703" max="7706" width="16.7109375" style="2059"/>
    <col min="7707" max="7707" width="19.5703125" style="2059" customWidth="1"/>
    <col min="7708" max="7928" width="16.7109375" style="2059"/>
    <col min="7929" max="7929" width="6.42578125" style="2059" customWidth="1"/>
    <col min="7930" max="7930" width="51.42578125" style="2059" customWidth="1"/>
    <col min="7931" max="7931" width="9.85546875" style="2059" customWidth="1"/>
    <col min="7932" max="7932" width="1.28515625" style="2059" customWidth="1"/>
    <col min="7933" max="7933" width="11" style="2059" customWidth="1"/>
    <col min="7934" max="7934" width="3" style="2059" customWidth="1"/>
    <col min="7935" max="7935" width="11.7109375" style="2059" customWidth="1"/>
    <col min="7936" max="7936" width="2.42578125" style="2059" customWidth="1"/>
    <col min="7937" max="7937" width="11.42578125" style="2059" customWidth="1"/>
    <col min="7938" max="7938" width="3.85546875" style="2059" customWidth="1"/>
    <col min="7939" max="7939" width="11.5703125" style="2059" customWidth="1"/>
    <col min="7940" max="7940" width="1.85546875" style="2059" customWidth="1"/>
    <col min="7941" max="7941" width="13.28515625" style="2059" customWidth="1"/>
    <col min="7942" max="7942" width="3.85546875" style="2059" customWidth="1"/>
    <col min="7943" max="7943" width="14.42578125" style="2059" customWidth="1"/>
    <col min="7944" max="7944" width="4" style="2059" customWidth="1"/>
    <col min="7945" max="7945" width="10.85546875" style="2059" customWidth="1"/>
    <col min="7946" max="7946" width="4.140625" style="2059" customWidth="1"/>
    <col min="7947" max="7947" width="11.85546875" style="2059" customWidth="1"/>
    <col min="7948" max="7948" width="1.85546875" style="2059" customWidth="1"/>
    <col min="7949" max="7949" width="10.7109375" style="2059" customWidth="1"/>
    <col min="7950" max="7958" width="0" style="2059" hidden="1" customWidth="1"/>
    <col min="7959" max="7962" width="16.7109375" style="2059"/>
    <col min="7963" max="7963" width="19.5703125" style="2059" customWidth="1"/>
    <col min="7964" max="8184" width="16.7109375" style="2059"/>
    <col min="8185" max="8185" width="6.42578125" style="2059" customWidth="1"/>
    <col min="8186" max="8186" width="51.42578125" style="2059" customWidth="1"/>
    <col min="8187" max="8187" width="9.85546875" style="2059" customWidth="1"/>
    <col min="8188" max="8188" width="1.28515625" style="2059" customWidth="1"/>
    <col min="8189" max="8189" width="11" style="2059" customWidth="1"/>
    <col min="8190" max="8190" width="3" style="2059" customWidth="1"/>
    <col min="8191" max="8191" width="11.7109375" style="2059" customWidth="1"/>
    <col min="8192" max="8192" width="2.42578125" style="2059" customWidth="1"/>
    <col min="8193" max="8193" width="11.42578125" style="2059" customWidth="1"/>
    <col min="8194" max="8194" width="3.85546875" style="2059" customWidth="1"/>
    <col min="8195" max="8195" width="11.5703125" style="2059" customWidth="1"/>
    <col min="8196" max="8196" width="1.85546875" style="2059" customWidth="1"/>
    <col min="8197" max="8197" width="13.28515625" style="2059" customWidth="1"/>
    <col min="8198" max="8198" width="3.85546875" style="2059" customWidth="1"/>
    <col min="8199" max="8199" width="14.42578125" style="2059" customWidth="1"/>
    <col min="8200" max="8200" width="4" style="2059" customWidth="1"/>
    <col min="8201" max="8201" width="10.85546875" style="2059" customWidth="1"/>
    <col min="8202" max="8202" width="4.140625" style="2059" customWidth="1"/>
    <col min="8203" max="8203" width="11.85546875" style="2059" customWidth="1"/>
    <col min="8204" max="8204" width="1.85546875" style="2059" customWidth="1"/>
    <col min="8205" max="8205" width="10.7109375" style="2059" customWidth="1"/>
    <col min="8206" max="8214" width="0" style="2059" hidden="1" customWidth="1"/>
    <col min="8215" max="8218" width="16.7109375" style="2059"/>
    <col min="8219" max="8219" width="19.5703125" style="2059" customWidth="1"/>
    <col min="8220" max="8440" width="16.7109375" style="2059"/>
    <col min="8441" max="8441" width="6.42578125" style="2059" customWidth="1"/>
    <col min="8442" max="8442" width="51.42578125" style="2059" customWidth="1"/>
    <col min="8443" max="8443" width="9.85546875" style="2059" customWidth="1"/>
    <col min="8444" max="8444" width="1.28515625" style="2059" customWidth="1"/>
    <col min="8445" max="8445" width="11" style="2059" customWidth="1"/>
    <col min="8446" max="8446" width="3" style="2059" customWidth="1"/>
    <col min="8447" max="8447" width="11.7109375" style="2059" customWidth="1"/>
    <col min="8448" max="8448" width="2.42578125" style="2059" customWidth="1"/>
    <col min="8449" max="8449" width="11.42578125" style="2059" customWidth="1"/>
    <col min="8450" max="8450" width="3.85546875" style="2059" customWidth="1"/>
    <col min="8451" max="8451" width="11.5703125" style="2059" customWidth="1"/>
    <col min="8452" max="8452" width="1.85546875" style="2059" customWidth="1"/>
    <col min="8453" max="8453" width="13.28515625" style="2059" customWidth="1"/>
    <col min="8454" max="8454" width="3.85546875" style="2059" customWidth="1"/>
    <col min="8455" max="8455" width="14.42578125" style="2059" customWidth="1"/>
    <col min="8456" max="8456" width="4" style="2059" customWidth="1"/>
    <col min="8457" max="8457" width="10.85546875" style="2059" customWidth="1"/>
    <col min="8458" max="8458" width="4.140625" style="2059" customWidth="1"/>
    <col min="8459" max="8459" width="11.85546875" style="2059" customWidth="1"/>
    <col min="8460" max="8460" width="1.85546875" style="2059" customWidth="1"/>
    <col min="8461" max="8461" width="10.7109375" style="2059" customWidth="1"/>
    <col min="8462" max="8470" width="0" style="2059" hidden="1" customWidth="1"/>
    <col min="8471" max="8474" width="16.7109375" style="2059"/>
    <col min="8475" max="8475" width="19.5703125" style="2059" customWidth="1"/>
    <col min="8476" max="8696" width="16.7109375" style="2059"/>
    <col min="8697" max="8697" width="6.42578125" style="2059" customWidth="1"/>
    <col min="8698" max="8698" width="51.42578125" style="2059" customWidth="1"/>
    <col min="8699" max="8699" width="9.85546875" style="2059" customWidth="1"/>
    <col min="8700" max="8700" width="1.28515625" style="2059" customWidth="1"/>
    <col min="8701" max="8701" width="11" style="2059" customWidth="1"/>
    <col min="8702" max="8702" width="3" style="2059" customWidth="1"/>
    <col min="8703" max="8703" width="11.7109375" style="2059" customWidth="1"/>
    <col min="8704" max="8704" width="2.42578125" style="2059" customWidth="1"/>
    <col min="8705" max="8705" width="11.42578125" style="2059" customWidth="1"/>
    <col min="8706" max="8706" width="3.85546875" style="2059" customWidth="1"/>
    <col min="8707" max="8707" width="11.5703125" style="2059" customWidth="1"/>
    <col min="8708" max="8708" width="1.85546875" style="2059" customWidth="1"/>
    <col min="8709" max="8709" width="13.28515625" style="2059" customWidth="1"/>
    <col min="8710" max="8710" width="3.85546875" style="2059" customWidth="1"/>
    <col min="8711" max="8711" width="14.42578125" style="2059" customWidth="1"/>
    <col min="8712" max="8712" width="4" style="2059" customWidth="1"/>
    <col min="8713" max="8713" width="10.85546875" style="2059" customWidth="1"/>
    <col min="8714" max="8714" width="4.140625" style="2059" customWidth="1"/>
    <col min="8715" max="8715" width="11.85546875" style="2059" customWidth="1"/>
    <col min="8716" max="8716" width="1.85546875" style="2059" customWidth="1"/>
    <col min="8717" max="8717" width="10.7109375" style="2059" customWidth="1"/>
    <col min="8718" max="8726" width="0" style="2059" hidden="1" customWidth="1"/>
    <col min="8727" max="8730" width="16.7109375" style="2059"/>
    <col min="8731" max="8731" width="19.5703125" style="2059" customWidth="1"/>
    <col min="8732" max="8952" width="16.7109375" style="2059"/>
    <col min="8953" max="8953" width="6.42578125" style="2059" customWidth="1"/>
    <col min="8954" max="8954" width="51.42578125" style="2059" customWidth="1"/>
    <col min="8955" max="8955" width="9.85546875" style="2059" customWidth="1"/>
    <col min="8956" max="8956" width="1.28515625" style="2059" customWidth="1"/>
    <col min="8957" max="8957" width="11" style="2059" customWidth="1"/>
    <col min="8958" max="8958" width="3" style="2059" customWidth="1"/>
    <col min="8959" max="8959" width="11.7109375" style="2059" customWidth="1"/>
    <col min="8960" max="8960" width="2.42578125" style="2059" customWidth="1"/>
    <col min="8961" max="8961" width="11.42578125" style="2059" customWidth="1"/>
    <col min="8962" max="8962" width="3.85546875" style="2059" customWidth="1"/>
    <col min="8963" max="8963" width="11.5703125" style="2059" customWidth="1"/>
    <col min="8964" max="8964" width="1.85546875" style="2059" customWidth="1"/>
    <col min="8965" max="8965" width="13.28515625" style="2059" customWidth="1"/>
    <col min="8966" max="8966" width="3.85546875" style="2059" customWidth="1"/>
    <col min="8967" max="8967" width="14.42578125" style="2059" customWidth="1"/>
    <col min="8968" max="8968" width="4" style="2059" customWidth="1"/>
    <col min="8969" max="8969" width="10.85546875" style="2059" customWidth="1"/>
    <col min="8970" max="8970" width="4.140625" style="2059" customWidth="1"/>
    <col min="8971" max="8971" width="11.85546875" style="2059" customWidth="1"/>
    <col min="8972" max="8972" width="1.85546875" style="2059" customWidth="1"/>
    <col min="8973" max="8973" width="10.7109375" style="2059" customWidth="1"/>
    <col min="8974" max="8982" width="0" style="2059" hidden="1" customWidth="1"/>
    <col min="8983" max="8986" width="16.7109375" style="2059"/>
    <col min="8987" max="8987" width="19.5703125" style="2059" customWidth="1"/>
    <col min="8988" max="9208" width="16.7109375" style="2059"/>
    <col min="9209" max="9209" width="6.42578125" style="2059" customWidth="1"/>
    <col min="9210" max="9210" width="51.42578125" style="2059" customWidth="1"/>
    <col min="9211" max="9211" width="9.85546875" style="2059" customWidth="1"/>
    <col min="9212" max="9212" width="1.28515625" style="2059" customWidth="1"/>
    <col min="9213" max="9213" width="11" style="2059" customWidth="1"/>
    <col min="9214" max="9214" width="3" style="2059" customWidth="1"/>
    <col min="9215" max="9215" width="11.7109375" style="2059" customWidth="1"/>
    <col min="9216" max="9216" width="2.42578125" style="2059" customWidth="1"/>
    <col min="9217" max="9217" width="11.42578125" style="2059" customWidth="1"/>
    <col min="9218" max="9218" width="3.85546875" style="2059" customWidth="1"/>
    <col min="9219" max="9219" width="11.5703125" style="2059" customWidth="1"/>
    <col min="9220" max="9220" width="1.85546875" style="2059" customWidth="1"/>
    <col min="9221" max="9221" width="13.28515625" style="2059" customWidth="1"/>
    <col min="9222" max="9222" width="3.85546875" style="2059" customWidth="1"/>
    <col min="9223" max="9223" width="14.42578125" style="2059" customWidth="1"/>
    <col min="9224" max="9224" width="4" style="2059" customWidth="1"/>
    <col min="9225" max="9225" width="10.85546875" style="2059" customWidth="1"/>
    <col min="9226" max="9226" width="4.140625" style="2059" customWidth="1"/>
    <col min="9227" max="9227" width="11.85546875" style="2059" customWidth="1"/>
    <col min="9228" max="9228" width="1.85546875" style="2059" customWidth="1"/>
    <col min="9229" max="9229" width="10.7109375" style="2059" customWidth="1"/>
    <col min="9230" max="9238" width="0" style="2059" hidden="1" customWidth="1"/>
    <col min="9239" max="9242" width="16.7109375" style="2059"/>
    <col min="9243" max="9243" width="19.5703125" style="2059" customWidth="1"/>
    <col min="9244" max="9464" width="16.7109375" style="2059"/>
    <col min="9465" max="9465" width="6.42578125" style="2059" customWidth="1"/>
    <col min="9466" max="9466" width="51.42578125" style="2059" customWidth="1"/>
    <col min="9467" max="9467" width="9.85546875" style="2059" customWidth="1"/>
    <col min="9468" max="9468" width="1.28515625" style="2059" customWidth="1"/>
    <col min="9469" max="9469" width="11" style="2059" customWidth="1"/>
    <col min="9470" max="9470" width="3" style="2059" customWidth="1"/>
    <col min="9471" max="9471" width="11.7109375" style="2059" customWidth="1"/>
    <col min="9472" max="9472" width="2.42578125" style="2059" customWidth="1"/>
    <col min="9473" max="9473" width="11.42578125" style="2059" customWidth="1"/>
    <col min="9474" max="9474" width="3.85546875" style="2059" customWidth="1"/>
    <col min="9475" max="9475" width="11.5703125" style="2059" customWidth="1"/>
    <col min="9476" max="9476" width="1.85546875" style="2059" customWidth="1"/>
    <col min="9477" max="9477" width="13.28515625" style="2059" customWidth="1"/>
    <col min="9478" max="9478" width="3.85546875" style="2059" customWidth="1"/>
    <col min="9479" max="9479" width="14.42578125" style="2059" customWidth="1"/>
    <col min="9480" max="9480" width="4" style="2059" customWidth="1"/>
    <col min="9481" max="9481" width="10.85546875" style="2059" customWidth="1"/>
    <col min="9482" max="9482" width="4.140625" style="2059" customWidth="1"/>
    <col min="9483" max="9483" width="11.85546875" style="2059" customWidth="1"/>
    <col min="9484" max="9484" width="1.85546875" style="2059" customWidth="1"/>
    <col min="9485" max="9485" width="10.7109375" style="2059" customWidth="1"/>
    <col min="9486" max="9494" width="0" style="2059" hidden="1" customWidth="1"/>
    <col min="9495" max="9498" width="16.7109375" style="2059"/>
    <col min="9499" max="9499" width="19.5703125" style="2059" customWidth="1"/>
    <col min="9500" max="9720" width="16.7109375" style="2059"/>
    <col min="9721" max="9721" width="6.42578125" style="2059" customWidth="1"/>
    <col min="9722" max="9722" width="51.42578125" style="2059" customWidth="1"/>
    <col min="9723" max="9723" width="9.85546875" style="2059" customWidth="1"/>
    <col min="9724" max="9724" width="1.28515625" style="2059" customWidth="1"/>
    <col min="9725" max="9725" width="11" style="2059" customWidth="1"/>
    <col min="9726" max="9726" width="3" style="2059" customWidth="1"/>
    <col min="9727" max="9727" width="11.7109375" style="2059" customWidth="1"/>
    <col min="9728" max="9728" width="2.42578125" style="2059" customWidth="1"/>
    <col min="9729" max="9729" width="11.42578125" style="2059" customWidth="1"/>
    <col min="9730" max="9730" width="3.85546875" style="2059" customWidth="1"/>
    <col min="9731" max="9731" width="11.5703125" style="2059" customWidth="1"/>
    <col min="9732" max="9732" width="1.85546875" style="2059" customWidth="1"/>
    <col min="9733" max="9733" width="13.28515625" style="2059" customWidth="1"/>
    <col min="9734" max="9734" width="3.85546875" style="2059" customWidth="1"/>
    <col min="9735" max="9735" width="14.42578125" style="2059" customWidth="1"/>
    <col min="9736" max="9736" width="4" style="2059" customWidth="1"/>
    <col min="9737" max="9737" width="10.85546875" style="2059" customWidth="1"/>
    <col min="9738" max="9738" width="4.140625" style="2059" customWidth="1"/>
    <col min="9739" max="9739" width="11.85546875" style="2059" customWidth="1"/>
    <col min="9740" max="9740" width="1.85546875" style="2059" customWidth="1"/>
    <col min="9741" max="9741" width="10.7109375" style="2059" customWidth="1"/>
    <col min="9742" max="9750" width="0" style="2059" hidden="1" customWidth="1"/>
    <col min="9751" max="9754" width="16.7109375" style="2059"/>
    <col min="9755" max="9755" width="19.5703125" style="2059" customWidth="1"/>
    <col min="9756" max="9976" width="16.7109375" style="2059"/>
    <col min="9977" max="9977" width="6.42578125" style="2059" customWidth="1"/>
    <col min="9978" max="9978" width="51.42578125" style="2059" customWidth="1"/>
    <col min="9979" max="9979" width="9.85546875" style="2059" customWidth="1"/>
    <col min="9980" max="9980" width="1.28515625" style="2059" customWidth="1"/>
    <col min="9981" max="9981" width="11" style="2059" customWidth="1"/>
    <col min="9982" max="9982" width="3" style="2059" customWidth="1"/>
    <col min="9983" max="9983" width="11.7109375" style="2059" customWidth="1"/>
    <col min="9984" max="9984" width="2.42578125" style="2059" customWidth="1"/>
    <col min="9985" max="9985" width="11.42578125" style="2059" customWidth="1"/>
    <col min="9986" max="9986" width="3.85546875" style="2059" customWidth="1"/>
    <col min="9987" max="9987" width="11.5703125" style="2059" customWidth="1"/>
    <col min="9988" max="9988" width="1.85546875" style="2059" customWidth="1"/>
    <col min="9989" max="9989" width="13.28515625" style="2059" customWidth="1"/>
    <col min="9990" max="9990" width="3.85546875" style="2059" customWidth="1"/>
    <col min="9991" max="9991" width="14.42578125" style="2059" customWidth="1"/>
    <col min="9992" max="9992" width="4" style="2059" customWidth="1"/>
    <col min="9993" max="9993" width="10.85546875" style="2059" customWidth="1"/>
    <col min="9994" max="9994" width="4.140625" style="2059" customWidth="1"/>
    <col min="9995" max="9995" width="11.85546875" style="2059" customWidth="1"/>
    <col min="9996" max="9996" width="1.85546875" style="2059" customWidth="1"/>
    <col min="9997" max="9997" width="10.7109375" style="2059" customWidth="1"/>
    <col min="9998" max="10006" width="0" style="2059" hidden="1" customWidth="1"/>
    <col min="10007" max="10010" width="16.7109375" style="2059"/>
    <col min="10011" max="10011" width="19.5703125" style="2059" customWidth="1"/>
    <col min="10012" max="10232" width="16.7109375" style="2059"/>
    <col min="10233" max="10233" width="6.42578125" style="2059" customWidth="1"/>
    <col min="10234" max="10234" width="51.42578125" style="2059" customWidth="1"/>
    <col min="10235" max="10235" width="9.85546875" style="2059" customWidth="1"/>
    <col min="10236" max="10236" width="1.28515625" style="2059" customWidth="1"/>
    <col min="10237" max="10237" width="11" style="2059" customWidth="1"/>
    <col min="10238" max="10238" width="3" style="2059" customWidth="1"/>
    <col min="10239" max="10239" width="11.7109375" style="2059" customWidth="1"/>
    <col min="10240" max="10240" width="2.42578125" style="2059" customWidth="1"/>
    <col min="10241" max="10241" width="11.42578125" style="2059" customWidth="1"/>
    <col min="10242" max="10242" width="3.85546875" style="2059" customWidth="1"/>
    <col min="10243" max="10243" width="11.5703125" style="2059" customWidth="1"/>
    <col min="10244" max="10244" width="1.85546875" style="2059" customWidth="1"/>
    <col min="10245" max="10245" width="13.28515625" style="2059" customWidth="1"/>
    <col min="10246" max="10246" width="3.85546875" style="2059" customWidth="1"/>
    <col min="10247" max="10247" width="14.42578125" style="2059" customWidth="1"/>
    <col min="10248" max="10248" width="4" style="2059" customWidth="1"/>
    <col min="10249" max="10249" width="10.85546875" style="2059" customWidth="1"/>
    <col min="10250" max="10250" width="4.140625" style="2059" customWidth="1"/>
    <col min="10251" max="10251" width="11.85546875" style="2059" customWidth="1"/>
    <col min="10252" max="10252" width="1.85546875" style="2059" customWidth="1"/>
    <col min="10253" max="10253" width="10.7109375" style="2059" customWidth="1"/>
    <col min="10254" max="10262" width="0" style="2059" hidden="1" customWidth="1"/>
    <col min="10263" max="10266" width="16.7109375" style="2059"/>
    <col min="10267" max="10267" width="19.5703125" style="2059" customWidth="1"/>
    <col min="10268" max="10488" width="16.7109375" style="2059"/>
    <col min="10489" max="10489" width="6.42578125" style="2059" customWidth="1"/>
    <col min="10490" max="10490" width="51.42578125" style="2059" customWidth="1"/>
    <col min="10491" max="10491" width="9.85546875" style="2059" customWidth="1"/>
    <col min="10492" max="10492" width="1.28515625" style="2059" customWidth="1"/>
    <col min="10493" max="10493" width="11" style="2059" customWidth="1"/>
    <col min="10494" max="10494" width="3" style="2059" customWidth="1"/>
    <col min="10495" max="10495" width="11.7109375" style="2059" customWidth="1"/>
    <col min="10496" max="10496" width="2.42578125" style="2059" customWidth="1"/>
    <col min="10497" max="10497" width="11.42578125" style="2059" customWidth="1"/>
    <col min="10498" max="10498" width="3.85546875" style="2059" customWidth="1"/>
    <col min="10499" max="10499" width="11.5703125" style="2059" customWidth="1"/>
    <col min="10500" max="10500" width="1.85546875" style="2059" customWidth="1"/>
    <col min="10501" max="10501" width="13.28515625" style="2059" customWidth="1"/>
    <col min="10502" max="10502" width="3.85546875" style="2059" customWidth="1"/>
    <col min="10503" max="10503" width="14.42578125" style="2059" customWidth="1"/>
    <col min="10504" max="10504" width="4" style="2059" customWidth="1"/>
    <col min="10505" max="10505" width="10.85546875" style="2059" customWidth="1"/>
    <col min="10506" max="10506" width="4.140625" style="2059" customWidth="1"/>
    <col min="10507" max="10507" width="11.85546875" style="2059" customWidth="1"/>
    <col min="10508" max="10508" width="1.85546875" style="2059" customWidth="1"/>
    <col min="10509" max="10509" width="10.7109375" style="2059" customWidth="1"/>
    <col min="10510" max="10518" width="0" style="2059" hidden="1" customWidth="1"/>
    <col min="10519" max="10522" width="16.7109375" style="2059"/>
    <col min="10523" max="10523" width="19.5703125" style="2059" customWidth="1"/>
    <col min="10524" max="10744" width="16.7109375" style="2059"/>
    <col min="10745" max="10745" width="6.42578125" style="2059" customWidth="1"/>
    <col min="10746" max="10746" width="51.42578125" style="2059" customWidth="1"/>
    <col min="10747" max="10747" width="9.85546875" style="2059" customWidth="1"/>
    <col min="10748" max="10748" width="1.28515625" style="2059" customWidth="1"/>
    <col min="10749" max="10749" width="11" style="2059" customWidth="1"/>
    <col min="10750" max="10750" width="3" style="2059" customWidth="1"/>
    <col min="10751" max="10751" width="11.7109375" style="2059" customWidth="1"/>
    <col min="10752" max="10752" width="2.42578125" style="2059" customWidth="1"/>
    <col min="10753" max="10753" width="11.42578125" style="2059" customWidth="1"/>
    <col min="10754" max="10754" width="3.85546875" style="2059" customWidth="1"/>
    <col min="10755" max="10755" width="11.5703125" style="2059" customWidth="1"/>
    <col min="10756" max="10756" width="1.85546875" style="2059" customWidth="1"/>
    <col min="10757" max="10757" width="13.28515625" style="2059" customWidth="1"/>
    <col min="10758" max="10758" width="3.85546875" style="2059" customWidth="1"/>
    <col min="10759" max="10759" width="14.42578125" style="2059" customWidth="1"/>
    <col min="10760" max="10760" width="4" style="2059" customWidth="1"/>
    <col min="10761" max="10761" width="10.85546875" style="2059" customWidth="1"/>
    <col min="10762" max="10762" width="4.140625" style="2059" customWidth="1"/>
    <col min="10763" max="10763" width="11.85546875" style="2059" customWidth="1"/>
    <col min="10764" max="10764" width="1.85546875" style="2059" customWidth="1"/>
    <col min="10765" max="10765" width="10.7109375" style="2059" customWidth="1"/>
    <col min="10766" max="10774" width="0" style="2059" hidden="1" customWidth="1"/>
    <col min="10775" max="10778" width="16.7109375" style="2059"/>
    <col min="10779" max="10779" width="19.5703125" style="2059" customWidth="1"/>
    <col min="10780" max="11000" width="16.7109375" style="2059"/>
    <col min="11001" max="11001" width="6.42578125" style="2059" customWidth="1"/>
    <col min="11002" max="11002" width="51.42578125" style="2059" customWidth="1"/>
    <col min="11003" max="11003" width="9.85546875" style="2059" customWidth="1"/>
    <col min="11004" max="11004" width="1.28515625" style="2059" customWidth="1"/>
    <col min="11005" max="11005" width="11" style="2059" customWidth="1"/>
    <col min="11006" max="11006" width="3" style="2059" customWidth="1"/>
    <col min="11007" max="11007" width="11.7109375" style="2059" customWidth="1"/>
    <col min="11008" max="11008" width="2.42578125" style="2059" customWidth="1"/>
    <col min="11009" max="11009" width="11.42578125" style="2059" customWidth="1"/>
    <col min="11010" max="11010" width="3.85546875" style="2059" customWidth="1"/>
    <col min="11011" max="11011" width="11.5703125" style="2059" customWidth="1"/>
    <col min="11012" max="11012" width="1.85546875" style="2059" customWidth="1"/>
    <col min="11013" max="11013" width="13.28515625" style="2059" customWidth="1"/>
    <col min="11014" max="11014" width="3.85546875" style="2059" customWidth="1"/>
    <col min="11015" max="11015" width="14.42578125" style="2059" customWidth="1"/>
    <col min="11016" max="11016" width="4" style="2059" customWidth="1"/>
    <col min="11017" max="11017" width="10.85546875" style="2059" customWidth="1"/>
    <col min="11018" max="11018" width="4.140625" style="2059" customWidth="1"/>
    <col min="11019" max="11019" width="11.85546875" style="2059" customWidth="1"/>
    <col min="11020" max="11020" width="1.85546875" style="2059" customWidth="1"/>
    <col min="11021" max="11021" width="10.7109375" style="2059" customWidth="1"/>
    <col min="11022" max="11030" width="0" style="2059" hidden="1" customWidth="1"/>
    <col min="11031" max="11034" width="16.7109375" style="2059"/>
    <col min="11035" max="11035" width="19.5703125" style="2059" customWidth="1"/>
    <col min="11036" max="11256" width="16.7109375" style="2059"/>
    <col min="11257" max="11257" width="6.42578125" style="2059" customWidth="1"/>
    <col min="11258" max="11258" width="51.42578125" style="2059" customWidth="1"/>
    <col min="11259" max="11259" width="9.85546875" style="2059" customWidth="1"/>
    <col min="11260" max="11260" width="1.28515625" style="2059" customWidth="1"/>
    <col min="11261" max="11261" width="11" style="2059" customWidth="1"/>
    <col min="11262" max="11262" width="3" style="2059" customWidth="1"/>
    <col min="11263" max="11263" width="11.7109375" style="2059" customWidth="1"/>
    <col min="11264" max="11264" width="2.42578125" style="2059" customWidth="1"/>
    <col min="11265" max="11265" width="11.42578125" style="2059" customWidth="1"/>
    <col min="11266" max="11266" width="3.85546875" style="2059" customWidth="1"/>
    <col min="11267" max="11267" width="11.5703125" style="2059" customWidth="1"/>
    <col min="11268" max="11268" width="1.85546875" style="2059" customWidth="1"/>
    <col min="11269" max="11269" width="13.28515625" style="2059" customWidth="1"/>
    <col min="11270" max="11270" width="3.85546875" style="2059" customWidth="1"/>
    <col min="11271" max="11271" width="14.42578125" style="2059" customWidth="1"/>
    <col min="11272" max="11272" width="4" style="2059" customWidth="1"/>
    <col min="11273" max="11273" width="10.85546875" style="2059" customWidth="1"/>
    <col min="11274" max="11274" width="4.140625" style="2059" customWidth="1"/>
    <col min="11275" max="11275" width="11.85546875" style="2059" customWidth="1"/>
    <col min="11276" max="11276" width="1.85546875" style="2059" customWidth="1"/>
    <col min="11277" max="11277" width="10.7109375" style="2059" customWidth="1"/>
    <col min="11278" max="11286" width="0" style="2059" hidden="1" customWidth="1"/>
    <col min="11287" max="11290" width="16.7109375" style="2059"/>
    <col min="11291" max="11291" width="19.5703125" style="2059" customWidth="1"/>
    <col min="11292" max="11512" width="16.7109375" style="2059"/>
    <col min="11513" max="11513" width="6.42578125" style="2059" customWidth="1"/>
    <col min="11514" max="11514" width="51.42578125" style="2059" customWidth="1"/>
    <col min="11515" max="11515" width="9.85546875" style="2059" customWidth="1"/>
    <col min="11516" max="11516" width="1.28515625" style="2059" customWidth="1"/>
    <col min="11517" max="11517" width="11" style="2059" customWidth="1"/>
    <col min="11518" max="11518" width="3" style="2059" customWidth="1"/>
    <col min="11519" max="11519" width="11.7109375" style="2059" customWidth="1"/>
    <col min="11520" max="11520" width="2.42578125" style="2059" customWidth="1"/>
    <col min="11521" max="11521" width="11.42578125" style="2059" customWidth="1"/>
    <col min="11522" max="11522" width="3.85546875" style="2059" customWidth="1"/>
    <col min="11523" max="11523" width="11.5703125" style="2059" customWidth="1"/>
    <col min="11524" max="11524" width="1.85546875" style="2059" customWidth="1"/>
    <col min="11525" max="11525" width="13.28515625" style="2059" customWidth="1"/>
    <col min="11526" max="11526" width="3.85546875" style="2059" customWidth="1"/>
    <col min="11527" max="11527" width="14.42578125" style="2059" customWidth="1"/>
    <col min="11528" max="11528" width="4" style="2059" customWidth="1"/>
    <col min="11529" max="11529" width="10.85546875" style="2059" customWidth="1"/>
    <col min="11530" max="11530" width="4.140625" style="2059" customWidth="1"/>
    <col min="11531" max="11531" width="11.85546875" style="2059" customWidth="1"/>
    <col min="11532" max="11532" width="1.85546875" style="2059" customWidth="1"/>
    <col min="11533" max="11533" width="10.7109375" style="2059" customWidth="1"/>
    <col min="11534" max="11542" width="0" style="2059" hidden="1" customWidth="1"/>
    <col min="11543" max="11546" width="16.7109375" style="2059"/>
    <col min="11547" max="11547" width="19.5703125" style="2059" customWidth="1"/>
    <col min="11548" max="11768" width="16.7109375" style="2059"/>
    <col min="11769" max="11769" width="6.42578125" style="2059" customWidth="1"/>
    <col min="11770" max="11770" width="51.42578125" style="2059" customWidth="1"/>
    <col min="11771" max="11771" width="9.85546875" style="2059" customWidth="1"/>
    <col min="11772" max="11772" width="1.28515625" style="2059" customWidth="1"/>
    <col min="11773" max="11773" width="11" style="2059" customWidth="1"/>
    <col min="11774" max="11774" width="3" style="2059" customWidth="1"/>
    <col min="11775" max="11775" width="11.7109375" style="2059" customWidth="1"/>
    <col min="11776" max="11776" width="2.42578125" style="2059" customWidth="1"/>
    <col min="11777" max="11777" width="11.42578125" style="2059" customWidth="1"/>
    <col min="11778" max="11778" width="3.85546875" style="2059" customWidth="1"/>
    <col min="11779" max="11779" width="11.5703125" style="2059" customWidth="1"/>
    <col min="11780" max="11780" width="1.85546875" style="2059" customWidth="1"/>
    <col min="11781" max="11781" width="13.28515625" style="2059" customWidth="1"/>
    <col min="11782" max="11782" width="3.85546875" style="2059" customWidth="1"/>
    <col min="11783" max="11783" width="14.42578125" style="2059" customWidth="1"/>
    <col min="11784" max="11784" width="4" style="2059" customWidth="1"/>
    <col min="11785" max="11785" width="10.85546875" style="2059" customWidth="1"/>
    <col min="11786" max="11786" width="4.140625" style="2059" customWidth="1"/>
    <col min="11787" max="11787" width="11.85546875" style="2059" customWidth="1"/>
    <col min="11788" max="11788" width="1.85546875" style="2059" customWidth="1"/>
    <col min="11789" max="11789" width="10.7109375" style="2059" customWidth="1"/>
    <col min="11790" max="11798" width="0" style="2059" hidden="1" customWidth="1"/>
    <col min="11799" max="11802" width="16.7109375" style="2059"/>
    <col min="11803" max="11803" width="19.5703125" style="2059" customWidth="1"/>
    <col min="11804" max="12024" width="16.7109375" style="2059"/>
    <col min="12025" max="12025" width="6.42578125" style="2059" customWidth="1"/>
    <col min="12026" max="12026" width="51.42578125" style="2059" customWidth="1"/>
    <col min="12027" max="12027" width="9.85546875" style="2059" customWidth="1"/>
    <col min="12028" max="12028" width="1.28515625" style="2059" customWidth="1"/>
    <col min="12029" max="12029" width="11" style="2059" customWidth="1"/>
    <col min="12030" max="12030" width="3" style="2059" customWidth="1"/>
    <col min="12031" max="12031" width="11.7109375" style="2059" customWidth="1"/>
    <col min="12032" max="12032" width="2.42578125" style="2059" customWidth="1"/>
    <col min="12033" max="12033" width="11.42578125" style="2059" customWidth="1"/>
    <col min="12034" max="12034" width="3.85546875" style="2059" customWidth="1"/>
    <col min="12035" max="12035" width="11.5703125" style="2059" customWidth="1"/>
    <col min="12036" max="12036" width="1.85546875" style="2059" customWidth="1"/>
    <col min="12037" max="12037" width="13.28515625" style="2059" customWidth="1"/>
    <col min="12038" max="12038" width="3.85546875" style="2059" customWidth="1"/>
    <col min="12039" max="12039" width="14.42578125" style="2059" customWidth="1"/>
    <col min="12040" max="12040" width="4" style="2059" customWidth="1"/>
    <col min="12041" max="12041" width="10.85546875" style="2059" customWidth="1"/>
    <col min="12042" max="12042" width="4.140625" style="2059" customWidth="1"/>
    <col min="12043" max="12043" width="11.85546875" style="2059" customWidth="1"/>
    <col min="12044" max="12044" width="1.85546875" style="2059" customWidth="1"/>
    <col min="12045" max="12045" width="10.7109375" style="2059" customWidth="1"/>
    <col min="12046" max="12054" width="0" style="2059" hidden="1" customWidth="1"/>
    <col min="12055" max="12058" width="16.7109375" style="2059"/>
    <col min="12059" max="12059" width="19.5703125" style="2059" customWidth="1"/>
    <col min="12060" max="12280" width="16.7109375" style="2059"/>
    <col min="12281" max="12281" width="6.42578125" style="2059" customWidth="1"/>
    <col min="12282" max="12282" width="51.42578125" style="2059" customWidth="1"/>
    <col min="12283" max="12283" width="9.85546875" style="2059" customWidth="1"/>
    <col min="12284" max="12284" width="1.28515625" style="2059" customWidth="1"/>
    <col min="12285" max="12285" width="11" style="2059" customWidth="1"/>
    <col min="12286" max="12286" width="3" style="2059" customWidth="1"/>
    <col min="12287" max="12287" width="11.7109375" style="2059" customWidth="1"/>
    <col min="12288" max="12288" width="2.42578125" style="2059" customWidth="1"/>
    <col min="12289" max="12289" width="11.42578125" style="2059" customWidth="1"/>
    <col min="12290" max="12290" width="3.85546875" style="2059" customWidth="1"/>
    <col min="12291" max="12291" width="11.5703125" style="2059" customWidth="1"/>
    <col min="12292" max="12292" width="1.85546875" style="2059" customWidth="1"/>
    <col min="12293" max="12293" width="13.28515625" style="2059" customWidth="1"/>
    <col min="12294" max="12294" width="3.85546875" style="2059" customWidth="1"/>
    <col min="12295" max="12295" width="14.42578125" style="2059" customWidth="1"/>
    <col min="12296" max="12296" width="4" style="2059" customWidth="1"/>
    <col min="12297" max="12297" width="10.85546875" style="2059" customWidth="1"/>
    <col min="12298" max="12298" width="4.140625" style="2059" customWidth="1"/>
    <col min="12299" max="12299" width="11.85546875" style="2059" customWidth="1"/>
    <col min="12300" max="12300" width="1.85546875" style="2059" customWidth="1"/>
    <col min="12301" max="12301" width="10.7109375" style="2059" customWidth="1"/>
    <col min="12302" max="12310" width="0" style="2059" hidden="1" customWidth="1"/>
    <col min="12311" max="12314" width="16.7109375" style="2059"/>
    <col min="12315" max="12315" width="19.5703125" style="2059" customWidth="1"/>
    <col min="12316" max="12536" width="16.7109375" style="2059"/>
    <col min="12537" max="12537" width="6.42578125" style="2059" customWidth="1"/>
    <col min="12538" max="12538" width="51.42578125" style="2059" customWidth="1"/>
    <col min="12539" max="12539" width="9.85546875" style="2059" customWidth="1"/>
    <col min="12540" max="12540" width="1.28515625" style="2059" customWidth="1"/>
    <col min="12541" max="12541" width="11" style="2059" customWidth="1"/>
    <col min="12542" max="12542" width="3" style="2059" customWidth="1"/>
    <col min="12543" max="12543" width="11.7109375" style="2059" customWidth="1"/>
    <col min="12544" max="12544" width="2.42578125" style="2059" customWidth="1"/>
    <col min="12545" max="12545" width="11.42578125" style="2059" customWidth="1"/>
    <col min="12546" max="12546" width="3.85546875" style="2059" customWidth="1"/>
    <col min="12547" max="12547" width="11.5703125" style="2059" customWidth="1"/>
    <col min="12548" max="12548" width="1.85546875" style="2059" customWidth="1"/>
    <col min="12549" max="12549" width="13.28515625" style="2059" customWidth="1"/>
    <col min="12550" max="12550" width="3.85546875" style="2059" customWidth="1"/>
    <col min="12551" max="12551" width="14.42578125" style="2059" customWidth="1"/>
    <col min="12552" max="12552" width="4" style="2059" customWidth="1"/>
    <col min="12553" max="12553" width="10.85546875" style="2059" customWidth="1"/>
    <col min="12554" max="12554" width="4.140625" style="2059" customWidth="1"/>
    <col min="12555" max="12555" width="11.85546875" style="2059" customWidth="1"/>
    <col min="12556" max="12556" width="1.85546875" style="2059" customWidth="1"/>
    <col min="12557" max="12557" width="10.7109375" style="2059" customWidth="1"/>
    <col min="12558" max="12566" width="0" style="2059" hidden="1" customWidth="1"/>
    <col min="12567" max="12570" width="16.7109375" style="2059"/>
    <col min="12571" max="12571" width="19.5703125" style="2059" customWidth="1"/>
    <col min="12572" max="12792" width="16.7109375" style="2059"/>
    <col min="12793" max="12793" width="6.42578125" style="2059" customWidth="1"/>
    <col min="12794" max="12794" width="51.42578125" style="2059" customWidth="1"/>
    <col min="12795" max="12795" width="9.85546875" style="2059" customWidth="1"/>
    <col min="12796" max="12796" width="1.28515625" style="2059" customWidth="1"/>
    <col min="12797" max="12797" width="11" style="2059" customWidth="1"/>
    <col min="12798" max="12798" width="3" style="2059" customWidth="1"/>
    <col min="12799" max="12799" width="11.7109375" style="2059" customWidth="1"/>
    <col min="12800" max="12800" width="2.42578125" style="2059" customWidth="1"/>
    <col min="12801" max="12801" width="11.42578125" style="2059" customWidth="1"/>
    <col min="12802" max="12802" width="3.85546875" style="2059" customWidth="1"/>
    <col min="12803" max="12803" width="11.5703125" style="2059" customWidth="1"/>
    <col min="12804" max="12804" width="1.85546875" style="2059" customWidth="1"/>
    <col min="12805" max="12805" width="13.28515625" style="2059" customWidth="1"/>
    <col min="12806" max="12806" width="3.85546875" style="2059" customWidth="1"/>
    <col min="12807" max="12807" width="14.42578125" style="2059" customWidth="1"/>
    <col min="12808" max="12808" width="4" style="2059" customWidth="1"/>
    <col min="12809" max="12809" width="10.85546875" style="2059" customWidth="1"/>
    <col min="12810" max="12810" width="4.140625" style="2059" customWidth="1"/>
    <col min="12811" max="12811" width="11.85546875" style="2059" customWidth="1"/>
    <col min="12812" max="12812" width="1.85546875" style="2059" customWidth="1"/>
    <col min="12813" max="12813" width="10.7109375" style="2059" customWidth="1"/>
    <col min="12814" max="12822" width="0" style="2059" hidden="1" customWidth="1"/>
    <col min="12823" max="12826" width="16.7109375" style="2059"/>
    <col min="12827" max="12827" width="19.5703125" style="2059" customWidth="1"/>
    <col min="12828" max="13048" width="16.7109375" style="2059"/>
    <col min="13049" max="13049" width="6.42578125" style="2059" customWidth="1"/>
    <col min="13050" max="13050" width="51.42578125" style="2059" customWidth="1"/>
    <col min="13051" max="13051" width="9.85546875" style="2059" customWidth="1"/>
    <col min="13052" max="13052" width="1.28515625" style="2059" customWidth="1"/>
    <col min="13053" max="13053" width="11" style="2059" customWidth="1"/>
    <col min="13054" max="13054" width="3" style="2059" customWidth="1"/>
    <col min="13055" max="13055" width="11.7109375" style="2059" customWidth="1"/>
    <col min="13056" max="13056" width="2.42578125" style="2059" customWidth="1"/>
    <col min="13057" max="13057" width="11.42578125" style="2059" customWidth="1"/>
    <col min="13058" max="13058" width="3.85546875" style="2059" customWidth="1"/>
    <col min="13059" max="13059" width="11.5703125" style="2059" customWidth="1"/>
    <col min="13060" max="13060" width="1.85546875" style="2059" customWidth="1"/>
    <col min="13061" max="13061" width="13.28515625" style="2059" customWidth="1"/>
    <col min="13062" max="13062" width="3.85546875" style="2059" customWidth="1"/>
    <col min="13063" max="13063" width="14.42578125" style="2059" customWidth="1"/>
    <col min="13064" max="13064" width="4" style="2059" customWidth="1"/>
    <col min="13065" max="13065" width="10.85546875" style="2059" customWidth="1"/>
    <col min="13066" max="13066" width="4.140625" style="2059" customWidth="1"/>
    <col min="13067" max="13067" width="11.85546875" style="2059" customWidth="1"/>
    <col min="13068" max="13068" width="1.85546875" style="2059" customWidth="1"/>
    <col min="13069" max="13069" width="10.7109375" style="2059" customWidth="1"/>
    <col min="13070" max="13078" width="0" style="2059" hidden="1" customWidth="1"/>
    <col min="13079" max="13082" width="16.7109375" style="2059"/>
    <col min="13083" max="13083" width="19.5703125" style="2059" customWidth="1"/>
    <col min="13084" max="13304" width="16.7109375" style="2059"/>
    <col min="13305" max="13305" width="6.42578125" style="2059" customWidth="1"/>
    <col min="13306" max="13306" width="51.42578125" style="2059" customWidth="1"/>
    <col min="13307" max="13307" width="9.85546875" style="2059" customWidth="1"/>
    <col min="13308" max="13308" width="1.28515625" style="2059" customWidth="1"/>
    <col min="13309" max="13309" width="11" style="2059" customWidth="1"/>
    <col min="13310" max="13310" width="3" style="2059" customWidth="1"/>
    <col min="13311" max="13311" width="11.7109375" style="2059" customWidth="1"/>
    <col min="13312" max="13312" width="2.42578125" style="2059" customWidth="1"/>
    <col min="13313" max="13313" width="11.42578125" style="2059" customWidth="1"/>
    <col min="13314" max="13314" width="3.85546875" style="2059" customWidth="1"/>
    <col min="13315" max="13315" width="11.5703125" style="2059" customWidth="1"/>
    <col min="13316" max="13316" width="1.85546875" style="2059" customWidth="1"/>
    <col min="13317" max="13317" width="13.28515625" style="2059" customWidth="1"/>
    <col min="13318" max="13318" width="3.85546875" style="2059" customWidth="1"/>
    <col min="13319" max="13319" width="14.42578125" style="2059" customWidth="1"/>
    <col min="13320" max="13320" width="4" style="2059" customWidth="1"/>
    <col min="13321" max="13321" width="10.85546875" style="2059" customWidth="1"/>
    <col min="13322" max="13322" width="4.140625" style="2059" customWidth="1"/>
    <col min="13323" max="13323" width="11.85546875" style="2059" customWidth="1"/>
    <col min="13324" max="13324" width="1.85546875" style="2059" customWidth="1"/>
    <col min="13325" max="13325" width="10.7109375" style="2059" customWidth="1"/>
    <col min="13326" max="13334" width="0" style="2059" hidden="1" customWidth="1"/>
    <col min="13335" max="13338" width="16.7109375" style="2059"/>
    <col min="13339" max="13339" width="19.5703125" style="2059" customWidth="1"/>
    <col min="13340" max="13560" width="16.7109375" style="2059"/>
    <col min="13561" max="13561" width="6.42578125" style="2059" customWidth="1"/>
    <col min="13562" max="13562" width="51.42578125" style="2059" customWidth="1"/>
    <col min="13563" max="13563" width="9.85546875" style="2059" customWidth="1"/>
    <col min="13564" max="13564" width="1.28515625" style="2059" customWidth="1"/>
    <col min="13565" max="13565" width="11" style="2059" customWidth="1"/>
    <col min="13566" max="13566" width="3" style="2059" customWidth="1"/>
    <col min="13567" max="13567" width="11.7109375" style="2059" customWidth="1"/>
    <col min="13568" max="13568" width="2.42578125" style="2059" customWidth="1"/>
    <col min="13569" max="13569" width="11.42578125" style="2059" customWidth="1"/>
    <col min="13570" max="13570" width="3.85546875" style="2059" customWidth="1"/>
    <col min="13571" max="13571" width="11.5703125" style="2059" customWidth="1"/>
    <col min="13572" max="13572" width="1.85546875" style="2059" customWidth="1"/>
    <col min="13573" max="13573" width="13.28515625" style="2059" customWidth="1"/>
    <col min="13574" max="13574" width="3.85546875" style="2059" customWidth="1"/>
    <col min="13575" max="13575" width="14.42578125" style="2059" customWidth="1"/>
    <col min="13576" max="13576" width="4" style="2059" customWidth="1"/>
    <col min="13577" max="13577" width="10.85546875" style="2059" customWidth="1"/>
    <col min="13578" max="13578" width="4.140625" style="2059" customWidth="1"/>
    <col min="13579" max="13579" width="11.85546875" style="2059" customWidth="1"/>
    <col min="13580" max="13580" width="1.85546875" style="2059" customWidth="1"/>
    <col min="13581" max="13581" width="10.7109375" style="2059" customWidth="1"/>
    <col min="13582" max="13590" width="0" style="2059" hidden="1" customWidth="1"/>
    <col min="13591" max="13594" width="16.7109375" style="2059"/>
    <col min="13595" max="13595" width="19.5703125" style="2059" customWidth="1"/>
    <col min="13596" max="13816" width="16.7109375" style="2059"/>
    <col min="13817" max="13817" width="6.42578125" style="2059" customWidth="1"/>
    <col min="13818" max="13818" width="51.42578125" style="2059" customWidth="1"/>
    <col min="13819" max="13819" width="9.85546875" style="2059" customWidth="1"/>
    <col min="13820" max="13820" width="1.28515625" style="2059" customWidth="1"/>
    <col min="13821" max="13821" width="11" style="2059" customWidth="1"/>
    <col min="13822" max="13822" width="3" style="2059" customWidth="1"/>
    <col min="13823" max="13823" width="11.7109375" style="2059" customWidth="1"/>
    <col min="13824" max="13824" width="2.42578125" style="2059" customWidth="1"/>
    <col min="13825" max="13825" width="11.42578125" style="2059" customWidth="1"/>
    <col min="13826" max="13826" width="3.85546875" style="2059" customWidth="1"/>
    <col min="13827" max="13827" width="11.5703125" style="2059" customWidth="1"/>
    <col min="13828" max="13828" width="1.85546875" style="2059" customWidth="1"/>
    <col min="13829" max="13829" width="13.28515625" style="2059" customWidth="1"/>
    <col min="13830" max="13830" width="3.85546875" style="2059" customWidth="1"/>
    <col min="13831" max="13831" width="14.42578125" style="2059" customWidth="1"/>
    <col min="13832" max="13832" width="4" style="2059" customWidth="1"/>
    <col min="13833" max="13833" width="10.85546875" style="2059" customWidth="1"/>
    <col min="13834" max="13834" width="4.140625" style="2059" customWidth="1"/>
    <col min="13835" max="13835" width="11.85546875" style="2059" customWidth="1"/>
    <col min="13836" max="13836" width="1.85546875" style="2059" customWidth="1"/>
    <col min="13837" max="13837" width="10.7109375" style="2059" customWidth="1"/>
    <col min="13838" max="13846" width="0" style="2059" hidden="1" customWidth="1"/>
    <col min="13847" max="13850" width="16.7109375" style="2059"/>
    <col min="13851" max="13851" width="19.5703125" style="2059" customWidth="1"/>
    <col min="13852" max="14072" width="16.7109375" style="2059"/>
    <col min="14073" max="14073" width="6.42578125" style="2059" customWidth="1"/>
    <col min="14074" max="14074" width="51.42578125" style="2059" customWidth="1"/>
    <col min="14075" max="14075" width="9.85546875" style="2059" customWidth="1"/>
    <col min="14076" max="14076" width="1.28515625" style="2059" customWidth="1"/>
    <col min="14077" max="14077" width="11" style="2059" customWidth="1"/>
    <col min="14078" max="14078" width="3" style="2059" customWidth="1"/>
    <col min="14079" max="14079" width="11.7109375" style="2059" customWidth="1"/>
    <col min="14080" max="14080" width="2.42578125" style="2059" customWidth="1"/>
    <col min="14081" max="14081" width="11.42578125" style="2059" customWidth="1"/>
    <col min="14082" max="14082" width="3.85546875" style="2059" customWidth="1"/>
    <col min="14083" max="14083" width="11.5703125" style="2059" customWidth="1"/>
    <col min="14084" max="14084" width="1.85546875" style="2059" customWidth="1"/>
    <col min="14085" max="14085" width="13.28515625" style="2059" customWidth="1"/>
    <col min="14086" max="14086" width="3.85546875" style="2059" customWidth="1"/>
    <col min="14087" max="14087" width="14.42578125" style="2059" customWidth="1"/>
    <col min="14088" max="14088" width="4" style="2059" customWidth="1"/>
    <col min="14089" max="14089" width="10.85546875" style="2059" customWidth="1"/>
    <col min="14090" max="14090" width="4.140625" style="2059" customWidth="1"/>
    <col min="14091" max="14091" width="11.85546875" style="2059" customWidth="1"/>
    <col min="14092" max="14092" width="1.85546875" style="2059" customWidth="1"/>
    <col min="14093" max="14093" width="10.7109375" style="2059" customWidth="1"/>
    <col min="14094" max="14102" width="0" style="2059" hidden="1" customWidth="1"/>
    <col min="14103" max="14106" width="16.7109375" style="2059"/>
    <col min="14107" max="14107" width="19.5703125" style="2059" customWidth="1"/>
    <col min="14108" max="14328" width="16.7109375" style="2059"/>
    <col min="14329" max="14329" width="6.42578125" style="2059" customWidth="1"/>
    <col min="14330" max="14330" width="51.42578125" style="2059" customWidth="1"/>
    <col min="14331" max="14331" width="9.85546875" style="2059" customWidth="1"/>
    <col min="14332" max="14332" width="1.28515625" style="2059" customWidth="1"/>
    <col min="14333" max="14333" width="11" style="2059" customWidth="1"/>
    <col min="14334" max="14334" width="3" style="2059" customWidth="1"/>
    <col min="14335" max="14335" width="11.7109375" style="2059" customWidth="1"/>
    <col min="14336" max="14336" width="2.42578125" style="2059" customWidth="1"/>
    <col min="14337" max="14337" width="11.42578125" style="2059" customWidth="1"/>
    <col min="14338" max="14338" width="3.85546875" style="2059" customWidth="1"/>
    <col min="14339" max="14339" width="11.5703125" style="2059" customWidth="1"/>
    <col min="14340" max="14340" width="1.85546875" style="2059" customWidth="1"/>
    <col min="14341" max="14341" width="13.28515625" style="2059" customWidth="1"/>
    <col min="14342" max="14342" width="3.85546875" style="2059" customWidth="1"/>
    <col min="14343" max="14343" width="14.42578125" style="2059" customWidth="1"/>
    <col min="14344" max="14344" width="4" style="2059" customWidth="1"/>
    <col min="14345" max="14345" width="10.85546875" style="2059" customWidth="1"/>
    <col min="14346" max="14346" width="4.140625" style="2059" customWidth="1"/>
    <col min="14347" max="14347" width="11.85546875" style="2059" customWidth="1"/>
    <col min="14348" max="14348" width="1.85546875" style="2059" customWidth="1"/>
    <col min="14349" max="14349" width="10.7109375" style="2059" customWidth="1"/>
    <col min="14350" max="14358" width="0" style="2059" hidden="1" customWidth="1"/>
    <col min="14359" max="14362" width="16.7109375" style="2059"/>
    <col min="14363" max="14363" width="19.5703125" style="2059" customWidth="1"/>
    <col min="14364" max="14584" width="16.7109375" style="2059"/>
    <col min="14585" max="14585" width="6.42578125" style="2059" customWidth="1"/>
    <col min="14586" max="14586" width="51.42578125" style="2059" customWidth="1"/>
    <col min="14587" max="14587" width="9.85546875" style="2059" customWidth="1"/>
    <col min="14588" max="14588" width="1.28515625" style="2059" customWidth="1"/>
    <col min="14589" max="14589" width="11" style="2059" customWidth="1"/>
    <col min="14590" max="14590" width="3" style="2059" customWidth="1"/>
    <col min="14591" max="14591" width="11.7109375" style="2059" customWidth="1"/>
    <col min="14592" max="14592" width="2.42578125" style="2059" customWidth="1"/>
    <col min="14593" max="14593" width="11.42578125" style="2059" customWidth="1"/>
    <col min="14594" max="14594" width="3.85546875" style="2059" customWidth="1"/>
    <col min="14595" max="14595" width="11.5703125" style="2059" customWidth="1"/>
    <col min="14596" max="14596" width="1.85546875" style="2059" customWidth="1"/>
    <col min="14597" max="14597" width="13.28515625" style="2059" customWidth="1"/>
    <col min="14598" max="14598" width="3.85546875" style="2059" customWidth="1"/>
    <col min="14599" max="14599" width="14.42578125" style="2059" customWidth="1"/>
    <col min="14600" max="14600" width="4" style="2059" customWidth="1"/>
    <col min="14601" max="14601" width="10.85546875" style="2059" customWidth="1"/>
    <col min="14602" max="14602" width="4.140625" style="2059" customWidth="1"/>
    <col min="14603" max="14603" width="11.85546875" style="2059" customWidth="1"/>
    <col min="14604" max="14604" width="1.85546875" style="2059" customWidth="1"/>
    <col min="14605" max="14605" width="10.7109375" style="2059" customWidth="1"/>
    <col min="14606" max="14614" width="0" style="2059" hidden="1" customWidth="1"/>
    <col min="14615" max="14618" width="16.7109375" style="2059"/>
    <col min="14619" max="14619" width="19.5703125" style="2059" customWidth="1"/>
    <col min="14620" max="14840" width="16.7109375" style="2059"/>
    <col min="14841" max="14841" width="6.42578125" style="2059" customWidth="1"/>
    <col min="14842" max="14842" width="51.42578125" style="2059" customWidth="1"/>
    <col min="14843" max="14843" width="9.85546875" style="2059" customWidth="1"/>
    <col min="14844" max="14844" width="1.28515625" style="2059" customWidth="1"/>
    <col min="14845" max="14845" width="11" style="2059" customWidth="1"/>
    <col min="14846" max="14846" width="3" style="2059" customWidth="1"/>
    <col min="14847" max="14847" width="11.7109375" style="2059" customWidth="1"/>
    <col min="14848" max="14848" width="2.42578125" style="2059" customWidth="1"/>
    <col min="14849" max="14849" width="11.42578125" style="2059" customWidth="1"/>
    <col min="14850" max="14850" width="3.85546875" style="2059" customWidth="1"/>
    <col min="14851" max="14851" width="11.5703125" style="2059" customWidth="1"/>
    <col min="14852" max="14852" width="1.85546875" style="2059" customWidth="1"/>
    <col min="14853" max="14853" width="13.28515625" style="2059" customWidth="1"/>
    <col min="14854" max="14854" width="3.85546875" style="2059" customWidth="1"/>
    <col min="14855" max="14855" width="14.42578125" style="2059" customWidth="1"/>
    <col min="14856" max="14856" width="4" style="2059" customWidth="1"/>
    <col min="14857" max="14857" width="10.85546875" style="2059" customWidth="1"/>
    <col min="14858" max="14858" width="4.140625" style="2059" customWidth="1"/>
    <col min="14859" max="14859" width="11.85546875" style="2059" customWidth="1"/>
    <col min="14860" max="14860" width="1.85546875" style="2059" customWidth="1"/>
    <col min="14861" max="14861" width="10.7109375" style="2059" customWidth="1"/>
    <col min="14862" max="14870" width="0" style="2059" hidden="1" customWidth="1"/>
    <col min="14871" max="14874" width="16.7109375" style="2059"/>
    <col min="14875" max="14875" width="19.5703125" style="2059" customWidth="1"/>
    <col min="14876" max="15096" width="16.7109375" style="2059"/>
    <col min="15097" max="15097" width="6.42578125" style="2059" customWidth="1"/>
    <col min="15098" max="15098" width="51.42578125" style="2059" customWidth="1"/>
    <col min="15099" max="15099" width="9.85546875" style="2059" customWidth="1"/>
    <col min="15100" max="15100" width="1.28515625" style="2059" customWidth="1"/>
    <col min="15101" max="15101" width="11" style="2059" customWidth="1"/>
    <col min="15102" max="15102" width="3" style="2059" customWidth="1"/>
    <col min="15103" max="15103" width="11.7109375" style="2059" customWidth="1"/>
    <col min="15104" max="15104" width="2.42578125" style="2059" customWidth="1"/>
    <col min="15105" max="15105" width="11.42578125" style="2059" customWidth="1"/>
    <col min="15106" max="15106" width="3.85546875" style="2059" customWidth="1"/>
    <col min="15107" max="15107" width="11.5703125" style="2059" customWidth="1"/>
    <col min="15108" max="15108" width="1.85546875" style="2059" customWidth="1"/>
    <col min="15109" max="15109" width="13.28515625" style="2059" customWidth="1"/>
    <col min="15110" max="15110" width="3.85546875" style="2059" customWidth="1"/>
    <col min="15111" max="15111" width="14.42578125" style="2059" customWidth="1"/>
    <col min="15112" max="15112" width="4" style="2059" customWidth="1"/>
    <col min="15113" max="15113" width="10.85546875" style="2059" customWidth="1"/>
    <col min="15114" max="15114" width="4.140625" style="2059" customWidth="1"/>
    <col min="15115" max="15115" width="11.85546875" style="2059" customWidth="1"/>
    <col min="15116" max="15116" width="1.85546875" style="2059" customWidth="1"/>
    <col min="15117" max="15117" width="10.7109375" style="2059" customWidth="1"/>
    <col min="15118" max="15126" width="0" style="2059" hidden="1" customWidth="1"/>
    <col min="15127" max="15130" width="16.7109375" style="2059"/>
    <col min="15131" max="15131" width="19.5703125" style="2059" customWidth="1"/>
    <col min="15132" max="15352" width="16.7109375" style="2059"/>
    <col min="15353" max="15353" width="6.42578125" style="2059" customWidth="1"/>
    <col min="15354" max="15354" width="51.42578125" style="2059" customWidth="1"/>
    <col min="15355" max="15355" width="9.85546875" style="2059" customWidth="1"/>
    <col min="15356" max="15356" width="1.28515625" style="2059" customWidth="1"/>
    <col min="15357" max="15357" width="11" style="2059" customWidth="1"/>
    <col min="15358" max="15358" width="3" style="2059" customWidth="1"/>
    <col min="15359" max="15359" width="11.7109375" style="2059" customWidth="1"/>
    <col min="15360" max="15360" width="2.42578125" style="2059" customWidth="1"/>
    <col min="15361" max="15361" width="11.42578125" style="2059" customWidth="1"/>
    <col min="15362" max="15362" width="3.85546875" style="2059" customWidth="1"/>
    <col min="15363" max="15363" width="11.5703125" style="2059" customWidth="1"/>
    <col min="15364" max="15364" width="1.85546875" style="2059" customWidth="1"/>
    <col min="15365" max="15365" width="13.28515625" style="2059" customWidth="1"/>
    <col min="15366" max="15366" width="3.85546875" style="2059" customWidth="1"/>
    <col min="15367" max="15367" width="14.42578125" style="2059" customWidth="1"/>
    <col min="15368" max="15368" width="4" style="2059" customWidth="1"/>
    <col min="15369" max="15369" width="10.85546875" style="2059" customWidth="1"/>
    <col min="15370" max="15370" width="4.140625" style="2059" customWidth="1"/>
    <col min="15371" max="15371" width="11.85546875" style="2059" customWidth="1"/>
    <col min="15372" max="15372" width="1.85546875" style="2059" customWidth="1"/>
    <col min="15373" max="15373" width="10.7109375" style="2059" customWidth="1"/>
    <col min="15374" max="15382" width="0" style="2059" hidden="1" customWidth="1"/>
    <col min="15383" max="15386" width="16.7109375" style="2059"/>
    <col min="15387" max="15387" width="19.5703125" style="2059" customWidth="1"/>
    <col min="15388" max="15608" width="16.7109375" style="2059"/>
    <col min="15609" max="15609" width="6.42578125" style="2059" customWidth="1"/>
    <col min="15610" max="15610" width="51.42578125" style="2059" customWidth="1"/>
    <col min="15611" max="15611" width="9.85546875" style="2059" customWidth="1"/>
    <col min="15612" max="15612" width="1.28515625" style="2059" customWidth="1"/>
    <col min="15613" max="15613" width="11" style="2059" customWidth="1"/>
    <col min="15614" max="15614" width="3" style="2059" customWidth="1"/>
    <col min="15615" max="15615" width="11.7109375" style="2059" customWidth="1"/>
    <col min="15616" max="15616" width="2.42578125" style="2059" customWidth="1"/>
    <col min="15617" max="15617" width="11.42578125" style="2059" customWidth="1"/>
    <col min="15618" max="15618" width="3.85546875" style="2059" customWidth="1"/>
    <col min="15619" max="15619" width="11.5703125" style="2059" customWidth="1"/>
    <col min="15620" max="15620" width="1.85546875" style="2059" customWidth="1"/>
    <col min="15621" max="15621" width="13.28515625" style="2059" customWidth="1"/>
    <col min="15622" max="15622" width="3.85546875" style="2059" customWidth="1"/>
    <col min="15623" max="15623" width="14.42578125" style="2059" customWidth="1"/>
    <col min="15624" max="15624" width="4" style="2059" customWidth="1"/>
    <col min="15625" max="15625" width="10.85546875" style="2059" customWidth="1"/>
    <col min="15626" max="15626" width="4.140625" style="2059" customWidth="1"/>
    <col min="15627" max="15627" width="11.85546875" style="2059" customWidth="1"/>
    <col min="15628" max="15628" width="1.85546875" style="2059" customWidth="1"/>
    <col min="15629" max="15629" width="10.7109375" style="2059" customWidth="1"/>
    <col min="15630" max="15638" width="0" style="2059" hidden="1" customWidth="1"/>
    <col min="15639" max="15642" width="16.7109375" style="2059"/>
    <col min="15643" max="15643" width="19.5703125" style="2059" customWidth="1"/>
    <col min="15644" max="15864" width="16.7109375" style="2059"/>
    <col min="15865" max="15865" width="6.42578125" style="2059" customWidth="1"/>
    <col min="15866" max="15866" width="51.42578125" style="2059" customWidth="1"/>
    <col min="15867" max="15867" width="9.85546875" style="2059" customWidth="1"/>
    <col min="15868" max="15868" width="1.28515625" style="2059" customWidth="1"/>
    <col min="15869" max="15869" width="11" style="2059" customWidth="1"/>
    <col min="15870" max="15870" width="3" style="2059" customWidth="1"/>
    <col min="15871" max="15871" width="11.7109375" style="2059" customWidth="1"/>
    <col min="15872" max="15872" width="2.42578125" style="2059" customWidth="1"/>
    <col min="15873" max="15873" width="11.42578125" style="2059" customWidth="1"/>
    <col min="15874" max="15874" width="3.85546875" style="2059" customWidth="1"/>
    <col min="15875" max="15875" width="11.5703125" style="2059" customWidth="1"/>
    <col min="15876" max="15876" width="1.85546875" style="2059" customWidth="1"/>
    <col min="15877" max="15877" width="13.28515625" style="2059" customWidth="1"/>
    <col min="15878" max="15878" width="3.85546875" style="2059" customWidth="1"/>
    <col min="15879" max="15879" width="14.42578125" style="2059" customWidth="1"/>
    <col min="15880" max="15880" width="4" style="2059" customWidth="1"/>
    <col min="15881" max="15881" width="10.85546875" style="2059" customWidth="1"/>
    <col min="15882" max="15882" width="4.140625" style="2059" customWidth="1"/>
    <col min="15883" max="15883" width="11.85546875" style="2059" customWidth="1"/>
    <col min="15884" max="15884" width="1.85546875" style="2059" customWidth="1"/>
    <col min="15885" max="15885" width="10.7109375" style="2059" customWidth="1"/>
    <col min="15886" max="15894" width="0" style="2059" hidden="1" customWidth="1"/>
    <col min="15895" max="15898" width="16.7109375" style="2059"/>
    <col min="15899" max="15899" width="19.5703125" style="2059" customWidth="1"/>
    <col min="15900" max="16120" width="16.7109375" style="2059"/>
    <col min="16121" max="16121" width="6.42578125" style="2059" customWidth="1"/>
    <col min="16122" max="16122" width="51.42578125" style="2059" customWidth="1"/>
    <col min="16123" max="16123" width="9.85546875" style="2059" customWidth="1"/>
    <col min="16124" max="16124" width="1.28515625" style="2059" customWidth="1"/>
    <col min="16125" max="16125" width="11" style="2059" customWidth="1"/>
    <col min="16126" max="16126" width="3" style="2059" customWidth="1"/>
    <col min="16127" max="16127" width="11.7109375" style="2059" customWidth="1"/>
    <col min="16128" max="16128" width="2.42578125" style="2059" customWidth="1"/>
    <col min="16129" max="16129" width="11.42578125" style="2059" customWidth="1"/>
    <col min="16130" max="16130" width="3.85546875" style="2059" customWidth="1"/>
    <col min="16131" max="16131" width="11.5703125" style="2059" customWidth="1"/>
    <col min="16132" max="16132" width="1.85546875" style="2059" customWidth="1"/>
    <col min="16133" max="16133" width="13.28515625" style="2059" customWidth="1"/>
    <col min="16134" max="16134" width="3.85546875" style="2059" customWidth="1"/>
    <col min="16135" max="16135" width="14.42578125" style="2059" customWidth="1"/>
    <col min="16136" max="16136" width="4" style="2059" customWidth="1"/>
    <col min="16137" max="16137" width="10.85546875" style="2059" customWidth="1"/>
    <col min="16138" max="16138" width="4.140625" style="2059" customWidth="1"/>
    <col min="16139" max="16139" width="11.85546875" style="2059" customWidth="1"/>
    <col min="16140" max="16140" width="1.85546875" style="2059" customWidth="1"/>
    <col min="16141" max="16141" width="10.7109375" style="2059" customWidth="1"/>
    <col min="16142" max="16150" width="0" style="2059" hidden="1" customWidth="1"/>
    <col min="16151" max="16154" width="16.7109375" style="2059"/>
    <col min="16155" max="16155" width="19.5703125" style="2059" customWidth="1"/>
    <col min="16156" max="16384" width="16.7109375" style="2059"/>
  </cols>
  <sheetData>
    <row r="1" spans="1:28" x14ac:dyDescent="0.25">
      <c r="A1" s="2761" t="s">
        <v>2092</v>
      </c>
      <c r="B1" s="2761"/>
      <c r="C1" s="2761"/>
      <c r="D1" s="2761"/>
      <c r="E1" s="2761"/>
      <c r="F1" s="2761"/>
      <c r="G1" s="2761"/>
      <c r="H1" s="2761"/>
      <c r="I1" s="2761"/>
      <c r="J1" s="2761"/>
      <c r="K1" s="2761"/>
      <c r="L1" s="2761"/>
      <c r="M1" s="2761"/>
      <c r="N1" s="2761"/>
      <c r="O1" s="2761"/>
      <c r="P1" s="2761"/>
      <c r="Q1" s="2761"/>
      <c r="R1" s="2761"/>
      <c r="S1" s="2761"/>
      <c r="T1" s="2761"/>
      <c r="U1" s="2761"/>
      <c r="V1" s="2057"/>
      <c r="W1" s="2057"/>
      <c r="X1" s="2058"/>
      <c r="Y1" s="2058"/>
      <c r="Z1" s="2058"/>
      <c r="AB1" s="2060"/>
    </row>
    <row r="2" spans="1:28" x14ac:dyDescent="0.25">
      <c r="A2" s="2761" t="s">
        <v>2059</v>
      </c>
      <c r="B2" s="2761"/>
      <c r="C2" s="2761"/>
      <c r="D2" s="2761"/>
      <c r="E2" s="2761"/>
      <c r="F2" s="2761"/>
      <c r="G2" s="2761"/>
      <c r="H2" s="2761"/>
      <c r="I2" s="2761"/>
      <c r="J2" s="2761"/>
      <c r="K2" s="2761"/>
      <c r="L2" s="2761"/>
      <c r="M2" s="2761"/>
      <c r="N2" s="2761"/>
      <c r="O2" s="2761"/>
      <c r="P2" s="2761"/>
      <c r="Q2" s="2761"/>
      <c r="R2" s="2761"/>
      <c r="S2" s="2761"/>
      <c r="T2" s="2761"/>
      <c r="U2" s="2761"/>
      <c r="V2" s="2057"/>
      <c r="W2" s="2057"/>
      <c r="X2" s="2058"/>
      <c r="Y2" s="2058"/>
      <c r="Z2" s="2058"/>
      <c r="AB2" s="2060"/>
    </row>
    <row r="3" spans="1:28" x14ac:dyDescent="0.25">
      <c r="A3" s="2761" t="s">
        <v>1208</v>
      </c>
      <c r="B3" s="2761"/>
      <c r="C3" s="2761"/>
      <c r="D3" s="2761"/>
      <c r="E3" s="2761"/>
      <c r="F3" s="2761"/>
      <c r="G3" s="2761"/>
      <c r="H3" s="2761"/>
      <c r="I3" s="2761"/>
      <c r="J3" s="2761"/>
      <c r="K3" s="2761"/>
      <c r="L3" s="2761"/>
      <c r="M3" s="2761"/>
      <c r="N3" s="2761"/>
      <c r="O3" s="2761"/>
      <c r="P3" s="2761"/>
      <c r="Q3" s="2761"/>
      <c r="R3" s="2761"/>
      <c r="S3" s="2761"/>
      <c r="T3" s="2761"/>
      <c r="U3" s="2761"/>
      <c r="V3" s="2057"/>
      <c r="W3" s="2057"/>
      <c r="X3" s="2058"/>
      <c r="Y3" s="2058"/>
      <c r="Z3" s="2058"/>
      <c r="AB3" s="2060"/>
    </row>
    <row r="4" spans="1:28" x14ac:dyDescent="0.25">
      <c r="A4" s="2762" t="s">
        <v>2093</v>
      </c>
      <c r="B4" s="2762"/>
      <c r="C4" s="2762"/>
      <c r="D4" s="2762"/>
      <c r="E4" s="2762"/>
      <c r="F4" s="2762"/>
      <c r="G4" s="2762"/>
      <c r="H4" s="2762"/>
      <c r="I4" s="2762"/>
      <c r="J4" s="2762"/>
      <c r="K4" s="2762"/>
      <c r="L4" s="2762"/>
      <c r="M4" s="2762"/>
      <c r="N4" s="2762"/>
      <c r="O4" s="2762"/>
      <c r="P4" s="2762"/>
      <c r="Q4" s="2762"/>
      <c r="R4" s="2762"/>
      <c r="S4" s="2762"/>
      <c r="T4" s="2762"/>
      <c r="U4" s="2762"/>
      <c r="V4" s="2057"/>
      <c r="W4" s="2057"/>
      <c r="X4" s="2058"/>
      <c r="Y4" s="2058"/>
      <c r="Z4" s="2058"/>
      <c r="AB4" s="2060"/>
    </row>
    <row r="5" spans="1:28" x14ac:dyDescent="0.25">
      <c r="A5" s="2062"/>
      <c r="B5" s="2062"/>
      <c r="C5" s="2062"/>
      <c r="D5" s="2062"/>
      <c r="E5" s="2062"/>
      <c r="F5" s="2062"/>
      <c r="G5" s="2063"/>
      <c r="H5" s="2061"/>
      <c r="I5" s="2063"/>
      <c r="J5" s="2064"/>
      <c r="K5" s="2063"/>
      <c r="L5" s="2061"/>
      <c r="M5" s="2061"/>
      <c r="N5" s="2061"/>
      <c r="O5" s="2061"/>
      <c r="P5" s="2061"/>
      <c r="Q5" s="2061"/>
      <c r="R5" s="2064"/>
      <c r="S5" s="2061"/>
      <c r="T5" s="2061"/>
      <c r="U5" s="2061"/>
      <c r="V5" s="2065"/>
      <c r="W5" s="2065"/>
      <c r="X5" s="2058"/>
      <c r="Y5" s="2058"/>
      <c r="Z5" s="2058"/>
      <c r="AB5" s="2061"/>
    </row>
    <row r="6" spans="1:28" ht="15.6" customHeight="1" x14ac:dyDescent="0.25">
      <c r="A6" s="2062"/>
      <c r="B6" s="2062"/>
      <c r="C6" s="2062"/>
      <c r="D6" s="2062"/>
      <c r="E6" s="2062"/>
      <c r="F6" s="2062"/>
      <c r="G6" s="2063"/>
      <c r="H6" s="2061"/>
      <c r="I6" s="2063"/>
      <c r="J6" s="2064"/>
      <c r="K6" s="2063"/>
      <c r="L6" s="2061"/>
      <c r="M6" s="2061"/>
      <c r="N6" s="2061"/>
      <c r="O6" s="2061"/>
      <c r="P6" s="2061"/>
      <c r="Q6" s="2061"/>
      <c r="R6" s="2064"/>
      <c r="S6" s="2061"/>
      <c r="T6" s="2061"/>
      <c r="U6" s="2061"/>
      <c r="V6" s="2057"/>
      <c r="W6" s="2057"/>
      <c r="X6" s="2066"/>
      <c r="Y6" s="2066"/>
      <c r="Z6" s="2066"/>
      <c r="AA6" s="2067" t="s">
        <v>2094</v>
      </c>
      <c r="AB6" s="2068"/>
    </row>
    <row r="7" spans="1:28" ht="19.149999999999999" customHeight="1" x14ac:dyDescent="0.4">
      <c r="A7" s="2064"/>
      <c r="B7" s="2063"/>
      <c r="C7" s="2061"/>
      <c r="D7" s="2061"/>
      <c r="E7" s="2064" t="s">
        <v>2095</v>
      </c>
      <c r="F7" s="2064"/>
      <c r="G7" s="2763" t="s">
        <v>2096</v>
      </c>
      <c r="H7" s="2763"/>
      <c r="I7" s="2763"/>
      <c r="J7" s="2064"/>
      <c r="K7" s="2763" t="s">
        <v>2097</v>
      </c>
      <c r="L7" s="2763"/>
      <c r="M7" s="2763"/>
      <c r="N7" s="2763"/>
      <c r="O7" s="2763"/>
      <c r="P7" s="2061"/>
      <c r="Q7" s="2061"/>
      <c r="R7" s="2064"/>
      <c r="S7" s="2061"/>
      <c r="T7" s="2061"/>
      <c r="U7" s="2061"/>
      <c r="V7" s="2759" t="s">
        <v>2098</v>
      </c>
      <c r="W7" s="2759"/>
      <c r="X7" s="2759"/>
      <c r="Y7" s="2759"/>
      <c r="Z7" s="2759"/>
      <c r="AA7" s="2069" t="s">
        <v>2099</v>
      </c>
      <c r="AB7" s="2068"/>
    </row>
    <row r="8" spans="1:28" ht="16.5" customHeight="1" x14ac:dyDescent="0.4">
      <c r="A8" s="2064"/>
      <c r="B8" s="2063"/>
      <c r="C8" s="2064" t="s">
        <v>1253</v>
      </c>
      <c r="D8" s="2064"/>
      <c r="E8" s="2064" t="s">
        <v>2100</v>
      </c>
      <c r="F8" s="2064"/>
      <c r="G8" s="2064" t="s">
        <v>2101</v>
      </c>
      <c r="H8" s="2061"/>
      <c r="I8" s="2070" t="s">
        <v>2102</v>
      </c>
      <c r="J8" s="2064"/>
      <c r="K8" s="2064" t="s">
        <v>2101</v>
      </c>
      <c r="L8" s="2061"/>
      <c r="M8" s="2064" t="str">
        <f>+I8</f>
        <v>7/01/19 -</v>
      </c>
      <c r="N8" s="2064"/>
      <c r="O8" s="2064" t="s">
        <v>2103</v>
      </c>
      <c r="P8" s="2061"/>
      <c r="Q8" s="2064" t="s">
        <v>1250</v>
      </c>
      <c r="R8" s="2064"/>
      <c r="S8" s="2064" t="s">
        <v>2104</v>
      </c>
      <c r="T8" s="2061"/>
      <c r="U8" s="2063" t="s">
        <v>1159</v>
      </c>
      <c r="V8" s="2760">
        <v>41455</v>
      </c>
      <c r="W8" s="2760"/>
      <c r="X8" s="2760"/>
      <c r="Y8" s="2071">
        <v>41090</v>
      </c>
      <c r="Z8" s="2071">
        <v>40724</v>
      </c>
      <c r="AA8" s="2072"/>
      <c r="AB8" s="2073"/>
    </row>
    <row r="9" spans="1:28" ht="14.25" customHeight="1" x14ac:dyDescent="0.25">
      <c r="A9" s="2063" t="s">
        <v>2105</v>
      </c>
      <c r="B9" s="2063"/>
      <c r="C9" s="2064" t="s">
        <v>2106</v>
      </c>
      <c r="D9" s="2064"/>
      <c r="E9" s="2064" t="s">
        <v>2106</v>
      </c>
      <c r="F9" s="2064"/>
      <c r="G9" s="2074" t="s">
        <v>2107</v>
      </c>
      <c r="H9" s="2061"/>
      <c r="I9" s="2074" t="s">
        <v>2108</v>
      </c>
      <c r="J9" s="2064"/>
      <c r="K9" s="2075" t="str">
        <f>+G9</f>
        <v>6/30/19</v>
      </c>
      <c r="L9" s="2061"/>
      <c r="M9" s="2075" t="str">
        <f>+I9</f>
        <v>6/30/20</v>
      </c>
      <c r="N9" s="2075"/>
      <c r="O9" s="2075" t="s">
        <v>2109</v>
      </c>
      <c r="P9" s="2061"/>
      <c r="Q9" s="2064" t="s">
        <v>2110</v>
      </c>
      <c r="R9" s="2064"/>
      <c r="S9" s="2064" t="s">
        <v>1246</v>
      </c>
      <c r="T9" s="2061"/>
      <c r="U9" s="2064" t="s">
        <v>30</v>
      </c>
      <c r="V9" s="2076" t="s">
        <v>2111</v>
      </c>
      <c r="W9" s="2077" t="s">
        <v>2112</v>
      </c>
      <c r="X9" s="2078" t="s">
        <v>2113</v>
      </c>
      <c r="Y9" s="2079" t="s">
        <v>2113</v>
      </c>
      <c r="Z9" s="2079" t="s">
        <v>2113</v>
      </c>
      <c r="AA9" s="2067"/>
      <c r="AB9" s="2080"/>
    </row>
    <row r="10" spans="1:28" ht="16.5" customHeight="1" x14ac:dyDescent="0.4">
      <c r="A10" s="2082" t="s">
        <v>2114</v>
      </c>
      <c r="B10" s="2061"/>
      <c r="C10" s="2083" t="s">
        <v>1244</v>
      </c>
      <c r="D10" s="2083"/>
      <c r="E10" s="2083" t="s">
        <v>1243</v>
      </c>
      <c r="F10" s="2084"/>
      <c r="G10" s="2083" t="s">
        <v>1242</v>
      </c>
      <c r="H10" s="2083"/>
      <c r="I10" s="2083" t="s">
        <v>1241</v>
      </c>
      <c r="J10" s="2083"/>
      <c r="K10" s="2083" t="s">
        <v>1240</v>
      </c>
      <c r="L10" s="2083"/>
      <c r="M10" s="2083" t="s">
        <v>1239</v>
      </c>
      <c r="N10" s="2083"/>
      <c r="O10" s="2083" t="s">
        <v>1255</v>
      </c>
      <c r="P10" s="2083"/>
      <c r="Q10" s="2083" t="s">
        <v>1238</v>
      </c>
      <c r="R10" s="2083"/>
      <c r="S10" s="2083" t="s">
        <v>1237</v>
      </c>
      <c r="T10" s="2083"/>
      <c r="U10" s="2083" t="s">
        <v>1236</v>
      </c>
      <c r="V10" s="2085" t="s">
        <v>2115</v>
      </c>
      <c r="W10" s="2085" t="s">
        <v>2116</v>
      </c>
      <c r="X10" s="2086" t="s">
        <v>2117</v>
      </c>
      <c r="Y10" s="2087" t="s">
        <v>2117</v>
      </c>
      <c r="Z10" s="2087" t="s">
        <v>2117</v>
      </c>
      <c r="AA10" s="2088">
        <v>41455</v>
      </c>
      <c r="AB10" s="2089"/>
    </row>
    <row r="11" spans="1:28" x14ac:dyDescent="0.25">
      <c r="A11" s="2082"/>
      <c r="B11" s="2061"/>
      <c r="C11" s="2091"/>
      <c r="D11" s="2064"/>
      <c r="E11" s="2091"/>
      <c r="F11" s="2064"/>
      <c r="G11" s="2091"/>
      <c r="H11" s="2061"/>
      <c r="I11" s="2091"/>
      <c r="J11" s="2064"/>
      <c r="K11" s="2091"/>
      <c r="L11" s="2061"/>
      <c r="M11" s="2091"/>
      <c r="N11" s="2091"/>
      <c r="O11" s="2091"/>
      <c r="P11" s="2061"/>
      <c r="Q11" s="2091"/>
      <c r="R11" s="2064"/>
      <c r="S11" s="2091"/>
      <c r="T11" s="2061"/>
      <c r="U11" s="2091"/>
      <c r="V11" s="2090"/>
      <c r="W11" s="2090"/>
      <c r="X11" s="2066"/>
      <c r="Y11" s="2066"/>
      <c r="Z11" s="2066"/>
      <c r="AA11" s="2066"/>
      <c r="AB11" s="2089"/>
    </row>
    <row r="12" spans="1:28" x14ac:dyDescent="0.25">
      <c r="A12" s="2092" t="s">
        <v>2118</v>
      </c>
      <c r="B12" s="2058"/>
      <c r="C12" s="2093"/>
      <c r="D12" s="2093"/>
      <c r="E12" s="2094"/>
      <c r="F12" s="2093"/>
      <c r="G12" s="2094" t="s">
        <v>1159</v>
      </c>
      <c r="H12" s="2094"/>
      <c r="I12" s="2094"/>
      <c r="J12" s="2093"/>
      <c r="K12" s="2094"/>
      <c r="L12" s="2094"/>
      <c r="M12" s="2094"/>
      <c r="N12" s="2094"/>
      <c r="O12" s="2094"/>
      <c r="P12" s="2094"/>
      <c r="Q12" s="2094"/>
      <c r="R12" s="2093"/>
      <c r="S12" s="2094"/>
      <c r="T12" s="2094"/>
      <c r="U12" s="2094" t="s">
        <v>1159</v>
      </c>
      <c r="V12" s="2090"/>
      <c r="W12" s="2090"/>
      <c r="X12" s="2066"/>
      <c r="Y12" s="2095"/>
      <c r="Z12" s="2095"/>
      <c r="AA12" s="2066"/>
      <c r="AB12" s="2068"/>
    </row>
    <row r="13" spans="1:28" x14ac:dyDescent="0.25">
      <c r="A13" s="2092" t="s">
        <v>2119</v>
      </c>
      <c r="B13" s="2058"/>
      <c r="C13" s="2093"/>
      <c r="D13" s="2093"/>
      <c r="E13" s="2094"/>
      <c r="F13" s="2093"/>
      <c r="G13" s="2094"/>
      <c r="H13" s="2094"/>
      <c r="I13" s="2094"/>
      <c r="J13" s="2093"/>
      <c r="K13" s="2094"/>
      <c r="L13" s="2094"/>
      <c r="M13" s="2094"/>
      <c r="N13" s="2094"/>
      <c r="O13" s="2094"/>
      <c r="P13" s="2094"/>
      <c r="Q13" s="2094"/>
      <c r="R13" s="2093"/>
      <c r="S13" s="2094"/>
      <c r="T13" s="2094"/>
      <c r="U13" s="2094" t="s">
        <v>1159</v>
      </c>
      <c r="V13" s="2090"/>
      <c r="W13" s="2090"/>
      <c r="X13" s="2066"/>
      <c r="Y13" s="2095"/>
      <c r="Z13" s="2095"/>
      <c r="AA13" s="2066"/>
      <c r="AB13" s="2068"/>
    </row>
    <row r="14" spans="1:28" x14ac:dyDescent="0.25">
      <c r="A14" s="2096" t="s">
        <v>2120</v>
      </c>
      <c r="B14" s="2058"/>
      <c r="C14" s="2093"/>
      <c r="D14" s="2093"/>
      <c r="E14" s="2094"/>
      <c r="F14" s="2093"/>
      <c r="G14" s="2094" t="s">
        <v>1159</v>
      </c>
      <c r="H14" s="2094"/>
      <c r="I14" s="2094" t="s">
        <v>1159</v>
      </c>
      <c r="J14" s="2093"/>
      <c r="K14" s="2094"/>
      <c r="L14" s="2094"/>
      <c r="M14" s="2094"/>
      <c r="N14" s="2094"/>
      <c r="O14" s="2094"/>
      <c r="P14" s="2094"/>
      <c r="Q14" s="2094"/>
      <c r="R14" s="2093"/>
      <c r="S14" s="2094"/>
      <c r="T14" s="2094"/>
      <c r="U14" s="2094"/>
      <c r="V14" s="2057"/>
      <c r="W14" s="2057"/>
      <c r="X14" s="2066"/>
      <c r="Y14" s="2095"/>
      <c r="Z14" s="2095"/>
      <c r="AA14" s="2066"/>
      <c r="AB14" s="2097"/>
    </row>
    <row r="15" spans="1:28" x14ac:dyDescent="0.25">
      <c r="A15" s="2098"/>
      <c r="B15" s="2094"/>
      <c r="C15" s="2093"/>
      <c r="D15" s="2093"/>
      <c r="E15" s="2094"/>
      <c r="F15" s="2093"/>
      <c r="G15" s="2094"/>
      <c r="H15" s="2094"/>
      <c r="I15" s="2094"/>
      <c r="J15" s="2093"/>
      <c r="K15" s="2094"/>
      <c r="L15" s="2094"/>
      <c r="M15" s="2094"/>
      <c r="N15" s="2094"/>
      <c r="O15" s="2094"/>
      <c r="P15" s="2094"/>
      <c r="Q15" s="2094"/>
      <c r="R15" s="2093"/>
      <c r="S15" s="2094"/>
      <c r="T15" s="2094"/>
      <c r="U15" s="2094"/>
      <c r="V15" s="2057"/>
      <c r="W15" s="2057"/>
      <c r="X15" s="2066"/>
      <c r="Y15" s="2095"/>
      <c r="Z15" s="2095"/>
      <c r="AA15" s="2066"/>
      <c r="AB15" s="2097"/>
    </row>
    <row r="16" spans="1:28" x14ac:dyDescent="0.25">
      <c r="A16" s="2098"/>
      <c r="B16" s="2094" t="s">
        <v>2121</v>
      </c>
      <c r="C16" s="2099">
        <v>10.555</v>
      </c>
      <c r="D16" s="2093"/>
      <c r="E16" s="2093" t="s">
        <v>2122</v>
      </c>
      <c r="F16" s="2093"/>
      <c r="G16" s="2094">
        <v>17321</v>
      </c>
      <c r="H16" s="2094"/>
      <c r="I16" s="2094">
        <v>4143</v>
      </c>
      <c r="J16" s="2100"/>
      <c r="K16" s="2094">
        <v>17421</v>
      </c>
      <c r="L16" s="2094"/>
      <c r="M16" s="2094">
        <v>4043</v>
      </c>
      <c r="N16" s="2101" t="s">
        <v>2123</v>
      </c>
      <c r="O16" s="2094"/>
      <c r="P16" s="2101"/>
      <c r="Q16" s="2102"/>
      <c r="R16" s="2100"/>
      <c r="S16" s="2103">
        <f>K16+M16+Q16</f>
        <v>21464</v>
      </c>
      <c r="T16" s="2094"/>
      <c r="U16" s="2104" t="s">
        <v>2124</v>
      </c>
      <c r="V16" s="2081" t="s">
        <v>2125</v>
      </c>
      <c r="W16" s="2057" t="s">
        <v>2126</v>
      </c>
      <c r="X16" s="2066"/>
      <c r="Y16" s="2095" t="s">
        <v>2127</v>
      </c>
      <c r="Z16" s="2095" t="s">
        <v>2127</v>
      </c>
      <c r="AA16" s="2066"/>
      <c r="AB16" s="2097"/>
    </row>
    <row r="17" spans="1:28" x14ac:dyDescent="0.25">
      <c r="A17" s="2106" t="s">
        <v>1159</v>
      </c>
      <c r="B17" s="2094" t="s">
        <v>2121</v>
      </c>
      <c r="C17" s="2099">
        <v>10.555</v>
      </c>
      <c r="D17" s="2094"/>
      <c r="E17" s="2093" t="s">
        <v>2128</v>
      </c>
      <c r="F17" s="2093"/>
      <c r="G17" s="2107" t="s">
        <v>1159</v>
      </c>
      <c r="H17" s="2108"/>
      <c r="I17" s="2107">
        <v>14448</v>
      </c>
      <c r="J17" s="2107"/>
      <c r="K17" s="2107" t="s">
        <v>1159</v>
      </c>
      <c r="L17" s="2107"/>
      <c r="M17" s="2107">
        <v>14448</v>
      </c>
      <c r="N17" s="2101" t="s">
        <v>2123</v>
      </c>
      <c r="O17" s="2107"/>
      <c r="P17" s="2101"/>
      <c r="Q17" s="2107"/>
      <c r="R17" s="2101" t="s">
        <v>2129</v>
      </c>
      <c r="S17" s="2107">
        <f>K17+M17+Q17</f>
        <v>14448</v>
      </c>
      <c r="T17" s="2108"/>
      <c r="U17" s="2104" t="s">
        <v>2124</v>
      </c>
      <c r="V17" s="2081" t="s">
        <v>2125</v>
      </c>
      <c r="W17" s="2057" t="s">
        <v>2126</v>
      </c>
      <c r="X17" s="2066"/>
      <c r="Y17" s="2095" t="s">
        <v>2127</v>
      </c>
      <c r="Z17" s="2095" t="s">
        <v>2127</v>
      </c>
      <c r="AA17" s="2066"/>
      <c r="AB17" s="2097"/>
    </row>
    <row r="18" spans="1:28" x14ac:dyDescent="0.25">
      <c r="A18" s="2106"/>
      <c r="B18" s="2109" t="s">
        <v>2130</v>
      </c>
      <c r="C18" s="2099"/>
      <c r="D18" s="2094"/>
      <c r="E18" s="2093"/>
      <c r="F18" s="2093"/>
      <c r="G18" s="2202"/>
      <c r="H18" s="2108"/>
      <c r="I18" s="2202"/>
      <c r="J18" s="2107"/>
      <c r="K18" s="2202"/>
      <c r="L18" s="2107"/>
      <c r="M18" s="2202"/>
      <c r="N18" s="2101"/>
      <c r="O18" s="2202">
        <f>SUM(M16:M17)</f>
        <v>18491</v>
      </c>
      <c r="P18" s="2101"/>
      <c r="Q18" s="2206"/>
      <c r="R18" s="2101"/>
      <c r="S18" s="2202"/>
      <c r="T18" s="2108"/>
      <c r="U18" s="2104"/>
      <c r="V18" s="2081"/>
      <c r="W18" s="2057"/>
      <c r="X18" s="2066"/>
      <c r="Y18" s="2095"/>
      <c r="Z18" s="2095"/>
      <c r="AA18" s="2066"/>
      <c r="AB18" s="2097"/>
    </row>
    <row r="19" spans="1:28" x14ac:dyDescent="0.25">
      <c r="A19" s="2106"/>
      <c r="B19" s="2109" t="s">
        <v>2195</v>
      </c>
      <c r="C19" s="2099">
        <v>10.555</v>
      </c>
      <c r="D19" s="2094"/>
      <c r="E19" s="2093"/>
      <c r="F19" s="2093"/>
      <c r="G19" s="2203">
        <f>SUM(G16:G17)</f>
        <v>17321</v>
      </c>
      <c r="H19" s="2108"/>
      <c r="I19" s="2202">
        <f>SUM(I16:I17)</f>
        <v>18591</v>
      </c>
      <c r="J19" s="2107"/>
      <c r="K19" s="2203">
        <f>SUM(K16:K17)</f>
        <v>17421</v>
      </c>
      <c r="L19" s="2107"/>
      <c r="M19" s="2202">
        <f>SUM(M16:M17)</f>
        <v>18491</v>
      </c>
      <c r="N19" s="2101"/>
      <c r="O19" s="2203">
        <f>SUM(O18)</f>
        <v>18491</v>
      </c>
      <c r="P19" s="2101"/>
      <c r="Q19" s="2204"/>
      <c r="R19" s="2101"/>
      <c r="S19" s="2202">
        <f>SUM(S16:S17)</f>
        <v>35912</v>
      </c>
      <c r="T19" s="2108"/>
      <c r="U19" s="2104"/>
      <c r="V19" s="2081"/>
      <c r="W19" s="2057"/>
      <c r="X19" s="2066"/>
      <c r="Y19" s="2095"/>
      <c r="Z19" s="2095"/>
      <c r="AA19" s="2066"/>
      <c r="AB19" s="2097"/>
    </row>
    <row r="20" spans="1:28" x14ac:dyDescent="0.25">
      <c r="A20" s="2106"/>
      <c r="B20" s="2109"/>
      <c r="C20" s="2099"/>
      <c r="D20" s="2094"/>
      <c r="E20" s="2093"/>
      <c r="F20" s="2093"/>
      <c r="G20" s="2107"/>
      <c r="H20" s="2108"/>
      <c r="I20" s="2107"/>
      <c r="J20" s="2107"/>
      <c r="K20" s="2107"/>
      <c r="L20" s="2107"/>
      <c r="M20" s="2107"/>
      <c r="N20" s="2101"/>
      <c r="O20" s="2107"/>
      <c r="P20" s="2101"/>
      <c r="Q20" s="2107"/>
      <c r="R20" s="2101"/>
      <c r="S20" s="2107"/>
      <c r="T20" s="2108"/>
      <c r="U20" s="2104"/>
      <c r="V20" s="2081"/>
      <c r="W20" s="2057"/>
      <c r="X20" s="2066"/>
      <c r="Y20" s="2095"/>
      <c r="Z20" s="2095"/>
      <c r="AA20" s="2066"/>
      <c r="AB20" s="2097"/>
    </row>
    <row r="21" spans="1:28" x14ac:dyDescent="0.25">
      <c r="A21" s="2106"/>
      <c r="B21" s="2109" t="s">
        <v>2134</v>
      </c>
      <c r="C21" s="2099">
        <v>10.555</v>
      </c>
      <c r="D21" s="2094"/>
      <c r="E21" s="2093" t="s">
        <v>2135</v>
      </c>
      <c r="F21" s="2093"/>
      <c r="G21" s="2107"/>
      <c r="H21" s="2108"/>
      <c r="I21" s="2107"/>
      <c r="J21" s="2107"/>
      <c r="K21" s="2107">
        <v>2742</v>
      </c>
      <c r="L21" s="2107"/>
      <c r="M21" s="2107"/>
      <c r="N21" s="2101"/>
      <c r="O21" s="2107"/>
      <c r="P21" s="2101"/>
      <c r="Q21" s="2107"/>
      <c r="R21" s="2101"/>
      <c r="S21" s="2107">
        <f>K21+M21+Q21</f>
        <v>2742</v>
      </c>
      <c r="T21" s="2108"/>
      <c r="U21" s="2104" t="s">
        <v>2124</v>
      </c>
      <c r="V21" s="2081"/>
      <c r="W21" s="2057"/>
      <c r="X21" s="2066"/>
      <c r="Y21" s="2095"/>
      <c r="Z21" s="2095"/>
      <c r="AA21" s="2066"/>
      <c r="AB21" s="2097"/>
    </row>
    <row r="22" spans="1:28" x14ac:dyDescent="0.25">
      <c r="A22" s="2106"/>
      <c r="B22" s="2109" t="s">
        <v>2134</v>
      </c>
      <c r="C22" s="2099">
        <v>10.555</v>
      </c>
      <c r="D22" s="2094"/>
      <c r="E22" s="2093" t="s">
        <v>2136</v>
      </c>
      <c r="F22" s="2093"/>
      <c r="G22" s="2107"/>
      <c r="H22" s="2108"/>
      <c r="I22" s="2107"/>
      <c r="J22" s="2107"/>
      <c r="K22" s="2107"/>
      <c r="L22" s="2107"/>
      <c r="M22" s="2107">
        <v>2086</v>
      </c>
      <c r="N22" s="2101" t="s">
        <v>2123</v>
      </c>
      <c r="O22" s="2107"/>
      <c r="P22" s="2101"/>
      <c r="Q22" s="2107"/>
      <c r="R22" s="2101"/>
      <c r="S22" s="2107">
        <f>K22+M22+Q22</f>
        <v>2086</v>
      </c>
      <c r="T22" s="2108"/>
      <c r="U22" s="2104" t="s">
        <v>2124</v>
      </c>
      <c r="V22" s="2081"/>
      <c r="W22" s="2057"/>
      <c r="X22" s="2066"/>
      <c r="Y22" s="2095"/>
      <c r="Z22" s="2095"/>
      <c r="AA22" s="2066"/>
      <c r="AB22" s="2097"/>
    </row>
    <row r="23" spans="1:28" x14ac:dyDescent="0.25">
      <c r="A23" s="2106"/>
      <c r="B23" s="2109" t="s">
        <v>2191</v>
      </c>
      <c r="C23" s="2099"/>
      <c r="D23" s="2094"/>
      <c r="E23" s="2093"/>
      <c r="F23" s="2093"/>
      <c r="G23" s="2107"/>
      <c r="H23" s="2108"/>
      <c r="I23" s="2107"/>
      <c r="J23" s="2107"/>
      <c r="K23" s="2202"/>
      <c r="L23" s="2107"/>
      <c r="M23" s="2202"/>
      <c r="N23" s="2101"/>
      <c r="O23" s="2202">
        <v>2086</v>
      </c>
      <c r="P23" s="2101"/>
      <c r="Q23" s="2206"/>
      <c r="R23" s="2101"/>
      <c r="S23" s="2202"/>
      <c r="T23" s="2108"/>
      <c r="U23" s="2104"/>
      <c r="V23" s="2081"/>
      <c r="W23" s="2057"/>
      <c r="X23" s="2066"/>
      <c r="Y23" s="2095"/>
      <c r="Z23" s="2095"/>
      <c r="AA23" s="2066"/>
      <c r="AB23" s="2097"/>
    </row>
    <row r="24" spans="1:28" x14ac:dyDescent="0.25">
      <c r="A24" s="2106"/>
      <c r="B24" s="2109" t="s">
        <v>2196</v>
      </c>
      <c r="C24" s="2099">
        <v>10.555</v>
      </c>
      <c r="D24" s="2094"/>
      <c r="E24" s="2093"/>
      <c r="F24" s="2093"/>
      <c r="G24" s="2203"/>
      <c r="H24" s="2108"/>
      <c r="I24" s="2203"/>
      <c r="J24" s="2107"/>
      <c r="K24" s="2203">
        <f>SUM(K21:K22)</f>
        <v>2742</v>
      </c>
      <c r="L24" s="2107"/>
      <c r="M24" s="2203">
        <f>M22</f>
        <v>2086</v>
      </c>
      <c r="N24" s="2101"/>
      <c r="O24" s="2202">
        <f>SUM(O22:O23)</f>
        <v>2086</v>
      </c>
      <c r="P24" s="2101"/>
      <c r="Q24" s="2204"/>
      <c r="R24" s="2101"/>
      <c r="S24" s="2203">
        <f>SUM(S21:S23)</f>
        <v>4828</v>
      </c>
      <c r="T24" s="2108"/>
      <c r="U24" s="2104"/>
      <c r="V24" s="2081"/>
      <c r="W24" s="2057"/>
      <c r="X24" s="2066"/>
      <c r="Y24" s="2095"/>
      <c r="Z24" s="2095"/>
      <c r="AA24" s="2066"/>
      <c r="AB24" s="2097"/>
    </row>
    <row r="25" spans="1:28" ht="17.25" x14ac:dyDescent="0.25">
      <c r="A25" s="2106"/>
      <c r="B25" s="2110"/>
      <c r="C25" s="2111"/>
      <c r="D25" s="2094"/>
      <c r="E25" s="2093"/>
      <c r="F25" s="2093"/>
      <c r="G25" s="2112"/>
      <c r="H25" s="2108"/>
      <c r="I25" s="2112"/>
      <c r="J25" s="2112"/>
      <c r="K25" s="2113"/>
      <c r="L25" s="2112"/>
      <c r="M25" s="2112"/>
      <c r="N25" s="2108"/>
      <c r="O25" s="2112"/>
      <c r="P25" s="2108"/>
      <c r="Q25" s="2112"/>
      <c r="R25" s="2108"/>
      <c r="S25" s="2112"/>
      <c r="T25" s="2108"/>
      <c r="U25" s="2104"/>
      <c r="V25" s="2057"/>
      <c r="W25" s="2057"/>
      <c r="X25" s="2066"/>
      <c r="Y25" s="2095"/>
      <c r="Z25" s="2095"/>
      <c r="AA25" s="2066"/>
      <c r="AB25" s="2097"/>
    </row>
    <row r="26" spans="1:28" ht="17.25" x14ac:dyDescent="0.25">
      <c r="A26" s="2106"/>
      <c r="B26" s="2110" t="s">
        <v>2131</v>
      </c>
      <c r="C26" s="2111">
        <v>10.553000000000001</v>
      </c>
      <c r="D26" s="2094"/>
      <c r="E26" s="2093" t="s">
        <v>2132</v>
      </c>
      <c r="F26" s="2093"/>
      <c r="G26" s="2107">
        <v>10392</v>
      </c>
      <c r="H26" s="2108"/>
      <c r="I26" s="2107">
        <v>2389</v>
      </c>
      <c r="J26" s="2107"/>
      <c r="K26" s="2107">
        <v>10392</v>
      </c>
      <c r="L26" s="2108"/>
      <c r="M26" s="2107">
        <v>2389</v>
      </c>
      <c r="N26" s="2101" t="s">
        <v>2123</v>
      </c>
      <c r="O26" s="2107"/>
      <c r="P26" s="2101"/>
      <c r="Q26" s="2112"/>
      <c r="R26" s="2108"/>
      <c r="S26" s="2107">
        <f>K26+M26+Q26</f>
        <v>12781</v>
      </c>
      <c r="T26" s="2108"/>
      <c r="U26" s="2104" t="s">
        <v>2124</v>
      </c>
      <c r="V26" s="2081" t="s">
        <v>2125</v>
      </c>
      <c r="W26" s="2057" t="s">
        <v>2126</v>
      </c>
      <c r="X26" s="2066"/>
      <c r="Y26" s="2095" t="s">
        <v>2127</v>
      </c>
      <c r="Z26" s="2095" t="s">
        <v>2127</v>
      </c>
      <c r="AA26" s="2066"/>
      <c r="AB26" s="2097"/>
    </row>
    <row r="27" spans="1:28" ht="17.25" x14ac:dyDescent="0.25">
      <c r="A27" s="2106"/>
      <c r="B27" s="2110" t="s">
        <v>2131</v>
      </c>
      <c r="C27" s="2111">
        <v>10.553000000000001</v>
      </c>
      <c r="D27" s="2094"/>
      <c r="E27" s="2093" t="s">
        <v>2133</v>
      </c>
      <c r="F27" s="2093"/>
      <c r="G27" s="2112"/>
      <c r="H27" s="2108"/>
      <c r="I27" s="2107">
        <v>8529</v>
      </c>
      <c r="J27" s="2107"/>
      <c r="K27" s="2116"/>
      <c r="L27" s="2107"/>
      <c r="M27" s="2107">
        <v>8529</v>
      </c>
      <c r="N27" s="2101" t="s">
        <v>2123</v>
      </c>
      <c r="O27" s="2107"/>
      <c r="P27" s="2101"/>
      <c r="Q27" s="2112"/>
      <c r="R27" s="2101" t="s">
        <v>2129</v>
      </c>
      <c r="S27" s="2107">
        <f>K27+M27+Q27</f>
        <v>8529</v>
      </c>
      <c r="T27" s="2108"/>
      <c r="U27" s="2104" t="s">
        <v>2124</v>
      </c>
      <c r="V27" s="2081" t="s">
        <v>2125</v>
      </c>
      <c r="W27" s="2057" t="s">
        <v>2126</v>
      </c>
      <c r="X27" s="2066"/>
      <c r="Y27" s="2095" t="s">
        <v>2127</v>
      </c>
      <c r="Z27" s="2095" t="s">
        <v>2127</v>
      </c>
      <c r="AA27" s="2066"/>
      <c r="AB27" s="2097"/>
    </row>
    <row r="28" spans="1:28" ht="17.25" x14ac:dyDescent="0.25">
      <c r="A28" s="2106"/>
      <c r="B28" s="2109" t="s">
        <v>2130</v>
      </c>
      <c r="C28" s="2111"/>
      <c r="D28" s="2094"/>
      <c r="E28" s="2093"/>
      <c r="F28" s="2093"/>
      <c r="G28" s="2205"/>
      <c r="H28" s="2108"/>
      <c r="I28" s="2202"/>
      <c r="J28" s="2107"/>
      <c r="K28" s="2206"/>
      <c r="L28" s="2107"/>
      <c r="M28" s="2202"/>
      <c r="N28" s="2101"/>
      <c r="O28" s="2202">
        <f>SUM(M26:M27)</f>
        <v>10918</v>
      </c>
      <c r="P28" s="2101"/>
      <c r="Q28" s="2206"/>
      <c r="R28" s="2101"/>
      <c r="S28" s="2202"/>
      <c r="T28" s="2108"/>
      <c r="U28" s="2104"/>
      <c r="V28" s="2081"/>
      <c r="W28" s="2057"/>
      <c r="X28" s="2066"/>
      <c r="Y28" s="2095"/>
      <c r="Z28" s="2095"/>
      <c r="AA28" s="2066"/>
      <c r="AB28" s="2097"/>
    </row>
    <row r="29" spans="1:28" ht="17.25" hidden="1" x14ac:dyDescent="0.25">
      <c r="A29" s="2106"/>
      <c r="B29" s="2110"/>
      <c r="C29" s="2111"/>
      <c r="D29" s="2094"/>
      <c r="E29" s="2093"/>
      <c r="F29" s="2093"/>
      <c r="G29" s="2112"/>
      <c r="H29" s="2108"/>
      <c r="I29" s="2112"/>
      <c r="J29" s="2112"/>
      <c r="K29" s="2113"/>
      <c r="L29" s="2112"/>
      <c r="M29" s="2112"/>
      <c r="N29" s="2108"/>
      <c r="O29" s="2112"/>
      <c r="P29" s="2108"/>
      <c r="Q29" s="2112"/>
      <c r="R29" s="2108"/>
      <c r="S29" s="2112"/>
      <c r="T29" s="2108"/>
      <c r="U29" s="2104"/>
      <c r="V29" s="2057"/>
      <c r="W29" s="2057"/>
      <c r="X29" s="2066"/>
      <c r="Y29" s="2095"/>
      <c r="Z29" s="2095"/>
      <c r="AA29" s="2066"/>
      <c r="AB29" s="2097"/>
    </row>
    <row r="30" spans="1:28" ht="17.25" hidden="1" x14ac:dyDescent="0.25">
      <c r="A30" s="2106"/>
      <c r="B30" s="2110"/>
      <c r="C30" s="2099"/>
      <c r="D30" s="2094"/>
      <c r="E30" s="2093"/>
      <c r="F30" s="2093"/>
      <c r="G30" s="2112"/>
      <c r="H30" s="2108"/>
      <c r="I30" s="2112"/>
      <c r="J30" s="2112"/>
      <c r="K30" s="2116"/>
      <c r="L30" s="2112"/>
      <c r="M30" s="2107"/>
      <c r="N30" s="2101"/>
      <c r="O30" s="2107"/>
      <c r="P30" s="2101"/>
      <c r="Q30" s="2112"/>
      <c r="R30" s="2108"/>
      <c r="S30" s="2107">
        <f>K30+M30+Q30</f>
        <v>0</v>
      </c>
      <c r="T30" s="2108"/>
      <c r="U30" s="2117" t="s">
        <v>2124</v>
      </c>
      <c r="V30" s="2057"/>
      <c r="W30" s="2057" t="s">
        <v>2126</v>
      </c>
      <c r="X30" s="2066"/>
      <c r="Y30" s="2095" t="s">
        <v>2127</v>
      </c>
      <c r="Z30" s="2095" t="s">
        <v>2127</v>
      </c>
      <c r="AA30" s="2066"/>
      <c r="AB30" s="2097"/>
    </row>
    <row r="31" spans="1:28" hidden="1" x14ac:dyDescent="0.25">
      <c r="A31" s="2106"/>
      <c r="B31" s="2110"/>
      <c r="C31" s="2099"/>
      <c r="D31" s="2094"/>
      <c r="E31" s="2093"/>
      <c r="F31" s="2093"/>
      <c r="G31" s="2118"/>
      <c r="H31" s="2108"/>
      <c r="I31" s="2118"/>
      <c r="J31" s="2107"/>
      <c r="K31" s="2118"/>
      <c r="L31" s="2107"/>
      <c r="M31" s="2107"/>
      <c r="N31" s="2101"/>
      <c r="O31" s="2107"/>
      <c r="P31" s="2101"/>
      <c r="Q31" s="2118">
        <v>0</v>
      </c>
      <c r="R31" s="2108"/>
      <c r="S31" s="2107">
        <f>K31+M31+Q31</f>
        <v>0</v>
      </c>
      <c r="T31" s="2108"/>
      <c r="U31" s="2117" t="s">
        <v>2124</v>
      </c>
      <c r="V31" s="2057"/>
      <c r="W31" s="2057" t="s">
        <v>2126</v>
      </c>
      <c r="X31" s="2066"/>
      <c r="Y31" s="2095" t="s">
        <v>2127</v>
      </c>
      <c r="Z31" s="2095" t="s">
        <v>2127</v>
      </c>
      <c r="AA31" s="2066"/>
      <c r="AB31" s="2097"/>
    </row>
    <row r="32" spans="1:28" x14ac:dyDescent="0.25">
      <c r="A32" s="2106"/>
      <c r="B32" s="2110" t="s">
        <v>2197</v>
      </c>
      <c r="C32" s="2099">
        <v>10.553000000000001</v>
      </c>
      <c r="D32" s="2094"/>
      <c r="E32" s="2093"/>
      <c r="F32" s="2093"/>
      <c r="G32" s="2204">
        <f>SUM(G26:G27)</f>
        <v>10392</v>
      </c>
      <c r="H32" s="2108"/>
      <c r="I32" s="2204">
        <f>SUM(I26:I27)</f>
        <v>10918</v>
      </c>
      <c r="J32" s="2107"/>
      <c r="K32" s="2204">
        <f>SUM(K26:K27)</f>
        <v>10392</v>
      </c>
      <c r="L32" s="2107"/>
      <c r="M32" s="2202">
        <f>SUM(M26:M27)</f>
        <v>10918</v>
      </c>
      <c r="N32" s="2101"/>
      <c r="O32" s="2202">
        <f>SUM(O28)</f>
        <v>10918</v>
      </c>
      <c r="P32" s="2101"/>
      <c r="Q32" s="2204">
        <v>0</v>
      </c>
      <c r="R32" s="2108"/>
      <c r="S32" s="2202">
        <f>SUM(S26:S27)</f>
        <v>21310</v>
      </c>
      <c r="T32" s="2108"/>
      <c r="U32" s="2117"/>
      <c r="V32" s="2057"/>
      <c r="W32" s="2057"/>
      <c r="X32" s="2066"/>
      <c r="Y32" s="2095"/>
      <c r="Z32" s="2095"/>
      <c r="AA32" s="2066"/>
      <c r="AB32" s="2097"/>
    </row>
    <row r="33" spans="1:28" hidden="1" x14ac:dyDescent="0.25">
      <c r="A33" s="2106"/>
      <c r="B33" s="2110" t="s">
        <v>2137</v>
      </c>
      <c r="C33" s="2099">
        <v>10.555</v>
      </c>
      <c r="D33" s="2094"/>
      <c r="E33" s="2093" t="s">
        <v>2138</v>
      </c>
      <c r="F33" s="2119"/>
      <c r="G33" s="2120"/>
      <c r="H33" s="2120"/>
      <c r="I33" s="2120">
        <v>0</v>
      </c>
      <c r="J33" s="2121"/>
      <c r="K33" s="2113"/>
      <c r="L33" s="2120"/>
      <c r="M33" s="2120"/>
      <c r="N33" s="2120"/>
      <c r="O33" s="2120"/>
      <c r="P33" s="2120"/>
      <c r="Q33" s="2120"/>
      <c r="R33" s="2121"/>
      <c r="S33" s="2103">
        <f>K33+M33+Q33</f>
        <v>0</v>
      </c>
      <c r="T33" s="2122"/>
      <c r="U33" s="2117" t="s">
        <v>2124</v>
      </c>
      <c r="V33" s="2057"/>
      <c r="W33" s="2057" t="s">
        <v>2126</v>
      </c>
      <c r="X33" s="2066"/>
      <c r="Y33" s="2095" t="s">
        <v>2127</v>
      </c>
      <c r="Z33" s="2095" t="s">
        <v>2127</v>
      </c>
      <c r="AA33" s="2066"/>
      <c r="AB33" s="2097"/>
    </row>
    <row r="34" spans="1:28" hidden="1" x14ac:dyDescent="0.25">
      <c r="A34" s="2106"/>
      <c r="B34" s="2110" t="s">
        <v>2137</v>
      </c>
      <c r="C34" s="2099">
        <v>10.555</v>
      </c>
      <c r="D34" s="2094"/>
      <c r="E34" s="2093" t="s">
        <v>2139</v>
      </c>
      <c r="F34" s="2119"/>
      <c r="G34" s="2124">
        <v>0</v>
      </c>
      <c r="H34" s="2124"/>
      <c r="I34" s="2124">
        <v>0</v>
      </c>
      <c r="J34" s="2124"/>
      <c r="K34" s="2118">
        <v>0</v>
      </c>
      <c r="L34" s="2118"/>
      <c r="M34" s="2118">
        <v>0</v>
      </c>
      <c r="N34" s="2118"/>
      <c r="O34" s="2118">
        <v>0</v>
      </c>
      <c r="P34" s="2101"/>
      <c r="Q34" s="2118">
        <v>0</v>
      </c>
      <c r="R34" s="2118"/>
      <c r="S34" s="2103">
        <f>K34+M34+Q34</f>
        <v>0</v>
      </c>
      <c r="T34" s="2122"/>
      <c r="U34" s="2117" t="s">
        <v>2124</v>
      </c>
      <c r="V34" s="2057"/>
      <c r="W34" s="2057" t="s">
        <v>2126</v>
      </c>
      <c r="X34" s="2066"/>
      <c r="Y34" s="2095" t="s">
        <v>2127</v>
      </c>
      <c r="Z34" s="2095" t="s">
        <v>2127</v>
      </c>
      <c r="AA34" s="2066"/>
      <c r="AB34" s="2097"/>
    </row>
    <row r="35" spans="1:28" hidden="1" x14ac:dyDescent="0.25">
      <c r="A35" s="2106"/>
      <c r="B35" s="2126"/>
      <c r="C35" s="2099"/>
      <c r="D35" s="2127"/>
      <c r="E35" s="2119"/>
      <c r="F35" s="2119"/>
      <c r="G35" s="2124"/>
      <c r="H35" s="2124"/>
      <c r="I35" s="2124"/>
      <c r="J35" s="2124"/>
      <c r="K35" s="2124"/>
      <c r="L35" s="2118"/>
      <c r="M35" s="2118"/>
      <c r="N35" s="2118"/>
      <c r="O35" s="2118"/>
      <c r="P35" s="2118"/>
      <c r="Q35" s="2118"/>
      <c r="R35" s="2118"/>
      <c r="S35" s="2118"/>
      <c r="T35" s="2122"/>
      <c r="U35" s="2117"/>
      <c r="V35" s="2057"/>
      <c r="W35" s="2057"/>
      <c r="X35" s="2066"/>
      <c r="Y35" s="2095"/>
      <c r="Z35" s="2095"/>
      <c r="AA35" s="2066"/>
      <c r="AB35" s="2097"/>
    </row>
    <row r="36" spans="1:28" x14ac:dyDescent="0.25">
      <c r="A36" s="2106"/>
      <c r="B36" s="2110"/>
      <c r="C36" s="2111"/>
      <c r="D36" s="2094"/>
      <c r="E36" s="2093"/>
      <c r="F36" s="2093"/>
      <c r="G36" s="2146"/>
      <c r="H36" s="2129"/>
      <c r="I36" s="2146"/>
      <c r="J36" s="2130"/>
      <c r="K36" s="2146"/>
      <c r="L36" s="2108"/>
      <c r="M36" s="2107"/>
      <c r="N36" s="2107"/>
      <c r="O36" s="2107"/>
      <c r="P36" s="2108"/>
      <c r="Q36" s="2150"/>
      <c r="R36" s="2108"/>
      <c r="S36" s="2103"/>
      <c r="T36" s="2108"/>
      <c r="U36" s="2104"/>
      <c r="V36" s="2057"/>
      <c r="W36" s="2057"/>
      <c r="X36" s="2066"/>
      <c r="Y36" s="2095"/>
      <c r="Z36" s="2095"/>
      <c r="AA36" s="2066"/>
      <c r="AB36" s="2097"/>
    </row>
    <row r="37" spans="1:28" x14ac:dyDescent="0.25">
      <c r="A37" s="2092" t="s">
        <v>2140</v>
      </c>
      <c r="B37" s="2132"/>
      <c r="C37" s="2133"/>
      <c r="D37" s="2134"/>
      <c r="E37" s="2135"/>
      <c r="F37" s="2135"/>
      <c r="G37" s="2207">
        <f>SUM(G16+G26)</f>
        <v>27713</v>
      </c>
      <c r="H37" s="2146">
        <f>SUM(H16:H17)</f>
        <v>0</v>
      </c>
      <c r="I37" s="2207">
        <f>SUM(I16,I17,I26,I27,)</f>
        <v>29509</v>
      </c>
      <c r="J37" s="2146"/>
      <c r="K37" s="2207">
        <f>SUM(K16,K21,K26)</f>
        <v>30555</v>
      </c>
      <c r="L37" s="2136"/>
      <c r="M37" s="2207">
        <f>SUM(M16,M17,M22,M26,M27)</f>
        <v>31495</v>
      </c>
      <c r="N37" s="2146"/>
      <c r="O37" s="2207">
        <f>M37</f>
        <v>31495</v>
      </c>
      <c r="P37" s="2136"/>
      <c r="Q37" s="2207">
        <f>SUM(Q16:Q36)</f>
        <v>0</v>
      </c>
      <c r="R37" s="2146"/>
      <c r="S37" s="2207">
        <f>SUM(S16,S17,S26,S27)</f>
        <v>57222</v>
      </c>
      <c r="T37" s="2137"/>
      <c r="U37" s="2138"/>
      <c r="V37" s="2105"/>
      <c r="W37" s="2105"/>
      <c r="X37" s="2066"/>
      <c r="Y37" s="2095" t="s">
        <v>1159</v>
      </c>
      <c r="Z37" s="2095" t="s">
        <v>1159</v>
      </c>
      <c r="AA37" s="2066">
        <v>0</v>
      </c>
      <c r="AB37" s="2097"/>
    </row>
    <row r="38" spans="1:28" x14ac:dyDescent="0.25">
      <c r="A38" s="2092"/>
      <c r="B38" s="2132"/>
      <c r="C38" s="2133"/>
      <c r="D38" s="2134"/>
      <c r="E38" s="2135"/>
      <c r="F38" s="2135"/>
      <c r="G38" s="2146"/>
      <c r="H38" s="2146"/>
      <c r="I38" s="2146"/>
      <c r="J38" s="2146"/>
      <c r="K38" s="2146"/>
      <c r="L38" s="2136"/>
      <c r="M38" s="2146"/>
      <c r="N38" s="2146"/>
      <c r="O38" s="2146"/>
      <c r="P38" s="2136"/>
      <c r="Q38" s="2146"/>
      <c r="R38" s="2146"/>
      <c r="S38" s="2146"/>
      <c r="T38" s="2137"/>
      <c r="U38" s="2138"/>
      <c r="V38" s="2115" t="s">
        <v>1159</v>
      </c>
      <c r="W38" s="2115"/>
      <c r="X38" s="2066" t="s">
        <v>1159</v>
      </c>
      <c r="Y38" s="2095"/>
      <c r="Z38" s="2095"/>
      <c r="AA38" s="2066">
        <f>+G38+I38-S38</f>
        <v>0</v>
      </c>
      <c r="AB38" s="2068"/>
    </row>
    <row r="39" spans="1:28" ht="17.25" x14ac:dyDescent="0.25">
      <c r="A39" s="2098" t="s">
        <v>2141</v>
      </c>
      <c r="B39" s="2094"/>
      <c r="C39" s="2139"/>
      <c r="D39" s="2134"/>
      <c r="E39" s="2135"/>
      <c r="F39" s="2135"/>
      <c r="G39" s="2128"/>
      <c r="H39" s="2128"/>
      <c r="I39" s="2128"/>
      <c r="J39" s="2128"/>
      <c r="K39" s="2128"/>
      <c r="L39" s="2136"/>
      <c r="M39" s="2128"/>
      <c r="N39" s="2128"/>
      <c r="O39" s="2128"/>
      <c r="P39" s="2136"/>
      <c r="Q39" s="2128"/>
      <c r="R39" s="2128"/>
      <c r="S39" s="2128"/>
      <c r="T39" s="2137"/>
      <c r="U39" s="2138"/>
      <c r="V39" s="2115"/>
      <c r="W39" s="2115"/>
      <c r="X39" s="2066"/>
      <c r="Y39" s="2095"/>
      <c r="Z39" s="2095"/>
      <c r="AA39" s="2066"/>
      <c r="AB39" s="2068"/>
    </row>
    <row r="40" spans="1:28" ht="17.25" x14ac:dyDescent="0.25">
      <c r="A40" s="2098" t="s">
        <v>2119</v>
      </c>
      <c r="B40" s="2094"/>
      <c r="C40" s="2139"/>
      <c r="D40" s="2134"/>
      <c r="E40" s="2135"/>
      <c r="F40" s="2135"/>
      <c r="G40" s="2128"/>
      <c r="H40" s="2128"/>
      <c r="I40" s="2128"/>
      <c r="J40" s="2128"/>
      <c r="K40" s="2128"/>
      <c r="L40" s="2136"/>
      <c r="M40" s="2128"/>
      <c r="N40" s="2128"/>
      <c r="O40" s="2128"/>
      <c r="P40" s="2136"/>
      <c r="Q40" s="2128"/>
      <c r="R40" s="2128"/>
      <c r="S40" s="2128"/>
      <c r="T40" s="2137"/>
      <c r="U40" s="2138"/>
      <c r="V40" s="2115"/>
      <c r="W40" s="2115"/>
      <c r="X40" s="2066"/>
      <c r="Y40" s="2095"/>
      <c r="Z40" s="2095"/>
      <c r="AA40" s="2066"/>
      <c r="AB40" s="2068"/>
    </row>
    <row r="41" spans="1:28" ht="17.25" x14ac:dyDescent="0.25">
      <c r="A41" s="2098" t="s">
        <v>2120</v>
      </c>
      <c r="B41" s="2094"/>
      <c r="C41" s="2139"/>
      <c r="D41" s="2134"/>
      <c r="E41" s="2135"/>
      <c r="F41" s="2135"/>
      <c r="G41" s="2128"/>
      <c r="H41" s="2136"/>
      <c r="I41" s="2128"/>
      <c r="J41" s="2140"/>
      <c r="K41" s="2128"/>
      <c r="L41" s="2136"/>
      <c r="M41" s="2128"/>
      <c r="N41" s="2128"/>
      <c r="O41" s="2128"/>
      <c r="P41" s="2136"/>
      <c r="Q41" s="2141"/>
      <c r="R41" s="2136"/>
      <c r="S41" s="2142"/>
      <c r="T41" s="2137"/>
      <c r="U41" s="2138"/>
      <c r="V41" s="2115"/>
      <c r="W41" s="2115"/>
      <c r="X41" s="2066"/>
      <c r="Y41" s="2095" t="s">
        <v>1159</v>
      </c>
      <c r="Z41" s="2095" t="s">
        <v>1159</v>
      </c>
      <c r="AA41" s="2066"/>
      <c r="AB41" s="2097"/>
    </row>
    <row r="42" spans="1:28" x14ac:dyDescent="0.25">
      <c r="A42" s="2098"/>
      <c r="B42" s="2094"/>
      <c r="C42" s="2093"/>
      <c r="D42" s="2093"/>
      <c r="E42" s="2094"/>
      <c r="F42" s="2093"/>
      <c r="G42" s="2102"/>
      <c r="H42" s="2102"/>
      <c r="I42" s="2102" t="s">
        <v>1159</v>
      </c>
      <c r="J42" s="2100"/>
      <c r="K42" s="2102"/>
      <c r="L42" s="2102"/>
      <c r="M42" s="2102"/>
      <c r="N42" s="2102"/>
      <c r="O42" s="2102"/>
      <c r="P42" s="2102"/>
      <c r="Q42" s="2102"/>
      <c r="R42" s="2100"/>
      <c r="S42" s="2102"/>
      <c r="T42" s="2094"/>
      <c r="U42" s="2094"/>
      <c r="W42" s="2115"/>
      <c r="X42" s="2066" t="s">
        <v>1159</v>
      </c>
      <c r="Y42" s="2095"/>
      <c r="Z42" s="2095"/>
      <c r="AA42" s="2066">
        <f>+G42+I42-S42</f>
        <v>0</v>
      </c>
      <c r="AB42" s="2097"/>
    </row>
    <row r="43" spans="1:28" x14ac:dyDescent="0.25">
      <c r="A43" s="2143"/>
      <c r="B43" s="2110" t="s">
        <v>2142</v>
      </c>
      <c r="C43" s="2144" t="s">
        <v>2143</v>
      </c>
      <c r="D43" s="2093"/>
      <c r="E43" s="2093" t="s">
        <v>2144</v>
      </c>
      <c r="F43" s="2100"/>
      <c r="G43" s="2107">
        <f>2507235-G44</f>
        <v>2492317</v>
      </c>
      <c r="H43" s="2107"/>
      <c r="I43" s="2107">
        <v>70054</v>
      </c>
      <c r="J43" s="2145"/>
      <c r="K43" s="2107">
        <f>2577289-K44</f>
        <v>2562371</v>
      </c>
      <c r="L43" s="2146"/>
      <c r="M43" s="2146"/>
      <c r="N43" s="2146"/>
      <c r="O43" s="2146"/>
      <c r="P43" s="2146"/>
      <c r="Q43" s="2146"/>
      <c r="R43" s="2145"/>
      <c r="S43" s="2147">
        <f>K43+M43+Q43</f>
        <v>2562371</v>
      </c>
      <c r="T43" s="2107"/>
      <c r="U43" s="2148">
        <v>2710749</v>
      </c>
      <c r="V43" s="2115" t="s">
        <v>2145</v>
      </c>
      <c r="W43" s="2115"/>
      <c r="X43" s="2066"/>
      <c r="Y43" s="2095" t="s">
        <v>2146</v>
      </c>
      <c r="Z43" s="2095" t="s">
        <v>2146</v>
      </c>
      <c r="AA43" s="2066"/>
      <c r="AB43" s="2097"/>
    </row>
    <row r="44" spans="1:28" x14ac:dyDescent="0.25">
      <c r="A44" s="2143"/>
      <c r="B44" s="2110" t="s">
        <v>2147</v>
      </c>
      <c r="C44" s="2144" t="s">
        <v>2143</v>
      </c>
      <c r="D44" s="2093"/>
      <c r="E44" s="2093" t="s">
        <v>2144</v>
      </c>
      <c r="F44" s="2100"/>
      <c r="G44" s="2107">
        <v>14918</v>
      </c>
      <c r="H44" s="2107"/>
      <c r="I44" s="2107"/>
      <c r="J44" s="2145"/>
      <c r="K44" s="2107">
        <v>14918</v>
      </c>
      <c r="L44" s="2146"/>
      <c r="M44" s="2146"/>
      <c r="N44" s="2101"/>
      <c r="O44" s="2146"/>
      <c r="P44" s="2101"/>
      <c r="Q44" s="2146"/>
      <c r="R44" s="2145"/>
      <c r="S44" s="2103">
        <f>K44+M44+Q44</f>
        <v>14918</v>
      </c>
      <c r="T44" s="2107"/>
      <c r="U44" s="2148">
        <v>44527</v>
      </c>
      <c r="V44" s="2115"/>
      <c r="W44" s="2115"/>
      <c r="X44" s="2066"/>
      <c r="Y44" s="2095"/>
      <c r="Z44" s="2095"/>
      <c r="AA44" s="2066"/>
      <c r="AB44" s="2097"/>
    </row>
    <row r="45" spans="1:28" x14ac:dyDescent="0.25">
      <c r="A45" s="2143" t="s">
        <v>2148</v>
      </c>
      <c r="B45" s="2110" t="s">
        <v>2142</v>
      </c>
      <c r="C45" s="2144" t="s">
        <v>2143</v>
      </c>
      <c r="D45" s="2093"/>
      <c r="E45" s="2093" t="s">
        <v>2149</v>
      </c>
      <c r="F45" s="2093"/>
      <c r="G45" s="2150">
        <v>0</v>
      </c>
      <c r="H45" s="2107"/>
      <c r="I45" s="2107">
        <v>2494367</v>
      </c>
      <c r="J45" s="2151"/>
      <c r="K45" s="2107" t="s">
        <v>1159</v>
      </c>
      <c r="L45" s="2107"/>
      <c r="M45" s="2107">
        <f>2699975-M46</f>
        <v>2684210</v>
      </c>
      <c r="N45" s="2107"/>
      <c r="O45" s="2107"/>
      <c r="P45" s="2107"/>
      <c r="Q45" s="2150">
        <v>0</v>
      </c>
      <c r="R45" s="2151"/>
      <c r="S45" s="2103">
        <f>K45+M45+Q45</f>
        <v>2684210</v>
      </c>
      <c r="T45" s="2107"/>
      <c r="U45" s="2148">
        <v>2745153</v>
      </c>
      <c r="V45" s="2115"/>
      <c r="W45" s="2115" t="s">
        <v>2126</v>
      </c>
      <c r="X45" s="2066">
        <v>2467482</v>
      </c>
      <c r="Y45" s="2095"/>
      <c r="Z45" s="2095"/>
      <c r="AA45" s="2066"/>
      <c r="AB45" s="2097"/>
    </row>
    <row r="46" spans="1:28" ht="17.25" x14ac:dyDescent="0.25">
      <c r="A46" s="2143"/>
      <c r="B46" s="2110" t="s">
        <v>2147</v>
      </c>
      <c r="C46" s="2144" t="s">
        <v>2143</v>
      </c>
      <c r="D46" s="2093"/>
      <c r="E46" s="2093" t="s">
        <v>2149</v>
      </c>
      <c r="F46" s="2093"/>
      <c r="G46" s="2150">
        <v>0</v>
      </c>
      <c r="H46" s="2112"/>
      <c r="I46" s="2107">
        <v>15765</v>
      </c>
      <c r="J46" s="2152"/>
      <c r="K46" s="2107" t="s">
        <v>1159</v>
      </c>
      <c r="L46" s="2107"/>
      <c r="M46" s="2107">
        <v>15765</v>
      </c>
      <c r="N46" s="2101">
        <v>-3</v>
      </c>
      <c r="O46" s="2107" t="s">
        <v>1159</v>
      </c>
      <c r="P46" s="2101"/>
      <c r="Q46" s="2150">
        <v>0</v>
      </c>
      <c r="R46" s="2151"/>
      <c r="S46" s="2103">
        <f>K46+M46+Q46</f>
        <v>15765</v>
      </c>
      <c r="T46" s="2107"/>
      <c r="U46" s="2148">
        <f>40466</f>
        <v>40466</v>
      </c>
      <c r="V46" s="2115"/>
      <c r="W46" s="2115"/>
      <c r="X46" s="2066"/>
      <c r="Y46" s="2095"/>
      <c r="Z46" s="2095"/>
      <c r="AA46" s="2066"/>
      <c r="AB46" s="2097"/>
    </row>
    <row r="47" spans="1:28" ht="17.25" x14ac:dyDescent="0.25">
      <c r="A47" s="2143"/>
      <c r="B47" s="2109" t="s">
        <v>2150</v>
      </c>
      <c r="C47" s="2144"/>
      <c r="D47" s="2093"/>
      <c r="E47" s="2093"/>
      <c r="F47" s="2093"/>
      <c r="G47" s="2150"/>
      <c r="H47" s="2112"/>
      <c r="I47" s="2107"/>
      <c r="J47" s="2152"/>
      <c r="K47" s="2107"/>
      <c r="L47" s="2107"/>
      <c r="M47" s="2107"/>
      <c r="N47" s="2101"/>
      <c r="O47" s="2107">
        <v>5741</v>
      </c>
      <c r="P47" s="2101"/>
      <c r="Q47" s="2150"/>
      <c r="R47" s="2151"/>
      <c r="S47" s="2103">
        <v>0</v>
      </c>
      <c r="T47" s="2107"/>
      <c r="U47" s="2148"/>
      <c r="V47" s="2115"/>
      <c r="W47" s="2115"/>
      <c r="X47" s="2066"/>
      <c r="Y47" s="2095"/>
      <c r="Z47" s="2095"/>
      <c r="AA47" s="2066"/>
      <c r="AB47" s="2097"/>
    </row>
    <row r="48" spans="1:28" x14ac:dyDescent="0.25">
      <c r="A48" s="2143"/>
      <c r="B48" s="2109" t="s">
        <v>2151</v>
      </c>
      <c r="C48" s="2144"/>
      <c r="D48" s="2093"/>
      <c r="E48" s="2093"/>
      <c r="F48" s="2093"/>
      <c r="G48" s="2212">
        <v>0</v>
      </c>
      <c r="H48" s="2107"/>
      <c r="I48" s="2212">
        <v>0</v>
      </c>
      <c r="J48" s="2151"/>
      <c r="K48" s="2202" t="s">
        <v>1159</v>
      </c>
      <c r="L48" s="2107"/>
      <c r="M48" s="2212">
        <v>0</v>
      </c>
      <c r="N48" s="2101"/>
      <c r="O48" s="2202">
        <v>10024</v>
      </c>
      <c r="P48" s="2101"/>
      <c r="Q48" s="2212">
        <v>0</v>
      </c>
      <c r="R48" s="2151"/>
      <c r="S48" s="2214">
        <f>K48+M48+Q48</f>
        <v>0</v>
      </c>
      <c r="T48" s="2107"/>
      <c r="U48" s="2148"/>
      <c r="V48" s="2115"/>
      <c r="W48" s="2115"/>
      <c r="X48" s="2066"/>
      <c r="Y48" s="2095"/>
      <c r="Z48" s="2095"/>
      <c r="AA48" s="2066"/>
      <c r="AB48" s="2097"/>
    </row>
    <row r="49" spans="1:28" x14ac:dyDescent="0.25">
      <c r="A49" s="2098"/>
      <c r="B49" s="2094" t="s">
        <v>2192</v>
      </c>
      <c r="C49" s="2170" t="s">
        <v>2143</v>
      </c>
      <c r="D49" s="2093"/>
      <c r="E49" s="2094"/>
      <c r="F49" s="2093"/>
      <c r="G49" s="2211">
        <f>SUM(G43:G48)</f>
        <v>2507235</v>
      </c>
      <c r="H49" s="2208"/>
      <c r="I49" s="2213">
        <f>SUM(I43:I48)</f>
        <v>2580186</v>
      </c>
      <c r="J49" s="2208"/>
      <c r="K49" s="2211">
        <f>SUM(K43:K48)</f>
        <v>2577289</v>
      </c>
      <c r="L49" s="2208"/>
      <c r="M49" s="2211">
        <f>SUM(M43:M48)</f>
        <v>2699975</v>
      </c>
      <c r="N49" s="2208"/>
      <c r="O49" s="2213">
        <f>SUM(O43:O48)</f>
        <v>15765</v>
      </c>
      <c r="P49" s="2208"/>
      <c r="Q49" s="2211">
        <f>SUM(Q43:Q48)</f>
        <v>0</v>
      </c>
      <c r="R49" s="2208"/>
      <c r="S49" s="2211">
        <f>SUM(S43:S48)</f>
        <v>5277264</v>
      </c>
      <c r="T49" s="2094"/>
      <c r="U49" s="2094"/>
      <c r="V49" s="2115" t="s">
        <v>1159</v>
      </c>
      <c r="W49" s="2115"/>
      <c r="X49" s="2066" t="s">
        <v>1159</v>
      </c>
      <c r="Y49" s="2095" t="s">
        <v>1159</v>
      </c>
      <c r="Z49" s="2095"/>
      <c r="AA49" s="2066">
        <v>0</v>
      </c>
      <c r="AB49" s="2097"/>
    </row>
    <row r="50" spans="1:28" x14ac:dyDescent="0.25">
      <c r="A50" s="2098"/>
      <c r="B50" s="2094"/>
      <c r="C50" s="2093"/>
      <c r="D50" s="2093"/>
      <c r="E50" s="2094"/>
      <c r="F50" s="2093"/>
      <c r="G50" s="2094"/>
      <c r="H50" s="2094"/>
      <c r="I50" s="2094"/>
      <c r="J50" s="2093"/>
      <c r="K50" s="2094"/>
      <c r="L50" s="2094"/>
      <c r="M50" s="2094"/>
      <c r="N50" s="2094"/>
      <c r="O50" s="2094"/>
      <c r="P50" s="2094"/>
      <c r="Q50" s="2094"/>
      <c r="R50" s="2093"/>
      <c r="S50" s="2094"/>
      <c r="T50" s="2094"/>
      <c r="U50" s="2094"/>
      <c r="V50" s="2115"/>
      <c r="W50" s="2115"/>
      <c r="X50" s="2066"/>
      <c r="Y50" s="2095"/>
      <c r="Z50" s="2095"/>
      <c r="AA50" s="2066"/>
      <c r="AB50" s="2097"/>
    </row>
    <row r="51" spans="1:28" x14ac:dyDescent="0.25">
      <c r="A51" s="2143"/>
      <c r="B51" s="2110" t="s">
        <v>2152</v>
      </c>
      <c r="C51" s="2144" t="s">
        <v>2153</v>
      </c>
      <c r="D51" s="2093"/>
      <c r="E51" s="2093" t="s">
        <v>2154</v>
      </c>
      <c r="F51" s="2093"/>
      <c r="G51" s="2107">
        <f>78987-G52</f>
        <v>48088</v>
      </c>
      <c r="H51" s="2151"/>
      <c r="I51" s="2107">
        <v>22244</v>
      </c>
      <c r="J51" s="2107"/>
      <c r="K51" s="2107">
        <f>101231-K52</f>
        <v>70332</v>
      </c>
      <c r="L51" s="2107"/>
      <c r="M51" s="2107"/>
      <c r="N51" s="2107"/>
      <c r="O51" s="2107"/>
      <c r="P51" s="2107"/>
      <c r="Q51" s="2107"/>
      <c r="R51" s="2151"/>
      <c r="S51" s="2103">
        <f>K51+M51+Q51</f>
        <v>70332</v>
      </c>
      <c r="T51" s="2107"/>
      <c r="U51" s="2148">
        <f>106094-U52</f>
        <v>73632</v>
      </c>
      <c r="V51" s="2115"/>
      <c r="W51" s="2115"/>
      <c r="X51" s="2066"/>
      <c r="Y51" s="2095"/>
      <c r="Z51" s="2095"/>
      <c r="AA51" s="2066"/>
      <c r="AB51" s="2097"/>
    </row>
    <row r="52" spans="1:28" x14ac:dyDescent="0.25">
      <c r="A52" s="2143"/>
      <c r="B52" s="2110" t="s">
        <v>2147</v>
      </c>
      <c r="C52" s="2144" t="s">
        <v>2153</v>
      </c>
      <c r="D52" s="2093"/>
      <c r="E52" s="2093" t="s">
        <v>2154</v>
      </c>
      <c r="F52" s="2093"/>
      <c r="G52" s="2107">
        <v>30899</v>
      </c>
      <c r="H52" s="2151"/>
      <c r="I52" s="2150">
        <v>0</v>
      </c>
      <c r="J52" s="2107"/>
      <c r="K52" s="2107">
        <v>30899</v>
      </c>
      <c r="L52" s="2107"/>
      <c r="M52" s="2107"/>
      <c r="N52" s="2107"/>
      <c r="O52" s="2107"/>
      <c r="P52" s="2107"/>
      <c r="Q52" s="2107"/>
      <c r="R52" s="2151"/>
      <c r="S52" s="2103">
        <f>K52+M52+Q52</f>
        <v>30899</v>
      </c>
      <c r="T52" s="2107"/>
      <c r="U52" s="2148">
        <v>32462</v>
      </c>
      <c r="V52" s="2115"/>
      <c r="W52" s="2115"/>
      <c r="X52" s="2066"/>
      <c r="Y52" s="2095"/>
      <c r="Z52" s="2095"/>
      <c r="AA52" s="2066"/>
      <c r="AB52" s="2097"/>
    </row>
    <row r="53" spans="1:28" x14ac:dyDescent="0.25">
      <c r="A53" s="2143" t="s">
        <v>2148</v>
      </c>
      <c r="B53" s="2110" t="s">
        <v>2152</v>
      </c>
      <c r="C53" s="2144" t="s">
        <v>2153</v>
      </c>
      <c r="D53" s="2093"/>
      <c r="E53" s="2093" t="s">
        <v>2155</v>
      </c>
      <c r="F53" s="2093"/>
      <c r="G53" s="2107"/>
      <c r="H53" s="2107"/>
      <c r="I53" s="2107">
        <v>42904</v>
      </c>
      <c r="J53" s="2151"/>
      <c r="K53" s="2107" t="s">
        <v>1159</v>
      </c>
      <c r="L53" s="2107"/>
      <c r="M53" s="2107">
        <f>105089-M54</f>
        <v>71888</v>
      </c>
      <c r="N53" s="2107"/>
      <c r="O53" s="2107"/>
      <c r="P53" s="2107"/>
      <c r="Q53" s="2150">
        <v>0</v>
      </c>
      <c r="R53" s="2151"/>
      <c r="S53" s="2103">
        <f>K53+M53+Q53</f>
        <v>71888</v>
      </c>
      <c r="T53" s="2107"/>
      <c r="U53" s="2148">
        <v>73830</v>
      </c>
      <c r="V53" s="2115" t="s">
        <v>2145</v>
      </c>
      <c r="W53" s="2115" t="s">
        <v>2126</v>
      </c>
      <c r="X53" s="2066">
        <v>100932</v>
      </c>
      <c r="Y53" s="2095" t="s">
        <v>2146</v>
      </c>
      <c r="Z53" s="2095" t="s">
        <v>2146</v>
      </c>
      <c r="AA53" s="2066">
        <v>0</v>
      </c>
      <c r="AB53" s="2097"/>
    </row>
    <row r="54" spans="1:28" x14ac:dyDescent="0.25">
      <c r="A54" s="2143"/>
      <c r="B54" s="2110" t="s">
        <v>2147</v>
      </c>
      <c r="C54" s="2144" t="s">
        <v>2153</v>
      </c>
      <c r="D54" s="2093"/>
      <c r="E54" s="2093" t="s">
        <v>2155</v>
      </c>
      <c r="F54" s="2093"/>
      <c r="G54" s="2150">
        <v>0</v>
      </c>
      <c r="H54" s="2107"/>
      <c r="I54" s="2107">
        <v>33201</v>
      </c>
      <c r="J54" s="2151"/>
      <c r="K54" s="2150">
        <v>0</v>
      </c>
      <c r="L54" s="2107"/>
      <c r="M54" s="2107">
        <v>33201</v>
      </c>
      <c r="N54" s="2101">
        <v>-3</v>
      </c>
      <c r="O54" s="2150">
        <v>0</v>
      </c>
      <c r="P54" s="2101"/>
      <c r="Q54" s="2150">
        <v>0</v>
      </c>
      <c r="R54" s="2151"/>
      <c r="S54" s="2103">
        <f>K54+M54+Q54</f>
        <v>33201</v>
      </c>
      <c r="T54" s="2107"/>
      <c r="U54" s="2148">
        <v>35302</v>
      </c>
      <c r="V54" s="2115"/>
      <c r="W54" s="2115"/>
      <c r="X54" s="2066"/>
      <c r="Y54" s="2095"/>
      <c r="Z54" s="2095"/>
      <c r="AA54" s="2066"/>
      <c r="AB54" s="2097"/>
    </row>
    <row r="55" spans="1:28" x14ac:dyDescent="0.25">
      <c r="A55" s="2143"/>
      <c r="B55" s="2109" t="s">
        <v>2151</v>
      </c>
      <c r="C55" s="2144"/>
      <c r="D55" s="2093"/>
      <c r="E55" s="2093"/>
      <c r="F55" s="2093"/>
      <c r="G55" s="2212">
        <v>0</v>
      </c>
      <c r="H55" s="2107"/>
      <c r="I55" s="2212">
        <v>0</v>
      </c>
      <c r="J55" s="2151"/>
      <c r="K55" s="2212">
        <v>0</v>
      </c>
      <c r="L55" s="2107"/>
      <c r="M55" s="2212">
        <v>0</v>
      </c>
      <c r="N55" s="2101"/>
      <c r="O55" s="2212">
        <f>M54</f>
        <v>33201</v>
      </c>
      <c r="P55" s="2101"/>
      <c r="Q55" s="2212">
        <v>0</v>
      </c>
      <c r="R55" s="2151"/>
      <c r="S55" s="2214">
        <f>K55+M55+Q55</f>
        <v>0</v>
      </c>
      <c r="T55" s="2107"/>
      <c r="U55" s="2148"/>
      <c r="V55" s="2115"/>
      <c r="W55" s="2115"/>
      <c r="X55" s="2066"/>
      <c r="Y55" s="2095"/>
      <c r="Z55" s="2095"/>
      <c r="AA55" s="2066"/>
      <c r="AB55" s="2097"/>
    </row>
    <row r="56" spans="1:28" x14ac:dyDescent="0.25">
      <c r="A56" s="2143"/>
      <c r="B56" s="2110" t="s">
        <v>2193</v>
      </c>
      <c r="C56" s="2200" t="s">
        <v>2153</v>
      </c>
      <c r="D56" s="2093"/>
      <c r="E56" s="2093"/>
      <c r="F56" s="2093"/>
      <c r="G56" s="2215">
        <f>SUM(G51:G55)</f>
        <v>78987</v>
      </c>
      <c r="H56" s="2107"/>
      <c r="I56" s="2219">
        <f>SUM(I51:I55)</f>
        <v>98349</v>
      </c>
      <c r="J56" s="2209"/>
      <c r="K56" s="2215">
        <f>SUM(K51:K55)</f>
        <v>101231</v>
      </c>
      <c r="L56" s="2209"/>
      <c r="M56" s="2219">
        <f>SUM(M51:M55)</f>
        <v>105089</v>
      </c>
      <c r="N56" s="2209"/>
      <c r="O56" s="2215">
        <f>SUM(O51:O55)</f>
        <v>33201</v>
      </c>
      <c r="P56" s="2209"/>
      <c r="Q56" s="2219">
        <f>SUM(Q51:Q55)</f>
        <v>0</v>
      </c>
      <c r="R56" s="2209"/>
      <c r="S56" s="2215">
        <f>SUM(S51:S55)</f>
        <v>206320</v>
      </c>
      <c r="T56" s="2107"/>
      <c r="U56" s="2148"/>
      <c r="V56" s="2115"/>
      <c r="W56" s="2115"/>
      <c r="X56" s="2066"/>
      <c r="Y56" s="2095"/>
      <c r="Z56" s="2095"/>
      <c r="AA56" s="2066"/>
      <c r="AB56" s="2097"/>
    </row>
    <row r="57" spans="1:28" x14ac:dyDescent="0.25">
      <c r="A57" s="2143"/>
      <c r="B57" s="2110" t="s">
        <v>2194</v>
      </c>
      <c r="C57" s="2144"/>
      <c r="D57" s="2093"/>
      <c r="E57" s="2093"/>
      <c r="F57" s="2093"/>
      <c r="G57" s="2216">
        <f>SUM(G49,G56)</f>
        <v>2586222</v>
      </c>
      <c r="H57" s="2146"/>
      <c r="I57" s="2216">
        <f>SUM(I49,I56)</f>
        <v>2678535</v>
      </c>
      <c r="J57" s="2210"/>
      <c r="K57" s="2216">
        <f>SUM(K49,K56)</f>
        <v>2678520</v>
      </c>
      <c r="L57" s="2210"/>
      <c r="M57" s="2216">
        <f>SUM(M49,M56)</f>
        <v>2805064</v>
      </c>
      <c r="N57" s="2210"/>
      <c r="O57" s="2216">
        <f>SUM(O49,O56)</f>
        <v>48966</v>
      </c>
      <c r="P57" s="2210"/>
      <c r="Q57" s="2216">
        <v>0</v>
      </c>
      <c r="R57" s="2210"/>
      <c r="S57" s="2216">
        <f>SUM(S49,S56)</f>
        <v>5483584</v>
      </c>
      <c r="T57" s="2107"/>
      <c r="U57" s="2148"/>
      <c r="V57" s="2123"/>
      <c r="W57" s="2123"/>
      <c r="X57" s="2066"/>
      <c r="Y57" s="2095"/>
      <c r="Z57" s="2095"/>
      <c r="AA57" s="2066"/>
      <c r="AB57" s="2097"/>
    </row>
    <row r="58" spans="1:28" x14ac:dyDescent="0.25">
      <c r="A58" s="2154" t="s">
        <v>2156</v>
      </c>
      <c r="B58" s="2110"/>
      <c r="C58" s="2144"/>
      <c r="D58" s="2093"/>
      <c r="E58" s="2094"/>
      <c r="F58" s="2093"/>
      <c r="G58" s="2218"/>
      <c r="H58" s="2102"/>
      <c r="I58" s="2102" t="s">
        <v>1159</v>
      </c>
      <c r="J58" s="2100"/>
      <c r="K58" s="2102"/>
      <c r="L58" s="2102"/>
      <c r="M58" s="2102"/>
      <c r="N58" s="2102"/>
      <c r="O58" s="2102"/>
      <c r="P58" s="2102"/>
      <c r="Q58" s="2102"/>
      <c r="R58" s="2100"/>
      <c r="S58" s="2147"/>
      <c r="T58" s="2094"/>
      <c r="U58" s="2094"/>
      <c r="V58" s="2114"/>
      <c r="W58" s="2114"/>
      <c r="X58" s="2066"/>
      <c r="Y58" s="2095"/>
      <c r="Z58" s="2095"/>
      <c r="AA58" s="2066"/>
      <c r="AB58" s="2068"/>
    </row>
    <row r="59" spans="1:28" x14ac:dyDescent="0.25">
      <c r="A59" s="2098" t="s">
        <v>2157</v>
      </c>
      <c r="B59" s="2110"/>
      <c r="C59" s="2144"/>
      <c r="D59" s="2093"/>
      <c r="E59" s="2094"/>
      <c r="F59" s="2093"/>
      <c r="G59" s="2217">
        <f>+G49+G56+G37</f>
        <v>2613935</v>
      </c>
      <c r="H59" s="2210"/>
      <c r="I59" s="2217">
        <f>+I49+I56+I37</f>
        <v>2708044</v>
      </c>
      <c r="J59" s="2210"/>
      <c r="K59" s="2217">
        <f>+K49+K56+K37</f>
        <v>2709075</v>
      </c>
      <c r="L59" s="2210"/>
      <c r="M59" s="2217">
        <f>+M49+M56+M37</f>
        <v>2836559</v>
      </c>
      <c r="N59" s="2210"/>
      <c r="O59" s="2217">
        <f>+O49+O56+O37</f>
        <v>80461</v>
      </c>
      <c r="P59" s="2210"/>
      <c r="Q59" s="2217">
        <f>+Q49+Q56+Q37</f>
        <v>0</v>
      </c>
      <c r="R59" s="2210"/>
      <c r="S59" s="2217">
        <f>+S49+S56+S37</f>
        <v>5540806</v>
      </c>
      <c r="T59" s="2094"/>
      <c r="U59" s="2094"/>
      <c r="V59" s="2114"/>
      <c r="W59" s="2114"/>
      <c r="X59" s="2066"/>
      <c r="Y59" s="2095"/>
      <c r="Z59" s="2095"/>
      <c r="AA59" s="2066"/>
      <c r="AB59" s="2068"/>
    </row>
    <row r="60" spans="1:28" hidden="1" x14ac:dyDescent="0.25">
      <c r="A60" s="2098"/>
      <c r="B60" s="2110"/>
      <c r="C60" s="2144"/>
      <c r="D60" s="2093"/>
      <c r="E60" s="2094"/>
      <c r="F60" s="2093"/>
      <c r="G60" s="2153"/>
      <c r="H60" s="2153"/>
      <c r="I60" s="2153"/>
      <c r="J60" s="2155"/>
      <c r="K60" s="2153"/>
      <c r="L60" s="2153"/>
      <c r="M60" s="2153"/>
      <c r="N60" s="2153"/>
      <c r="O60" s="2153"/>
      <c r="P60" s="2153"/>
      <c r="Q60" s="2153"/>
      <c r="R60" s="2153"/>
      <c r="S60" s="2153"/>
      <c r="T60" s="2094"/>
      <c r="U60" s="2094"/>
      <c r="V60" s="2114"/>
      <c r="W60" s="2114"/>
      <c r="X60" s="2066"/>
      <c r="Y60" s="2095"/>
      <c r="Z60" s="2095"/>
      <c r="AA60" s="2066"/>
      <c r="AB60" s="2068"/>
    </row>
    <row r="61" spans="1:28" hidden="1" x14ac:dyDescent="0.25">
      <c r="A61" s="2154" t="s">
        <v>2158</v>
      </c>
      <c r="B61" s="2110"/>
      <c r="C61" s="2144"/>
      <c r="D61" s="2093"/>
      <c r="E61" s="2094"/>
      <c r="F61" s="2093"/>
      <c r="G61" s="2153"/>
      <c r="H61" s="2153"/>
      <c r="I61" s="2153"/>
      <c r="J61" s="2155"/>
      <c r="K61" s="2153"/>
      <c r="L61" s="2153"/>
      <c r="M61" s="2153"/>
      <c r="N61" s="2153"/>
      <c r="O61" s="2153"/>
      <c r="P61" s="2153"/>
      <c r="Q61" s="2153"/>
      <c r="R61" s="2153"/>
      <c r="S61" s="2153"/>
      <c r="T61" s="2094"/>
      <c r="U61" s="2094"/>
      <c r="V61" s="2114"/>
      <c r="W61" s="2114"/>
      <c r="X61" s="2066"/>
      <c r="Y61" s="2095"/>
      <c r="Z61" s="2095"/>
      <c r="AA61" s="2066"/>
      <c r="AB61" s="2068"/>
    </row>
    <row r="62" spans="1:28" hidden="1" x14ac:dyDescent="0.25">
      <c r="A62" s="2154" t="s">
        <v>2119</v>
      </c>
      <c r="B62" s="2094"/>
      <c r="C62" s="2111"/>
      <c r="D62" s="2093"/>
      <c r="E62" s="2094"/>
      <c r="F62" s="2093"/>
      <c r="G62" s="2146"/>
      <c r="H62" s="2146"/>
      <c r="I62" s="2156"/>
      <c r="J62" s="2145"/>
      <c r="K62" s="2156"/>
      <c r="L62" s="2157"/>
      <c r="M62" s="2156"/>
      <c r="N62" s="2156"/>
      <c r="O62" s="2156"/>
      <c r="P62" s="2157"/>
      <c r="Q62" s="2156"/>
      <c r="R62" s="2145"/>
      <c r="S62" s="2147"/>
      <c r="T62" s="2158"/>
      <c r="U62" s="2159"/>
      <c r="V62" s="2114"/>
      <c r="W62" s="2114"/>
      <c r="X62" s="2066"/>
      <c r="Y62" s="2095"/>
      <c r="Z62" s="2095"/>
      <c r="AA62" s="2066"/>
      <c r="AB62" s="2160"/>
    </row>
    <row r="63" spans="1:28" hidden="1" x14ac:dyDescent="0.25">
      <c r="A63" s="2154" t="s">
        <v>2159</v>
      </c>
      <c r="B63" s="2094"/>
      <c r="C63" s="2111"/>
      <c r="D63" s="2093"/>
      <c r="E63" s="2094"/>
      <c r="F63" s="2093"/>
      <c r="G63" s="2146"/>
      <c r="H63" s="2146"/>
      <c r="I63" s="2156"/>
      <c r="J63" s="2145"/>
      <c r="K63" s="2156"/>
      <c r="L63" s="2157"/>
      <c r="M63" s="2156" t="s">
        <v>1159</v>
      </c>
      <c r="N63" s="2156"/>
      <c r="O63" s="2156"/>
      <c r="P63" s="2157"/>
      <c r="Q63" s="2156"/>
      <c r="R63" s="2145"/>
      <c r="S63" s="2147" t="s">
        <v>1159</v>
      </c>
      <c r="T63" s="2158"/>
      <c r="U63" s="2159"/>
      <c r="V63" s="2114"/>
      <c r="W63" s="2114"/>
      <c r="X63" s="2066"/>
      <c r="Y63" s="2095"/>
      <c r="Z63" s="2095"/>
      <c r="AA63" s="2066"/>
      <c r="AB63" s="2160"/>
    </row>
    <row r="64" spans="1:28" hidden="1" x14ac:dyDescent="0.25">
      <c r="A64" s="2093"/>
      <c r="B64" s="2094"/>
      <c r="C64" s="2111"/>
      <c r="D64" s="2093"/>
      <c r="E64" s="2094"/>
      <c r="F64" s="2093"/>
      <c r="G64" s="2146"/>
      <c r="H64" s="2146"/>
      <c r="I64" s="2156" t="s">
        <v>1159</v>
      </c>
      <c r="J64" s="2145"/>
      <c r="K64" s="2156" t="s">
        <v>1159</v>
      </c>
      <c r="L64" s="2157"/>
      <c r="M64" s="2156" t="s">
        <v>1159</v>
      </c>
      <c r="N64" s="2156"/>
      <c r="O64" s="2156"/>
      <c r="P64" s="2157"/>
      <c r="Q64" s="2156"/>
      <c r="R64" s="2145"/>
      <c r="S64" s="2147" t="s">
        <v>1159</v>
      </c>
      <c r="T64" s="2158"/>
      <c r="U64" s="2159"/>
      <c r="V64" s="2114"/>
      <c r="W64" s="2114"/>
      <c r="X64" s="2066"/>
      <c r="Y64" s="2095"/>
      <c r="Z64" s="2095"/>
      <c r="AA64" s="2066"/>
      <c r="AB64" s="2160"/>
    </row>
    <row r="65" spans="1:28" ht="17.25" hidden="1" x14ac:dyDescent="0.25">
      <c r="A65" s="2093"/>
      <c r="B65" s="2161" t="s">
        <v>2160</v>
      </c>
      <c r="C65" s="2111">
        <v>84.126000000000005</v>
      </c>
      <c r="D65" s="2093"/>
      <c r="E65" s="2093" t="s">
        <v>2161</v>
      </c>
      <c r="F65" s="2093"/>
      <c r="G65" s="2153"/>
      <c r="H65" s="2107"/>
      <c r="I65" s="2131">
        <v>0</v>
      </c>
      <c r="J65" s="2151"/>
      <c r="K65" s="2153"/>
      <c r="L65" s="2162"/>
      <c r="M65" s="2131">
        <v>0</v>
      </c>
      <c r="N65" s="2163"/>
      <c r="O65" s="2131">
        <v>0</v>
      </c>
      <c r="P65" s="2162"/>
      <c r="Q65" s="2131">
        <v>0</v>
      </c>
      <c r="R65" s="2151"/>
      <c r="S65" s="2153">
        <f>Q65+M65+K65</f>
        <v>0</v>
      </c>
      <c r="T65" s="2162"/>
      <c r="U65" s="2094">
        <v>44242</v>
      </c>
      <c r="V65" s="2114" t="s">
        <v>2125</v>
      </c>
      <c r="W65" s="2114" t="s">
        <v>2126</v>
      </c>
      <c r="X65" s="2066"/>
      <c r="Y65" s="2095" t="s">
        <v>2127</v>
      </c>
      <c r="Z65" s="2095" t="s">
        <v>2127</v>
      </c>
      <c r="AA65" s="2066"/>
      <c r="AB65" s="2068"/>
    </row>
    <row r="66" spans="1:28" ht="17.25" hidden="1" x14ac:dyDescent="0.25">
      <c r="A66" s="2093"/>
      <c r="B66" s="2161" t="s">
        <v>2160</v>
      </c>
      <c r="C66" s="2111">
        <v>84.126000000000005</v>
      </c>
      <c r="D66" s="2093"/>
      <c r="E66" s="2164" t="s">
        <v>2161</v>
      </c>
      <c r="F66" s="2093"/>
      <c r="G66" s="2131">
        <v>0</v>
      </c>
      <c r="H66" s="2094" t="s">
        <v>1159</v>
      </c>
      <c r="I66" s="2165"/>
      <c r="J66" s="2093"/>
      <c r="K66" s="2131">
        <v>0</v>
      </c>
      <c r="L66" s="2094" t="s">
        <v>1159</v>
      </c>
      <c r="M66" s="2166"/>
      <c r="N66" s="2112"/>
      <c r="O66" s="2131">
        <v>0</v>
      </c>
      <c r="P66" s="2094"/>
      <c r="Q66" s="2131">
        <v>0</v>
      </c>
      <c r="R66" s="2112"/>
      <c r="S66" s="2125">
        <f>Q66+M66+K66</f>
        <v>0</v>
      </c>
      <c r="T66" s="2094"/>
      <c r="U66" s="2167"/>
      <c r="V66" s="2114" t="s">
        <v>2125</v>
      </c>
      <c r="W66" s="2114" t="s">
        <v>2126</v>
      </c>
      <c r="X66" s="2066"/>
      <c r="Y66" s="2095"/>
      <c r="Z66" s="2095"/>
      <c r="AA66" s="2066"/>
      <c r="AB66" s="2160"/>
    </row>
    <row r="67" spans="1:28" ht="17.25" hidden="1" x14ac:dyDescent="0.25">
      <c r="A67" s="2154" t="s">
        <v>2162</v>
      </c>
      <c r="B67" s="2094"/>
      <c r="C67" s="2111"/>
      <c r="D67" s="2093"/>
      <c r="E67" s="2094"/>
      <c r="F67" s="2093"/>
      <c r="G67" s="2153">
        <f>SUM(G65:G66)</f>
        <v>0</v>
      </c>
      <c r="H67" s="2107"/>
      <c r="I67" s="2168">
        <f>SUM(I65:I66)</f>
        <v>0</v>
      </c>
      <c r="J67" s="2169"/>
      <c r="K67" s="2153">
        <f>SUM(K65:K66)</f>
        <v>0</v>
      </c>
      <c r="L67" s="2169"/>
      <c r="M67" s="2168">
        <f>SUM(M65:M66)</f>
        <v>0</v>
      </c>
      <c r="N67" s="2169"/>
      <c r="O67" s="2168">
        <f>SUM(O65:O66)</f>
        <v>0</v>
      </c>
      <c r="P67" s="2169"/>
      <c r="Q67" s="2131">
        <f>SUM(Q65:Q66)</f>
        <v>0</v>
      </c>
      <c r="R67" s="2169"/>
      <c r="S67" s="2153">
        <f>SUM(S65:S66)</f>
        <v>0</v>
      </c>
      <c r="T67" s="2158"/>
      <c r="U67" s="2159" t="s">
        <v>1159</v>
      </c>
      <c r="V67" s="2114"/>
      <c r="W67" s="2114"/>
      <c r="X67" s="2066"/>
      <c r="Y67" s="2095"/>
      <c r="Z67" s="2095"/>
      <c r="AA67" s="2066"/>
      <c r="AB67" s="2160"/>
    </row>
    <row r="68" spans="1:28" ht="10.15" customHeight="1" x14ac:dyDescent="0.25">
      <c r="A68" s="2170"/>
      <c r="B68" s="2110"/>
      <c r="C68" s="2144"/>
      <c r="D68" s="2093"/>
      <c r="E68" s="2093"/>
      <c r="F68" s="2093"/>
      <c r="G68" s="2112"/>
      <c r="H68" s="2107"/>
      <c r="I68" s="2112"/>
      <c r="J68" s="2151"/>
      <c r="K68" s="2112"/>
      <c r="L68" s="2107"/>
      <c r="M68" s="2112"/>
      <c r="N68" s="2112"/>
      <c r="O68" s="2112"/>
      <c r="P68" s="2107"/>
      <c r="Q68" s="2112"/>
      <c r="R68" s="2151"/>
      <c r="S68" s="2171"/>
      <c r="T68" s="2159"/>
      <c r="U68" s="2172"/>
      <c r="V68" s="2114"/>
      <c r="W68" s="2114"/>
      <c r="X68" s="2066"/>
      <c r="Y68" s="2095"/>
      <c r="Z68" s="2095"/>
      <c r="AA68" s="2066"/>
      <c r="AB68" s="2097"/>
    </row>
    <row r="69" spans="1:28" ht="17.25" x14ac:dyDescent="0.25">
      <c r="A69" s="2092" t="s">
        <v>2163</v>
      </c>
      <c r="C69" s="2111"/>
      <c r="D69" s="2093"/>
      <c r="E69" s="2094"/>
      <c r="F69" s="2093"/>
      <c r="G69" s="2168"/>
      <c r="H69" s="2107"/>
      <c r="I69" s="2168"/>
      <c r="J69" s="2173"/>
      <c r="K69" s="2168"/>
      <c r="L69" s="2173"/>
      <c r="M69" s="2168"/>
      <c r="N69" s="2168"/>
      <c r="O69" s="2168"/>
      <c r="P69" s="2173"/>
      <c r="Q69" s="2168"/>
      <c r="R69" s="2173"/>
      <c r="S69" s="2168"/>
      <c r="T69" s="2158"/>
      <c r="U69" s="2159"/>
      <c r="V69" s="2114"/>
      <c r="W69" s="2114"/>
      <c r="X69" s="2066"/>
      <c r="Y69" s="2095"/>
      <c r="Z69" s="2095"/>
      <c r="AA69" s="2066"/>
      <c r="AB69" s="2160"/>
    </row>
    <row r="70" spans="1:28" ht="10.15" customHeight="1" x14ac:dyDescent="0.25">
      <c r="A70" s="2174"/>
      <c r="C70" s="2111"/>
      <c r="D70" s="2093"/>
      <c r="E70" s="2094"/>
      <c r="F70" s="2093"/>
      <c r="G70" s="2168"/>
      <c r="H70" s="2107"/>
      <c r="I70" s="2168"/>
      <c r="J70" s="2173"/>
      <c r="K70" s="2168"/>
      <c r="L70" s="2173"/>
      <c r="M70" s="2168"/>
      <c r="N70" s="2168"/>
      <c r="O70" s="2168"/>
      <c r="P70" s="2173"/>
      <c r="Q70" s="2168"/>
      <c r="R70" s="2173"/>
      <c r="S70" s="2168"/>
      <c r="T70" s="2158"/>
      <c r="U70" s="2159"/>
      <c r="V70" s="2114"/>
      <c r="W70" s="2114"/>
      <c r="X70" s="2066"/>
      <c r="Y70" s="2095"/>
      <c r="Z70" s="2095"/>
      <c r="AA70" s="2066"/>
      <c r="AB70" s="2160"/>
    </row>
    <row r="71" spans="1:28" ht="17.25" x14ac:dyDescent="0.25">
      <c r="A71" s="2092" t="s">
        <v>2119</v>
      </c>
      <c r="C71" s="2092"/>
      <c r="D71" s="2093"/>
      <c r="E71" s="2094"/>
      <c r="F71" s="2093"/>
      <c r="G71" s="2168"/>
      <c r="H71" s="2107"/>
      <c r="I71" s="2168"/>
      <c r="J71" s="2173"/>
      <c r="K71" s="2168"/>
      <c r="L71" s="2173"/>
      <c r="M71" s="2168"/>
      <c r="N71" s="2168"/>
      <c r="O71" s="2168"/>
      <c r="P71" s="2173"/>
      <c r="Q71" s="2168"/>
      <c r="R71" s="2173"/>
      <c r="S71" s="2168"/>
      <c r="T71" s="2158"/>
      <c r="U71" s="2159"/>
      <c r="V71" s="2114"/>
      <c r="W71" s="2114"/>
      <c r="X71" s="2066"/>
      <c r="Y71" s="2095"/>
      <c r="Z71" s="2095"/>
      <c r="AA71" s="2066"/>
      <c r="AB71" s="2160"/>
    </row>
    <row r="72" spans="1:28" ht="17.25" x14ac:dyDescent="0.25">
      <c r="A72" s="2092" t="s">
        <v>2164</v>
      </c>
      <c r="C72" s="2111"/>
      <c r="D72" s="2093"/>
      <c r="E72" s="2094"/>
      <c r="F72" s="2093"/>
      <c r="G72" s="2168"/>
      <c r="H72" s="2107"/>
      <c r="I72" s="2168"/>
      <c r="J72" s="2173"/>
      <c r="K72" s="2168"/>
      <c r="L72" s="2173"/>
      <c r="M72" s="2168"/>
      <c r="N72" s="2168"/>
      <c r="O72" s="2168"/>
      <c r="P72" s="2173"/>
      <c r="Q72" s="2168"/>
      <c r="R72" s="2173"/>
      <c r="S72" s="2168"/>
      <c r="T72" s="2158"/>
      <c r="U72" s="2159"/>
      <c r="V72" s="2114"/>
      <c r="W72" s="2114"/>
      <c r="X72" s="2066"/>
      <c r="Y72" s="2095"/>
      <c r="Z72" s="2095"/>
      <c r="AA72" s="2066"/>
      <c r="AB72" s="2160"/>
    </row>
    <row r="73" spans="1:28" ht="17.25" x14ac:dyDescent="0.25">
      <c r="A73" s="2154" t="s">
        <v>2165</v>
      </c>
      <c r="B73" s="2094"/>
      <c r="C73" s="2111"/>
      <c r="D73" s="2093"/>
      <c r="E73" s="2094"/>
      <c r="F73" s="2093"/>
      <c r="G73" s="2168"/>
      <c r="H73" s="2107"/>
      <c r="I73" s="2173" t="s">
        <v>1159</v>
      </c>
      <c r="J73" s="2173"/>
      <c r="K73" s="2168"/>
      <c r="L73" s="2173"/>
      <c r="M73" s="2173" t="s">
        <v>1159</v>
      </c>
      <c r="N73" s="2173"/>
      <c r="O73" s="2173"/>
      <c r="P73" s="2173"/>
      <c r="Q73" s="2168"/>
      <c r="R73" s="2173"/>
      <c r="S73" s="2168"/>
      <c r="T73" s="2158"/>
      <c r="U73" s="2159"/>
      <c r="V73" s="2114"/>
      <c r="W73" s="2114"/>
      <c r="X73" s="2066"/>
      <c r="Y73" s="2095"/>
      <c r="Z73" s="2095"/>
      <c r="AA73" s="2066"/>
      <c r="AB73" s="2160"/>
    </row>
    <row r="74" spans="1:28" ht="10.9" customHeight="1" x14ac:dyDescent="0.25">
      <c r="A74" s="2154"/>
      <c r="B74" s="2094"/>
      <c r="C74" s="2111"/>
      <c r="D74" s="2093"/>
      <c r="E74" s="2094"/>
      <c r="F74" s="2093"/>
      <c r="G74" s="2168"/>
      <c r="H74" s="2107"/>
      <c r="I74" s="2173" t="s">
        <v>1159</v>
      </c>
      <c r="J74" s="2173"/>
      <c r="K74" s="2168"/>
      <c r="L74" s="2173"/>
      <c r="M74" s="2173"/>
      <c r="N74" s="2173"/>
      <c r="O74" s="2173"/>
      <c r="P74" s="2173"/>
      <c r="Q74" s="2168"/>
      <c r="R74" s="2173"/>
      <c r="S74" s="2168"/>
      <c r="T74" s="2158"/>
      <c r="U74" s="2159"/>
      <c r="V74" s="2115"/>
      <c r="W74" s="2115"/>
      <c r="X74" s="2066"/>
      <c r="Y74" s="2095"/>
      <c r="Z74" s="2095"/>
      <c r="AA74" s="2066"/>
      <c r="AB74" s="2160"/>
    </row>
    <row r="75" spans="1:28" x14ac:dyDescent="0.25">
      <c r="A75" s="2175"/>
      <c r="B75" s="2094" t="s">
        <v>2166</v>
      </c>
      <c r="C75" s="2111">
        <v>93.778000000000006</v>
      </c>
      <c r="D75" s="2093"/>
      <c r="E75" s="2093" t="s">
        <v>2167</v>
      </c>
      <c r="F75" s="2093"/>
      <c r="G75" s="2173">
        <v>51093</v>
      </c>
      <c r="H75" s="2107"/>
      <c r="I75" s="2173">
        <v>25412</v>
      </c>
      <c r="J75" s="2173"/>
      <c r="K75" s="2173">
        <v>79692</v>
      </c>
      <c r="L75" s="2173"/>
      <c r="M75" s="2173"/>
      <c r="N75" s="2173"/>
      <c r="O75" s="2173"/>
      <c r="P75" s="2173"/>
      <c r="Q75" s="2173" t="s">
        <v>1159</v>
      </c>
      <c r="R75" s="2173"/>
      <c r="S75" s="2103">
        <f>+K75+M75</f>
        <v>79692</v>
      </c>
      <c r="T75" s="2158"/>
      <c r="U75" s="2159" t="s">
        <v>2124</v>
      </c>
      <c r="V75" s="2115" t="s">
        <v>2125</v>
      </c>
      <c r="W75" s="2115"/>
      <c r="X75" s="2066"/>
      <c r="Y75" s="2095" t="s">
        <v>2127</v>
      </c>
      <c r="Z75" s="2095" t="s">
        <v>2127</v>
      </c>
      <c r="AA75" s="2066"/>
      <c r="AB75" s="2160"/>
    </row>
    <row r="76" spans="1:28" x14ac:dyDescent="0.25">
      <c r="A76" s="2175"/>
      <c r="B76" s="2094" t="s">
        <v>2166</v>
      </c>
      <c r="C76" s="2111">
        <v>93.778000000000006</v>
      </c>
      <c r="D76" s="2093"/>
      <c r="E76" s="2093" t="s">
        <v>2168</v>
      </c>
      <c r="F76" s="2093"/>
      <c r="G76" s="2212">
        <v>0</v>
      </c>
      <c r="H76" s="2107"/>
      <c r="I76" s="2202">
        <v>33705</v>
      </c>
      <c r="J76" s="2173"/>
      <c r="K76" s="2212">
        <v>0</v>
      </c>
      <c r="L76" s="2173"/>
      <c r="M76" s="2202">
        <v>82131</v>
      </c>
      <c r="N76" s="2173"/>
      <c r="O76" s="2212">
        <v>0</v>
      </c>
      <c r="P76" s="2173"/>
      <c r="Q76" s="2212">
        <v>0</v>
      </c>
      <c r="R76" s="2173"/>
      <c r="S76" s="2214">
        <f>+K76+M76+Q76</f>
        <v>82131</v>
      </c>
      <c r="T76" s="2158"/>
      <c r="U76" s="2107" t="s">
        <v>2124</v>
      </c>
      <c r="V76" s="2115" t="s">
        <v>2125</v>
      </c>
      <c r="W76" s="2115" t="s">
        <v>2126</v>
      </c>
      <c r="X76" s="2066"/>
      <c r="Y76" s="2095" t="s">
        <v>2127</v>
      </c>
      <c r="Z76" s="2095" t="s">
        <v>2127</v>
      </c>
      <c r="AA76" s="2066"/>
      <c r="AB76" s="2160"/>
    </row>
    <row r="77" spans="1:28" x14ac:dyDescent="0.25">
      <c r="A77" s="2154" t="s">
        <v>2169</v>
      </c>
      <c r="B77" s="2094"/>
      <c r="C77" s="2176"/>
      <c r="D77" s="2094"/>
      <c r="E77" s="2094"/>
      <c r="F77" s="2093"/>
      <c r="G77" s="2203">
        <f>SUM(G75:G76)</f>
        <v>51093</v>
      </c>
      <c r="H77" s="2107"/>
      <c r="I77" s="2203">
        <f>SUM(I75:I76)</f>
        <v>59117</v>
      </c>
      <c r="J77" s="2173"/>
      <c r="K77" s="2202">
        <f>SUM(K75:K76)</f>
        <v>79692</v>
      </c>
      <c r="L77" s="2173"/>
      <c r="M77" s="2203">
        <f>SUM(M75:M76)</f>
        <v>82131</v>
      </c>
      <c r="N77" s="2173"/>
      <c r="O77" s="2202">
        <f>SUM(O75:O76)</f>
        <v>0</v>
      </c>
      <c r="P77" s="2173"/>
      <c r="Q77" s="2220">
        <f>SUM(Q76)</f>
        <v>0</v>
      </c>
      <c r="R77" s="2177"/>
      <c r="S77" s="2221">
        <f>SUM(S75:S76)</f>
        <v>161823</v>
      </c>
      <c r="T77" s="2158"/>
      <c r="U77" s="2159"/>
      <c r="V77" s="2114"/>
      <c r="W77" s="2114"/>
      <c r="X77" s="2066"/>
      <c r="Y77" s="2095"/>
      <c r="Z77" s="2095"/>
      <c r="AA77" s="2066"/>
      <c r="AB77" s="2160"/>
    </row>
    <row r="78" spans="1:28" ht="17.25" x14ac:dyDescent="0.25">
      <c r="A78" s="2175"/>
      <c r="B78" s="2094"/>
      <c r="C78" s="2176"/>
      <c r="D78" s="2094"/>
      <c r="E78" s="2094"/>
      <c r="F78" s="2093"/>
      <c r="G78" s="2179"/>
      <c r="H78" s="2159"/>
      <c r="I78" s="2177" t="s">
        <v>1159</v>
      </c>
      <c r="J78" s="2177"/>
      <c r="K78" s="2179"/>
      <c r="L78" s="2177"/>
      <c r="M78" s="2179"/>
      <c r="N78" s="2179"/>
      <c r="O78" s="2179"/>
      <c r="P78" s="2177"/>
      <c r="Q78" s="2179"/>
      <c r="R78" s="2177"/>
      <c r="S78" s="2180"/>
      <c r="T78" s="2158"/>
      <c r="U78" s="2159"/>
      <c r="V78" s="2114"/>
      <c r="W78" s="2114"/>
      <c r="X78" s="2066"/>
      <c r="Y78" s="2095"/>
      <c r="Z78" s="2095"/>
      <c r="AA78" s="2066"/>
      <c r="AB78" s="2160"/>
    </row>
    <row r="79" spans="1:28" ht="18" thickBot="1" x14ac:dyDescent="0.3">
      <c r="A79" s="2154" t="s">
        <v>2170</v>
      </c>
      <c r="B79" s="2094"/>
      <c r="C79" s="2176"/>
      <c r="D79" s="2094"/>
      <c r="E79" s="2093"/>
      <c r="F79" s="2093"/>
      <c r="G79" s="2222">
        <f>+G59+G67+G77</f>
        <v>2665028</v>
      </c>
      <c r="H79" s="2181"/>
      <c r="I79" s="2222">
        <f>+I59++I67+I77</f>
        <v>2767161</v>
      </c>
      <c r="J79" s="2181"/>
      <c r="K79" s="2222">
        <f>+K59+K67+K77</f>
        <v>2788767</v>
      </c>
      <c r="L79" s="2181"/>
      <c r="M79" s="2222">
        <f>+M59++M67+M77</f>
        <v>2918690</v>
      </c>
      <c r="N79" s="2181"/>
      <c r="O79" s="2222">
        <f>+O59+O67+O77</f>
        <v>80461</v>
      </c>
      <c r="P79" s="2181"/>
      <c r="Q79" s="2222">
        <f>+Q59++Q67+Q77</f>
        <v>0</v>
      </c>
      <c r="R79" s="2181"/>
      <c r="S79" s="2222">
        <f>+S59+S67+S77</f>
        <v>5702629</v>
      </c>
      <c r="T79" s="2159"/>
      <c r="U79" s="2159"/>
      <c r="V79" s="2114"/>
      <c r="W79" s="2114"/>
      <c r="X79" s="2182">
        <f>SUM(X11:X78)</f>
        <v>2568414</v>
      </c>
      <c r="Y79" s="2095"/>
      <c r="Z79" s="2095"/>
      <c r="AA79" s="2182">
        <f>SUM(AA37:AA78)</f>
        <v>0</v>
      </c>
      <c r="AB79" s="2160"/>
    </row>
    <row r="80" spans="1:28" ht="17.25" x14ac:dyDescent="0.25">
      <c r="A80" s="2154"/>
      <c r="B80" s="2094"/>
      <c r="C80" s="2176"/>
      <c r="D80" s="2094"/>
      <c r="E80" s="2093"/>
      <c r="F80" s="2093"/>
      <c r="G80" s="2181"/>
      <c r="H80" s="2181"/>
      <c r="I80" s="2181"/>
      <c r="J80" s="2181"/>
      <c r="K80" s="2181"/>
      <c r="L80" s="2181"/>
      <c r="M80" s="2181"/>
      <c r="N80" s="2181"/>
      <c r="O80" s="2181"/>
      <c r="P80" s="2181"/>
      <c r="Q80" s="2181"/>
      <c r="R80" s="2181"/>
      <c r="S80" s="2181"/>
      <c r="T80" s="2159"/>
      <c r="U80" s="2159"/>
      <c r="V80" s="2114"/>
      <c r="W80" s="2114"/>
      <c r="X80" s="2066"/>
      <c r="Y80" s="2095"/>
      <c r="Z80" s="2095"/>
      <c r="AA80" s="2095" t="s">
        <v>2171</v>
      </c>
      <c r="AB80" s="2160"/>
    </row>
    <row r="81" spans="1:28" x14ac:dyDescent="0.25">
      <c r="A81" s="2175" t="s">
        <v>2172</v>
      </c>
      <c r="B81" s="2154"/>
      <c r="C81" s="2183"/>
      <c r="D81" s="2098"/>
      <c r="E81" s="2184"/>
      <c r="F81" s="2184"/>
      <c r="G81" s="2185">
        <f>+G59</f>
        <v>2613935</v>
      </c>
      <c r="H81" s="2185"/>
      <c r="I81" s="2185">
        <f>+I59</f>
        <v>2708044</v>
      </c>
      <c r="J81" s="2185"/>
      <c r="K81" s="2185">
        <f>+K59</f>
        <v>2709075</v>
      </c>
      <c r="L81" s="2185"/>
      <c r="M81" s="2185">
        <f>+M59</f>
        <v>2836559</v>
      </c>
      <c r="N81" s="2185"/>
      <c r="O81" s="2185">
        <f>+O59</f>
        <v>80461</v>
      </c>
      <c r="P81" s="2185"/>
      <c r="Q81" s="2185">
        <f>+Q59</f>
        <v>0</v>
      </c>
      <c r="R81" s="2185"/>
      <c r="S81" s="2185">
        <f>+S59</f>
        <v>5540806</v>
      </c>
      <c r="T81" s="2186"/>
      <c r="U81" s="2187"/>
      <c r="V81" s="2114"/>
      <c r="W81" s="2114"/>
      <c r="X81" s="2081" t="s">
        <v>2173</v>
      </c>
      <c r="Y81" s="2188"/>
      <c r="Z81" s="2188"/>
      <c r="AA81" s="2066"/>
      <c r="AB81" s="2189"/>
    </row>
    <row r="82" spans="1:28" x14ac:dyDescent="0.25">
      <c r="A82" s="2094"/>
      <c r="B82" s="2094"/>
      <c r="C82" s="2094"/>
      <c r="D82" s="2094"/>
      <c r="E82" s="2094"/>
      <c r="F82" s="2094"/>
      <c r="G82" s="2094"/>
      <c r="H82" s="2190"/>
      <c r="I82" s="2190"/>
      <c r="J82" s="2191"/>
      <c r="K82" s="2190"/>
      <c r="L82" s="2190"/>
      <c r="M82" s="2190"/>
      <c r="N82" s="2190"/>
      <c r="O82" s="2190"/>
      <c r="P82" s="2190"/>
      <c r="Q82" s="2190"/>
      <c r="R82" s="2191"/>
      <c r="S82" s="2190"/>
      <c r="T82" s="2190"/>
      <c r="U82" s="2190"/>
      <c r="V82" s="2114"/>
      <c r="W82" s="2114"/>
      <c r="X82" s="2192">
        <f>+X79/M85</f>
        <v>0.87998862503383368</v>
      </c>
      <c r="Y82" s="2188"/>
      <c r="Z82" s="2188"/>
      <c r="AA82" s="2066"/>
      <c r="AB82" s="2193"/>
    </row>
    <row r="83" spans="1:28" ht="17.25" x14ac:dyDescent="0.25">
      <c r="A83" s="2098" t="s">
        <v>2174</v>
      </c>
      <c r="B83" s="2094"/>
      <c r="C83" s="2094"/>
      <c r="D83" s="2094"/>
      <c r="E83" s="2094"/>
      <c r="F83" s="2094"/>
      <c r="G83" s="2221">
        <f>+G67+G77</f>
        <v>51093</v>
      </c>
      <c r="H83" s="2178"/>
      <c r="I83" s="2221">
        <f>+I67+I77</f>
        <v>59117</v>
      </c>
      <c r="J83" s="2178"/>
      <c r="K83" s="2221">
        <f>+K67+K77</f>
        <v>79692</v>
      </c>
      <c r="L83" s="2178"/>
      <c r="M83" s="2221">
        <f>+M67+M77</f>
        <v>82131</v>
      </c>
      <c r="N83" s="2178"/>
      <c r="O83" s="2221">
        <f>+O67+O77</f>
        <v>0</v>
      </c>
      <c r="P83" s="2178"/>
      <c r="Q83" s="2221">
        <f>+Q67+Q77</f>
        <v>0</v>
      </c>
      <c r="R83" s="2178"/>
      <c r="S83" s="2221">
        <f>+S67+S77</f>
        <v>161823</v>
      </c>
      <c r="T83" s="2190"/>
      <c r="U83" s="2190"/>
      <c r="V83" s="2114"/>
      <c r="W83" s="2114"/>
      <c r="X83" s="2149"/>
      <c r="Y83" s="2188"/>
      <c r="Z83" s="2188"/>
      <c r="AA83" s="2066"/>
      <c r="AB83" s="2193"/>
    </row>
    <row r="84" spans="1:28" x14ac:dyDescent="0.25">
      <c r="A84" s="2094"/>
      <c r="B84" s="2094"/>
      <c r="C84" s="2094"/>
      <c r="D84" s="2094"/>
      <c r="E84" s="2094"/>
      <c r="F84" s="2094"/>
      <c r="G84" s="2094"/>
      <c r="H84" s="2190"/>
      <c r="I84" s="2190"/>
      <c r="J84" s="2191"/>
      <c r="K84" s="2190"/>
      <c r="L84" s="2190"/>
      <c r="M84" s="2190"/>
      <c r="N84" s="2190"/>
      <c r="O84" s="2190"/>
      <c r="P84" s="2190"/>
      <c r="Q84" s="2190"/>
      <c r="R84" s="2191"/>
      <c r="S84" s="2190"/>
      <c r="T84" s="2190"/>
      <c r="U84" s="2190"/>
      <c r="V84" s="2194"/>
      <c r="W84" s="2194"/>
      <c r="X84" s="2149"/>
      <c r="Y84" s="2188"/>
      <c r="Z84" s="2188"/>
      <c r="AA84" s="2066"/>
      <c r="AB84" s="2193"/>
    </row>
    <row r="85" spans="1:28" ht="18" thickBot="1" x14ac:dyDescent="0.3">
      <c r="A85" s="2098" t="s">
        <v>2170</v>
      </c>
      <c r="B85" s="2094"/>
      <c r="C85" s="2094"/>
      <c r="D85" s="2094"/>
      <c r="E85" s="2094"/>
      <c r="F85" s="2094"/>
      <c r="G85" s="2223">
        <f>G81+G83</f>
        <v>2665028</v>
      </c>
      <c r="H85" s="2181"/>
      <c r="I85" s="2223">
        <f>I81+I83</f>
        <v>2767161</v>
      </c>
      <c r="J85" s="2181"/>
      <c r="K85" s="2223">
        <f>K81+K83</f>
        <v>2788767</v>
      </c>
      <c r="L85" s="2181"/>
      <c r="M85" s="2223">
        <f>M81+M83</f>
        <v>2918690</v>
      </c>
      <c r="N85" s="2181"/>
      <c r="O85" s="2223">
        <f>O81+O83</f>
        <v>80461</v>
      </c>
      <c r="P85" s="2181"/>
      <c r="Q85" s="2223">
        <f>Q81+Q83</f>
        <v>0</v>
      </c>
      <c r="R85" s="2181"/>
      <c r="S85" s="2223">
        <f>S81+S83</f>
        <v>5702629</v>
      </c>
      <c r="T85" s="2190"/>
      <c r="U85" s="2068"/>
      <c r="V85" s="2114"/>
      <c r="W85" s="2114"/>
      <c r="X85" s="2182" t="e">
        <f>SUM(#REF!)</f>
        <v>#REF!</v>
      </c>
      <c r="Y85" s="2095"/>
      <c r="Z85" s="2188"/>
      <c r="AA85" s="2066"/>
      <c r="AB85" s="2193"/>
    </row>
    <row r="86" spans="1:28" ht="15.75" thickTop="1" x14ac:dyDescent="0.25">
      <c r="A86" s="2094"/>
      <c r="B86" s="2094"/>
      <c r="C86" s="2094"/>
      <c r="D86" s="2094"/>
      <c r="E86" s="2094"/>
      <c r="F86" s="2094"/>
      <c r="G86" s="2094"/>
      <c r="H86" s="2190"/>
      <c r="I86" s="2190"/>
      <c r="J86" s="2191"/>
      <c r="K86" s="2190"/>
      <c r="L86" s="2190"/>
      <c r="M86" s="2190"/>
      <c r="N86" s="2190"/>
      <c r="O86" s="2190"/>
      <c r="P86" s="2190"/>
      <c r="Q86" s="2190"/>
      <c r="R86" s="2191"/>
      <c r="S86" s="2190"/>
      <c r="T86" s="2190"/>
      <c r="U86" s="2068"/>
      <c r="V86" s="2114"/>
      <c r="W86" s="2114"/>
      <c r="X86" s="2195" t="e">
        <f>+X85/#REF!</f>
        <v>#REF!</v>
      </c>
      <c r="Y86" s="2095"/>
      <c r="Z86" s="2188"/>
      <c r="AA86" s="2149"/>
      <c r="AB86" s="2193"/>
    </row>
    <row r="87" spans="1:28" ht="15.75" thickBot="1" x14ac:dyDescent="0.3">
      <c r="A87" s="2094" t="s">
        <v>2175</v>
      </c>
      <c r="B87" s="2094"/>
      <c r="C87" s="2094"/>
      <c r="D87" s="2094"/>
      <c r="E87" s="2093"/>
      <c r="F87" s="2093"/>
      <c r="G87" s="2190"/>
      <c r="H87" s="2190"/>
      <c r="I87" s="2190" t="s">
        <v>1159</v>
      </c>
      <c r="J87" s="2191"/>
      <c r="K87" s="2190"/>
      <c r="L87" s="2190"/>
      <c r="M87" s="2190"/>
      <c r="N87" s="2190"/>
      <c r="O87" s="2190"/>
      <c r="P87" s="2190"/>
      <c r="Q87" s="2190"/>
      <c r="R87" s="2191"/>
      <c r="S87" s="2190"/>
      <c r="T87" s="2190"/>
      <c r="U87" s="2068"/>
      <c r="V87" s="2114"/>
      <c r="W87" s="2114"/>
      <c r="X87" s="2196" t="e">
        <f>+X85/M85</f>
        <v>#REF!</v>
      </c>
      <c r="Y87" s="2095"/>
      <c r="Z87" s="2188"/>
      <c r="AA87" s="2149"/>
      <c r="AB87" s="2193"/>
    </row>
    <row r="88" spans="1:28" ht="15.75" thickTop="1" x14ac:dyDescent="0.25">
      <c r="A88" s="2110" t="s">
        <v>2176</v>
      </c>
      <c r="B88" s="2094"/>
      <c r="C88" s="2094"/>
      <c r="D88" s="2094"/>
      <c r="E88" s="2093"/>
      <c r="F88" s="2093"/>
      <c r="G88" s="2190"/>
      <c r="H88" s="2190"/>
      <c r="I88" s="2190"/>
      <c r="J88" s="2191"/>
      <c r="K88" s="2190"/>
      <c r="L88" s="2190"/>
      <c r="M88" s="2190"/>
      <c r="N88" s="2190"/>
      <c r="O88" s="2190"/>
      <c r="P88" s="2190"/>
      <c r="Q88" s="2190"/>
      <c r="R88" s="2191"/>
      <c r="S88" s="2190"/>
      <c r="T88" s="2190"/>
      <c r="U88" s="2068"/>
      <c r="V88" s="2114"/>
      <c r="W88" s="2114"/>
      <c r="X88" s="2081" t="s">
        <v>2177</v>
      </c>
      <c r="Y88" s="2188"/>
      <c r="Z88" s="2188"/>
      <c r="AA88" s="2149"/>
      <c r="AB88" s="2193"/>
    </row>
    <row r="89" spans="1:28" x14ac:dyDescent="0.25">
      <c r="A89" s="2094" t="s">
        <v>2178</v>
      </c>
      <c r="B89" s="2094"/>
      <c r="C89" s="2094"/>
      <c r="D89" s="2094"/>
      <c r="E89" s="2093"/>
      <c r="F89" s="2093"/>
      <c r="G89" s="2190"/>
      <c r="H89" s="2190"/>
      <c r="I89" s="2190"/>
      <c r="J89" s="2191"/>
      <c r="K89" s="2190"/>
      <c r="L89" s="2190"/>
      <c r="M89" s="2190"/>
      <c r="N89" s="2190"/>
      <c r="O89" s="2190"/>
      <c r="P89" s="2190"/>
      <c r="Q89" s="2190"/>
      <c r="R89" s="2191"/>
      <c r="S89" s="2190"/>
      <c r="T89" s="2190"/>
      <c r="U89" s="2197"/>
      <c r="V89" s="2194"/>
      <c r="W89" s="2194"/>
      <c r="X89" s="2081" t="s">
        <v>2173</v>
      </c>
      <c r="Y89" s="2188"/>
      <c r="Z89" s="2188"/>
      <c r="AA89" s="2149"/>
      <c r="AB89" s="2193"/>
    </row>
    <row r="90" spans="1:28" x14ac:dyDescent="0.25">
      <c r="A90" s="2110" t="s">
        <v>2179</v>
      </c>
      <c r="B90" s="2094"/>
      <c r="C90" s="2094"/>
      <c r="D90" s="2094"/>
      <c r="E90" s="2093"/>
      <c r="F90" s="2093"/>
      <c r="G90" s="2190"/>
      <c r="H90" s="2190"/>
      <c r="I90" s="2190"/>
      <c r="J90" s="2191"/>
      <c r="K90" s="2190"/>
      <c r="L90" s="2190"/>
      <c r="M90" s="2190"/>
      <c r="N90" s="2190"/>
      <c r="O90" s="2190"/>
      <c r="P90" s="2190"/>
      <c r="Q90" s="2190"/>
      <c r="R90" s="2191"/>
      <c r="S90" s="2190"/>
      <c r="T90" s="2190"/>
      <c r="U90" s="2197"/>
      <c r="V90" s="2114"/>
      <c r="W90" s="2114"/>
      <c r="X90" s="2149"/>
      <c r="Y90" s="2188"/>
      <c r="Z90" s="2188"/>
      <c r="AA90" s="2149"/>
      <c r="AB90" s="2193"/>
    </row>
  </sheetData>
  <mergeCells count="8">
    <mergeCell ref="V7:Z7"/>
    <mergeCell ref="V8:X8"/>
    <mergeCell ref="A1:U1"/>
    <mergeCell ref="A2:U2"/>
    <mergeCell ref="A3:U3"/>
    <mergeCell ref="A4:U4"/>
    <mergeCell ref="G7:I7"/>
    <mergeCell ref="K7:O7"/>
  </mergeCells>
  <printOptions horizontalCentered="1" gridLinesSet="0"/>
  <pageMargins left="0.25" right="0.25" top="0.5" bottom="0.5" header="0.5" footer="0"/>
  <pageSetup scale="63" fitToHeight="0" orientation="landscape" r:id="rId1"/>
  <headerFooter alignWithMargins="0">
    <oddFooter>&amp;LSee the accompanying notes to the Schedule of Expenditures of Federal Awards.</oddFooter>
  </headerFooter>
  <rowBreaks count="1" manualBreakCount="1">
    <brk id="59"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43" t="s">
        <v>1158</v>
      </c>
      <c r="B2" s="2343"/>
      <c r="C2" s="2343"/>
      <c r="D2" s="2343"/>
      <c r="E2" s="2343"/>
      <c r="F2" s="2343"/>
      <c r="G2" s="2343"/>
      <c r="H2" s="2343"/>
      <c r="I2" s="2343"/>
      <c r="J2" s="234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57" t="s">
        <v>1616</v>
      </c>
      <c r="B35" s="2358"/>
      <c r="C35" s="2358"/>
      <c r="D35" s="2358"/>
      <c r="E35" s="2359"/>
      <c r="F35" s="2359"/>
      <c r="G35" s="2359"/>
      <c r="H35" s="2359"/>
      <c r="I35" s="235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57" t="s">
        <v>310</v>
      </c>
      <c r="B47" s="2360"/>
      <c r="C47" s="2360"/>
      <c r="D47" s="2360"/>
      <c r="E47" s="2361"/>
      <c r="F47" s="2361"/>
      <c r="G47" s="2361"/>
      <c r="H47" s="2361"/>
      <c r="I47" s="236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64"/>
      <c r="C57" s="2365"/>
      <c r="D57" s="2365"/>
      <c r="E57" s="2365"/>
      <c r="F57" s="2365"/>
      <c r="G57" s="2365"/>
      <c r="H57" s="2365"/>
      <c r="I57" s="2365"/>
      <c r="J57" s="2366"/>
    </row>
    <row r="58" spans="1:10" s="176" customFormat="1" x14ac:dyDescent="0.2">
      <c r="A58" s="248"/>
      <c r="B58" s="2367"/>
      <c r="C58" s="2368"/>
      <c r="D58" s="2368"/>
      <c r="E58" s="2368"/>
      <c r="F58" s="2368"/>
      <c r="G58" s="2368"/>
      <c r="H58" s="2368"/>
      <c r="I58" s="2368"/>
      <c r="J58" s="2369"/>
    </row>
    <row r="59" spans="1:10" s="176" customFormat="1" x14ac:dyDescent="0.2">
      <c r="A59" s="248"/>
      <c r="B59" s="2367"/>
      <c r="C59" s="2368"/>
      <c r="D59" s="2368"/>
      <c r="E59" s="2368"/>
      <c r="F59" s="2368"/>
      <c r="G59" s="2368"/>
      <c r="H59" s="2368"/>
      <c r="I59" s="2368"/>
      <c r="J59" s="2369"/>
    </row>
    <row r="60" spans="1:10" s="176" customFormat="1" x14ac:dyDescent="0.2">
      <c r="A60" s="248"/>
      <c r="B60" s="2367"/>
      <c r="C60" s="2368"/>
      <c r="D60" s="2368"/>
      <c r="E60" s="2368"/>
      <c r="F60" s="2368"/>
      <c r="G60" s="2368"/>
      <c r="H60" s="2368"/>
      <c r="I60" s="2368"/>
      <c r="J60" s="2369"/>
    </row>
    <row r="61" spans="1:10" s="176" customFormat="1" x14ac:dyDescent="0.2">
      <c r="A61" s="248"/>
      <c r="B61" s="2367"/>
      <c r="C61" s="2368"/>
      <c r="D61" s="2368"/>
      <c r="E61" s="2368"/>
      <c r="F61" s="2368"/>
      <c r="G61" s="2368"/>
      <c r="H61" s="2368"/>
      <c r="I61" s="2368"/>
      <c r="J61" s="2369"/>
    </row>
    <row r="62" spans="1:10" s="176" customFormat="1" x14ac:dyDescent="0.2">
      <c r="A62" s="248"/>
      <c r="B62" s="2367"/>
      <c r="C62" s="2368"/>
      <c r="D62" s="2368"/>
      <c r="E62" s="2368"/>
      <c r="F62" s="2368"/>
      <c r="G62" s="2368"/>
      <c r="H62" s="2368"/>
      <c r="I62" s="2368"/>
      <c r="J62" s="2369"/>
    </row>
    <row r="63" spans="1:10" s="176" customFormat="1" x14ac:dyDescent="0.2">
      <c r="A63" s="248"/>
      <c r="B63" s="2367"/>
      <c r="C63" s="2368"/>
      <c r="D63" s="2368"/>
      <c r="E63" s="2368"/>
      <c r="F63" s="2368"/>
      <c r="G63" s="2368"/>
      <c r="H63" s="2368"/>
      <c r="I63" s="2368"/>
      <c r="J63" s="2369"/>
    </row>
    <row r="64" spans="1:10" s="176" customFormat="1" x14ac:dyDescent="0.2">
      <c r="A64" s="248"/>
      <c r="B64" s="2367"/>
      <c r="C64" s="2368"/>
      <c r="D64" s="2368"/>
      <c r="E64" s="2368"/>
      <c r="F64" s="2368"/>
      <c r="G64" s="2368"/>
      <c r="H64" s="2368"/>
      <c r="I64" s="2368"/>
      <c r="J64" s="2369"/>
    </row>
    <row r="65" spans="1:11" s="176" customFormat="1" x14ac:dyDescent="0.2">
      <c r="A65" s="248"/>
      <c r="B65" s="2367"/>
      <c r="C65" s="2368"/>
      <c r="D65" s="2368"/>
      <c r="E65" s="2368"/>
      <c r="F65" s="2368"/>
      <c r="G65" s="2368"/>
      <c r="H65" s="2368"/>
      <c r="I65" s="2368"/>
      <c r="J65" s="2369"/>
    </row>
    <row r="66" spans="1:11" s="176" customFormat="1" x14ac:dyDescent="0.2">
      <c r="A66" s="248"/>
      <c r="B66" s="2367"/>
      <c r="C66" s="2368"/>
      <c r="D66" s="2368"/>
      <c r="E66" s="2368"/>
      <c r="F66" s="2368"/>
      <c r="G66" s="2368"/>
      <c r="H66" s="2368"/>
      <c r="I66" s="2368"/>
      <c r="J66" s="2369"/>
    </row>
    <row r="67" spans="1:11" s="176" customFormat="1" ht="9" customHeight="1" x14ac:dyDescent="0.2">
      <c r="A67" s="249"/>
      <c r="B67" s="2370"/>
      <c r="C67" s="2371"/>
      <c r="D67" s="2371"/>
      <c r="E67" s="2371"/>
      <c r="F67" s="2371"/>
      <c r="G67" s="2371"/>
      <c r="H67" s="2371"/>
      <c r="I67" s="2371"/>
      <c r="J67" s="237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57" t="s">
        <v>1312</v>
      </c>
      <c r="B70" s="2360"/>
      <c r="C70" s="2360"/>
      <c r="D70" s="2360"/>
      <c r="E70" s="2361"/>
      <c r="F70" s="2361"/>
      <c r="G70" s="2361"/>
      <c r="H70" s="2361"/>
      <c r="I70" s="236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62" t="s">
        <v>1309</v>
      </c>
      <c r="B83" s="2362"/>
      <c r="C83" s="2362"/>
      <c r="D83" s="236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73" t="s">
        <v>1985</v>
      </c>
      <c r="B85" s="2373"/>
      <c r="C85" s="2373"/>
      <c r="D85" s="2374"/>
      <c r="E85" s="1543"/>
      <c r="F85" s="1543"/>
      <c r="G85" s="1543">
        <v>1</v>
      </c>
      <c r="H85" s="1543"/>
      <c r="I85" s="1903"/>
      <c r="J85" s="1726">
        <f>SUM(E85:I85)</f>
        <v>1</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375" t="s">
        <v>1985</v>
      </c>
      <c r="B88" s="2376"/>
      <c r="C88" s="2376"/>
      <c r="D88" s="2377"/>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1</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344" t="s">
        <v>2205</v>
      </c>
      <c r="C102" s="2345"/>
      <c r="D102" s="2345"/>
      <c r="E102" s="2345"/>
      <c r="F102" s="2345"/>
      <c r="G102" s="2345"/>
      <c r="H102" s="2345"/>
      <c r="I102" s="2346"/>
    </row>
    <row r="103" spans="1:9" s="176" customFormat="1" ht="11.25" customHeight="1" x14ac:dyDescent="0.2">
      <c r="A103" s="294"/>
      <c r="B103" s="2347"/>
      <c r="C103" s="2348"/>
      <c r="D103" s="2348"/>
      <c r="E103" s="2348"/>
      <c r="F103" s="2348"/>
      <c r="G103" s="2348"/>
      <c r="H103" s="2348"/>
      <c r="I103" s="2349"/>
    </row>
    <row r="104" spans="1:9" s="176" customFormat="1" ht="11.25" customHeight="1" x14ac:dyDescent="0.2">
      <c r="A104" s="294"/>
      <c r="B104" s="2347"/>
      <c r="C104" s="2348"/>
      <c r="D104" s="2348"/>
      <c r="E104" s="2348"/>
      <c r="F104" s="2348"/>
      <c r="G104" s="2348"/>
      <c r="H104" s="2348"/>
      <c r="I104" s="2349"/>
    </row>
    <row r="105" spans="1:9" s="176" customFormat="1" x14ac:dyDescent="0.2">
      <c r="A105" s="294"/>
      <c r="B105" s="2347"/>
      <c r="C105" s="2348"/>
      <c r="D105" s="2348"/>
      <c r="E105" s="2348"/>
      <c r="F105" s="2348"/>
      <c r="G105" s="2348"/>
      <c r="H105" s="2348"/>
      <c r="I105" s="2349"/>
    </row>
    <row r="106" spans="1:9" s="176" customFormat="1" ht="11.25" customHeight="1" x14ac:dyDescent="0.2">
      <c r="A106" s="294"/>
      <c r="B106" s="2347"/>
      <c r="C106" s="2348"/>
      <c r="D106" s="2348"/>
      <c r="E106" s="2348"/>
      <c r="F106" s="2348"/>
      <c r="G106" s="2348"/>
      <c r="H106" s="2348"/>
      <c r="I106" s="2349"/>
    </row>
    <row r="107" spans="1:9" s="176" customFormat="1" ht="11.25" customHeight="1" x14ac:dyDescent="0.2">
      <c r="A107" s="294"/>
      <c r="B107" s="2347"/>
      <c r="C107" s="2348"/>
      <c r="D107" s="2348"/>
      <c r="E107" s="2348"/>
      <c r="F107" s="2348"/>
      <c r="G107" s="2348"/>
      <c r="H107" s="2348"/>
      <c r="I107" s="2349"/>
    </row>
    <row r="108" spans="1:9" s="176" customFormat="1" ht="11.25" customHeight="1" x14ac:dyDescent="0.2">
      <c r="A108" s="294"/>
      <c r="B108" s="2347"/>
      <c r="C108" s="2348"/>
      <c r="D108" s="2348"/>
      <c r="E108" s="2348"/>
      <c r="F108" s="2348"/>
      <c r="G108" s="2348"/>
      <c r="H108" s="2348"/>
      <c r="I108" s="2349"/>
    </row>
    <row r="109" spans="1:9" s="176" customFormat="1" ht="11.25" customHeight="1" x14ac:dyDescent="0.2">
      <c r="A109" s="294"/>
      <c r="B109" s="2347"/>
      <c r="C109" s="2348"/>
      <c r="D109" s="2348"/>
      <c r="E109" s="2348"/>
      <c r="F109" s="2348"/>
      <c r="G109" s="2348"/>
      <c r="H109" s="2348"/>
      <c r="I109" s="2349"/>
    </row>
    <row r="110" spans="1:9" s="176" customFormat="1" ht="11.25" customHeight="1" x14ac:dyDescent="0.2">
      <c r="A110" s="294"/>
      <c r="B110" s="2347"/>
      <c r="C110" s="2348"/>
      <c r="D110" s="2348"/>
      <c r="E110" s="2348"/>
      <c r="F110" s="2348"/>
      <c r="G110" s="2348"/>
      <c r="H110" s="2348"/>
      <c r="I110" s="2349"/>
    </row>
    <row r="111" spans="1:9" s="176" customFormat="1" ht="11.25" customHeight="1" x14ac:dyDescent="0.2">
      <c r="A111" s="294"/>
      <c r="B111" s="2347"/>
      <c r="C111" s="2348"/>
      <c r="D111" s="2348"/>
      <c r="E111" s="2348"/>
      <c r="F111" s="2348"/>
      <c r="G111" s="2348"/>
      <c r="H111" s="2348"/>
      <c r="I111" s="2349"/>
    </row>
    <row r="112" spans="1:9" s="176" customFormat="1" ht="11.25" customHeight="1" x14ac:dyDescent="0.2">
      <c r="A112" s="294"/>
      <c r="B112" s="2350"/>
      <c r="C112" s="2351"/>
      <c r="D112" s="2351"/>
      <c r="E112" s="2351"/>
      <c r="F112" s="2351"/>
      <c r="G112" s="2351"/>
      <c r="H112" s="2351"/>
      <c r="I112" s="235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53" t="s">
        <v>2048</v>
      </c>
      <c r="D114" s="235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54" t="s">
        <v>1319</v>
      </c>
      <c r="D117" s="2355"/>
      <c r="E117" s="2356"/>
      <c r="F117" s="2356"/>
      <c r="G117" s="2356"/>
      <c r="H117" s="2356"/>
      <c r="I117" s="282"/>
    </row>
    <row r="118" spans="1:9" s="176" customFormat="1" ht="24" customHeight="1" x14ac:dyDescent="0.2">
      <c r="A118" s="294"/>
      <c r="B118" s="294"/>
      <c r="C118" s="294"/>
      <c r="D118" s="301" t="s">
        <v>2214</v>
      </c>
      <c r="E118" s="300"/>
      <c r="F118" s="302"/>
      <c r="G118" s="1472"/>
      <c r="H118" s="300"/>
      <c r="I118" s="282"/>
    </row>
    <row r="119" spans="1:9" s="176" customFormat="1" ht="11.25" customHeight="1" x14ac:dyDescent="0.2">
      <c r="A119" s="303"/>
      <c r="B119" s="303"/>
      <c r="C119" s="304"/>
      <c r="D119" s="305" t="s">
        <v>358</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9"/>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73" t="str">
        <f>'Single Audit Cover'!A7</f>
        <v xml:space="preserve">   Bi-County Special Educ Coop</v>
      </c>
      <c r="B1" s="2773"/>
      <c r="C1" s="2773"/>
      <c r="D1" s="2773"/>
      <c r="E1" s="2773"/>
      <c r="F1" s="2773"/>
    </row>
    <row r="2" spans="1:7" ht="13.5" customHeight="1" x14ac:dyDescent="0.2">
      <c r="A2" s="2756">
        <f>'Single Audit Cover'!E7</f>
        <v>47098000061</v>
      </c>
      <c r="B2" s="2756"/>
      <c r="C2" s="2756"/>
      <c r="D2" s="2756"/>
      <c r="E2" s="2756"/>
      <c r="F2" s="2756"/>
      <c r="G2" s="1051"/>
    </row>
    <row r="3" spans="1:7" ht="15.75" customHeight="1" x14ac:dyDescent="0.2">
      <c r="A3" s="2774" t="s">
        <v>1260</v>
      </c>
      <c r="B3" s="2774"/>
      <c r="C3" s="2774"/>
      <c r="D3" s="2774"/>
      <c r="E3" s="2774"/>
      <c r="F3" s="2774"/>
    </row>
    <row r="4" spans="1:7" ht="13.5" customHeight="1" x14ac:dyDescent="0.2">
      <c r="A4" s="2775" t="str">
        <f>'Single Audit Cover'!A4</f>
        <v>Year Ending June 30, 2020</v>
      </c>
      <c r="B4" s="2775"/>
      <c r="C4" s="2775"/>
      <c r="D4" s="2775"/>
      <c r="E4" s="2775"/>
      <c r="F4" s="2775"/>
    </row>
    <row r="5" spans="1:7" ht="8.25" customHeight="1" x14ac:dyDescent="0.2">
      <c r="C5" s="295"/>
      <c r="D5" s="295"/>
    </row>
    <row r="6" spans="1:7" ht="13.5" customHeight="1" x14ac:dyDescent="0.2">
      <c r="A6" s="1052" t="s">
        <v>1705</v>
      </c>
      <c r="C6" s="295"/>
      <c r="D6" s="295"/>
    </row>
    <row r="7" spans="1:7" ht="60.95" customHeight="1" x14ac:dyDescent="0.2">
      <c r="A7" s="2772" t="s">
        <v>2186</v>
      </c>
      <c r="B7" s="2772"/>
      <c r="C7" s="2772"/>
      <c r="D7" s="2772"/>
      <c r="E7" s="2772"/>
      <c r="F7" s="277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772" t="s">
        <v>2187</v>
      </c>
      <c r="B13" s="2772"/>
      <c r="C13" s="2772"/>
      <c r="D13" s="2772"/>
      <c r="E13" s="2772"/>
      <c r="F13" s="2772"/>
    </row>
    <row r="14" spans="1:7" ht="9.75" customHeight="1" x14ac:dyDescent="0.2">
      <c r="C14" s="1036"/>
      <c r="D14" s="1036"/>
    </row>
    <row r="15" spans="1:7" ht="13.5" customHeight="1" x14ac:dyDescent="0.2">
      <c r="C15" s="1475" t="s">
        <v>1259</v>
      </c>
      <c r="D15" s="2770" t="s">
        <v>1258</v>
      </c>
      <c r="E15" s="2770"/>
      <c r="F15" s="2770"/>
    </row>
    <row r="16" spans="1:7" ht="13.5" customHeight="1" x14ac:dyDescent="0.2">
      <c r="A16" s="1058"/>
      <c r="B16" s="1052" t="s">
        <v>1257</v>
      </c>
      <c r="C16" s="1475" t="s">
        <v>1256</v>
      </c>
      <c r="D16" s="2771" t="s">
        <v>1571</v>
      </c>
      <c r="E16" s="2771"/>
      <c r="F16" s="2771"/>
    </row>
    <row r="17" spans="1:6" ht="20.45" customHeight="1" x14ac:dyDescent="0.2">
      <c r="A17" s="1059"/>
      <c r="B17" s="1060" t="s">
        <v>2182</v>
      </c>
      <c r="C17" s="1061">
        <v>84.027000000000001</v>
      </c>
      <c r="D17" s="2765">
        <v>10024</v>
      </c>
      <c r="E17" s="2765"/>
      <c r="F17" s="2765"/>
    </row>
    <row r="18" spans="1:6" ht="20.65" customHeight="1" x14ac:dyDescent="0.2">
      <c r="A18" s="1059"/>
      <c r="B18" s="1060" t="s">
        <v>2183</v>
      </c>
      <c r="C18" s="1061">
        <v>84.027000000000001</v>
      </c>
      <c r="D18" s="2765">
        <v>5741</v>
      </c>
      <c r="E18" s="2765"/>
      <c r="F18" s="2765"/>
    </row>
    <row r="19" spans="1:6" ht="20.65" customHeight="1" x14ac:dyDescent="0.2">
      <c r="A19" s="1059"/>
      <c r="B19" s="1060" t="s">
        <v>2189</v>
      </c>
      <c r="C19" s="1061">
        <v>84.173000000000002</v>
      </c>
      <c r="D19" s="2765">
        <v>33201</v>
      </c>
      <c r="E19" s="2765"/>
      <c r="F19" s="2765"/>
    </row>
    <row r="20" spans="1:6" ht="20.65" customHeight="1" x14ac:dyDescent="0.2">
      <c r="A20" s="1059"/>
      <c r="B20" s="1060" t="s">
        <v>2184</v>
      </c>
      <c r="C20" s="1061">
        <v>10.555</v>
      </c>
      <c r="D20" s="2765">
        <v>18490.5</v>
      </c>
      <c r="E20" s="2765"/>
      <c r="F20" s="2765"/>
    </row>
    <row r="21" spans="1:6" ht="20.65" customHeight="1" x14ac:dyDescent="0.2">
      <c r="A21" s="1059"/>
      <c r="B21" s="1060" t="s">
        <v>2185</v>
      </c>
      <c r="C21" s="1061">
        <v>10.553000000000001</v>
      </c>
      <c r="D21" s="2765">
        <v>10918</v>
      </c>
      <c r="E21" s="2765"/>
      <c r="F21" s="2765"/>
    </row>
    <row r="22" spans="1:6" ht="20.65" customHeight="1" x14ac:dyDescent="0.2">
      <c r="A22" s="1059"/>
      <c r="B22" s="1060" t="s">
        <v>2190</v>
      </c>
      <c r="C22" s="1061">
        <v>10.555</v>
      </c>
      <c r="D22" s="2765">
        <v>2086</v>
      </c>
      <c r="E22" s="2765"/>
      <c r="F22" s="2765"/>
    </row>
    <row r="23" spans="1:6" ht="20.65" hidden="1" customHeight="1" x14ac:dyDescent="0.2">
      <c r="A23" s="1059"/>
      <c r="B23" s="1060"/>
      <c r="C23" s="1061"/>
      <c r="D23" s="2765"/>
      <c r="E23" s="2765"/>
      <c r="F23" s="2765"/>
    </row>
    <row r="24" spans="1:6" ht="20.65" hidden="1" customHeight="1" x14ac:dyDescent="0.2">
      <c r="A24" s="1059"/>
      <c r="B24" s="1060"/>
      <c r="C24" s="1061"/>
      <c r="D24" s="2765"/>
      <c r="E24" s="2765"/>
      <c r="F24" s="2765"/>
    </row>
    <row r="25" spans="1:6" ht="20.65" hidden="1" customHeight="1" x14ac:dyDescent="0.2">
      <c r="A25" s="1059"/>
      <c r="B25" s="1060"/>
      <c r="C25" s="1061"/>
      <c r="D25" s="2765"/>
      <c r="E25" s="2765"/>
      <c r="F25" s="2765"/>
    </row>
    <row r="26" spans="1:6" ht="20.65" hidden="1" customHeight="1" x14ac:dyDescent="0.2">
      <c r="A26" s="1059"/>
      <c r="B26" s="1060"/>
      <c r="C26" s="1061"/>
      <c r="D26" s="2765"/>
      <c r="E26" s="2765"/>
      <c r="F26" s="2765"/>
    </row>
    <row r="27" spans="1:6" ht="20.65" hidden="1" customHeight="1" x14ac:dyDescent="0.2">
      <c r="A27" s="1059"/>
      <c r="B27" s="1060"/>
      <c r="C27" s="1061"/>
      <c r="D27" s="2765"/>
      <c r="E27" s="2765"/>
      <c r="F27" s="2765"/>
    </row>
    <row r="28" spans="1:6" ht="20.65" hidden="1" customHeight="1" x14ac:dyDescent="0.2">
      <c r="A28" s="1059"/>
      <c r="B28" s="1060"/>
      <c r="C28" s="1061"/>
      <c r="D28" s="2765"/>
      <c r="E28" s="2765"/>
      <c r="F28" s="2765"/>
    </row>
    <row r="29" spans="1:6" ht="20.65" hidden="1" customHeight="1" x14ac:dyDescent="0.2">
      <c r="A29" s="1059"/>
      <c r="B29" s="1060"/>
      <c r="C29" s="1061"/>
      <c r="D29" s="2765"/>
      <c r="E29" s="2765"/>
      <c r="F29" s="2765"/>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766" t="s">
        <v>2212</v>
      </c>
      <c r="B32" s="2766"/>
      <c r="C32" s="2766"/>
      <c r="D32" s="2766"/>
      <c r="E32" s="2766"/>
      <c r="F32" s="2766"/>
    </row>
    <row r="33" spans="1:6" ht="13.5" customHeight="1" x14ac:dyDescent="0.2">
      <c r="A33" s="306" t="s">
        <v>1417</v>
      </c>
      <c r="B33" s="306"/>
      <c r="C33" s="1064">
        <v>0</v>
      </c>
      <c r="D33" s="1525"/>
      <c r="E33" s="1062"/>
    </row>
    <row r="34" spans="1:6" ht="13.5" customHeight="1" x14ac:dyDescent="0.2">
      <c r="A34" s="306" t="s">
        <v>1807</v>
      </c>
      <c r="B34" s="306"/>
      <c r="C34" s="1065">
        <v>2086</v>
      </c>
      <c r="D34" s="1525" t="s">
        <v>1572</v>
      </c>
      <c r="E34" s="2767">
        <f>+C33+C34</f>
        <v>2086</v>
      </c>
      <c r="F34" s="2768"/>
    </row>
    <row r="35" spans="1:6" ht="12"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t="s">
        <v>380</v>
      </c>
      <c r="D38" s="1525"/>
      <c r="E38" s="1062"/>
    </row>
    <row r="39" spans="1:6" ht="14.25" customHeight="1" x14ac:dyDescent="0.2">
      <c r="A39" s="306"/>
      <c r="B39" s="306" t="s">
        <v>1419</v>
      </c>
      <c r="C39" s="1068" t="s">
        <v>380</v>
      </c>
      <c r="D39" s="1525"/>
      <c r="E39" s="1062"/>
    </row>
    <row r="40" spans="1:6" ht="14.25" customHeight="1" x14ac:dyDescent="0.2">
      <c r="A40" s="306"/>
      <c r="B40" s="306" t="s">
        <v>1420</v>
      </c>
      <c r="C40" s="1068" t="s">
        <v>380</v>
      </c>
      <c r="D40" s="1525"/>
      <c r="E40" s="1062"/>
    </row>
    <row r="41" spans="1:6" ht="14.25" customHeight="1" x14ac:dyDescent="0.2">
      <c r="A41" s="306"/>
      <c r="B41" s="306" t="s">
        <v>1421</v>
      </c>
      <c r="C41" s="1068" t="s">
        <v>380</v>
      </c>
      <c r="D41" s="1525"/>
      <c r="E41" s="1062"/>
    </row>
    <row r="42" spans="1:6" ht="14.25" customHeight="1" x14ac:dyDescent="0.2">
      <c r="A42" s="306" t="s">
        <v>1422</v>
      </c>
      <c r="B42" s="306"/>
      <c r="C42" s="1523" t="s">
        <v>380</v>
      </c>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14.25" customHeight="1" x14ac:dyDescent="0.2">
      <c r="A45" s="306"/>
      <c r="B45" s="306"/>
      <c r="C45" s="1527"/>
      <c r="D45" s="1525"/>
      <c r="E45" s="1062"/>
    </row>
    <row r="46" spans="1:6" ht="14.25" customHeight="1" x14ac:dyDescent="0.2">
      <c r="A46" s="1063" t="s">
        <v>2198</v>
      </c>
      <c r="B46" s="306"/>
      <c r="C46" s="1527"/>
      <c r="D46" s="1525"/>
      <c r="E46" s="1062"/>
    </row>
    <row r="47" spans="1:6" ht="13.5" customHeight="1" x14ac:dyDescent="0.2">
      <c r="A47" s="295" t="s">
        <v>2202</v>
      </c>
      <c r="B47" s="300"/>
      <c r="C47" s="1070"/>
      <c r="D47" s="1070"/>
    </row>
    <row r="48" spans="1:6" ht="13.5" customHeight="1" x14ac:dyDescent="0.2">
      <c r="A48" s="295" t="s">
        <v>2201</v>
      </c>
      <c r="B48" s="300"/>
      <c r="C48" s="1070"/>
      <c r="D48" s="1070"/>
    </row>
    <row r="49" spans="1:6" ht="13.5" customHeight="1" x14ac:dyDescent="0.2">
      <c r="A49" s="295" t="s">
        <v>2199</v>
      </c>
      <c r="B49" s="300"/>
      <c r="C49" s="1070"/>
      <c r="D49" s="1070"/>
    </row>
    <row r="50" spans="1:6" ht="13.5" customHeight="1" x14ac:dyDescent="0.2">
      <c r="A50" s="295" t="s">
        <v>2200</v>
      </c>
      <c r="B50" s="300"/>
      <c r="C50" s="1070"/>
      <c r="D50" s="1070"/>
    </row>
    <row r="51" spans="1:6" ht="13.5" hidden="1" customHeight="1" x14ac:dyDescent="0.2">
      <c r="B51" s="300"/>
      <c r="C51" s="1070"/>
      <c r="D51" s="1070"/>
    </row>
    <row r="52" spans="1:6" ht="5.25" customHeight="1" x14ac:dyDescent="0.2">
      <c r="B52" s="300"/>
      <c r="C52" s="1070"/>
      <c r="D52" s="1070"/>
    </row>
    <row r="53" spans="1:6" x14ac:dyDescent="0.2">
      <c r="A53" s="1071" t="s">
        <v>1707</v>
      </c>
      <c r="C53" s="295"/>
      <c r="D53" s="295"/>
    </row>
    <row r="54" spans="1:6" s="300" customFormat="1" ht="11.25" customHeight="1" x14ac:dyDescent="0.2">
      <c r="A54" s="1072"/>
      <c r="B54" s="1073"/>
      <c r="C54" s="1073"/>
      <c r="D54" s="1073"/>
      <c r="E54" s="1073"/>
      <c r="F54" s="1073"/>
    </row>
    <row r="55" spans="1:6" s="300" customFormat="1" ht="6" customHeight="1" x14ac:dyDescent="0.2">
      <c r="A55" s="1074"/>
    </row>
    <row r="56" spans="1:6" s="1076" customFormat="1" ht="23.25" customHeight="1" x14ac:dyDescent="0.2">
      <c r="A56" s="1075">
        <v>5</v>
      </c>
      <c r="B56" s="2769" t="s">
        <v>1573</v>
      </c>
      <c r="C56" s="2769"/>
      <c r="D56" s="2769"/>
      <c r="E56" s="1168"/>
    </row>
    <row r="57" spans="1:6" s="1076" customFormat="1" ht="3.75" customHeight="1" x14ac:dyDescent="0.2">
      <c r="A57" s="1075"/>
      <c r="B57" s="1474"/>
      <c r="C57" s="1474"/>
      <c r="D57" s="1474"/>
      <c r="E57" s="1168"/>
    </row>
    <row r="58" spans="1:6" s="1076" customFormat="1" ht="20.25" customHeight="1" x14ac:dyDescent="0.2">
      <c r="A58" s="1077">
        <v>6</v>
      </c>
      <c r="B58" s="2764" t="s">
        <v>1534</v>
      </c>
      <c r="C58" s="2764"/>
      <c r="D58" s="2764"/>
    </row>
    <row r="59" spans="1:6" ht="14.25" customHeight="1" x14ac:dyDescent="0.2">
      <c r="A59" s="1077"/>
      <c r="B59" s="2764"/>
      <c r="C59" s="2764"/>
      <c r="D59" s="276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8:D58"/>
    <mergeCell ref="B59:D59"/>
    <mergeCell ref="D27:F27"/>
    <mergeCell ref="D28:F28"/>
    <mergeCell ref="D29:F29"/>
    <mergeCell ref="A32:F32"/>
    <mergeCell ref="E34:F34"/>
    <mergeCell ref="B56:D56"/>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87" t="str">
        <f>'Single Audit Cover'!A7</f>
        <v xml:space="preserve">   Bi-County Special Educ Coop</v>
      </c>
      <c r="C1" s="2788"/>
      <c r="D1" s="2788"/>
      <c r="E1" s="2788"/>
      <c r="F1" s="2788"/>
      <c r="G1" s="2788"/>
      <c r="H1" s="2788"/>
      <c r="I1" s="2788"/>
      <c r="J1" s="1178"/>
    </row>
    <row r="2" spans="2:10" s="295" customFormat="1" ht="12.75" customHeight="1" x14ac:dyDescent="0.2">
      <c r="B2" s="2789">
        <f>'Single Audit Cover'!E7</f>
        <v>47098000061</v>
      </c>
      <c r="C2" s="2790"/>
      <c r="D2" s="2790"/>
      <c r="E2" s="2790"/>
      <c r="F2" s="2790"/>
      <c r="G2" s="2790"/>
      <c r="H2" s="2790"/>
      <c r="I2" s="2790"/>
      <c r="J2" s="1178"/>
    </row>
    <row r="3" spans="2:10" s="295" customFormat="1" ht="12.75" customHeight="1" x14ac:dyDescent="0.2">
      <c r="B3" s="2791" t="s">
        <v>1274</v>
      </c>
      <c r="C3" s="2792"/>
      <c r="D3" s="2792"/>
      <c r="E3" s="2792"/>
      <c r="F3" s="2792"/>
      <c r="G3" s="2792"/>
      <c r="H3" s="2792"/>
      <c r="I3" s="2792"/>
      <c r="J3" s="1179"/>
    </row>
    <row r="4" spans="2:10" s="295" customFormat="1" ht="12.75" customHeight="1" x14ac:dyDescent="0.2">
      <c r="B4" s="2791" t="str">
        <f>'Single Audit Cover'!A4</f>
        <v>Year Ending June 30, 2020</v>
      </c>
      <c r="C4" s="2792"/>
      <c r="D4" s="2792"/>
      <c r="E4" s="2792"/>
      <c r="F4" s="2792"/>
      <c r="G4" s="2792"/>
      <c r="H4" s="2792"/>
      <c r="I4" s="27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91" t="s">
        <v>1273</v>
      </c>
      <c r="C7" s="2792"/>
      <c r="D7" s="2792"/>
      <c r="E7" s="2792"/>
      <c r="F7" s="2792"/>
      <c r="G7" s="2792"/>
      <c r="H7" s="2792"/>
      <c r="I7" s="27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93" t="s">
        <v>1154</v>
      </c>
      <c r="D11" s="27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2067</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2067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2067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94" t="s">
        <v>2181</v>
      </c>
      <c r="E29" s="2794"/>
      <c r="F29" s="2794"/>
      <c r="G29" s="2794"/>
      <c r="H29" s="2794"/>
      <c r="I29" s="279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2067</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795" t="s">
        <v>1725</v>
      </c>
      <c r="D37" s="2796"/>
      <c r="E37" s="2796"/>
      <c r="F37" s="2797"/>
      <c r="G37" s="2795" t="s">
        <v>1575</v>
      </c>
      <c r="H37" s="2796"/>
      <c r="I37" s="2797"/>
    </row>
    <row r="38" spans="2:9" ht="16.5" customHeight="1" x14ac:dyDescent="0.2">
      <c r="B38" s="1200">
        <v>84.027000000000001</v>
      </c>
      <c r="C38" s="2783" t="s">
        <v>2180</v>
      </c>
      <c r="D38" s="2784"/>
      <c r="E38" s="2784"/>
      <c r="F38" s="2785"/>
      <c r="G38" s="2798">
        <v>2836559</v>
      </c>
      <c r="H38" s="2799"/>
      <c r="I38" s="2800"/>
    </row>
    <row r="39" spans="2:9" ht="16.5" customHeight="1" x14ac:dyDescent="0.2">
      <c r="B39" s="1200"/>
      <c r="C39" s="2783"/>
      <c r="D39" s="2784"/>
      <c r="E39" s="2784"/>
      <c r="F39" s="2785"/>
      <c r="G39" s="2786"/>
      <c r="H39" s="2786"/>
      <c r="I39" s="2786"/>
    </row>
    <row r="40" spans="2:9" ht="16.5" customHeight="1" x14ac:dyDescent="0.2">
      <c r="B40" s="1200"/>
      <c r="C40" s="2783"/>
      <c r="D40" s="2784"/>
      <c r="E40" s="2784"/>
      <c r="F40" s="2785"/>
      <c r="G40" s="2786"/>
      <c r="H40" s="2786"/>
      <c r="I40" s="2786"/>
    </row>
    <row r="41" spans="2:9" ht="16.5" customHeight="1" x14ac:dyDescent="0.2">
      <c r="B41" s="1200"/>
      <c r="C41" s="2783"/>
      <c r="D41" s="2784"/>
      <c r="E41" s="2784"/>
      <c r="F41" s="2785"/>
      <c r="G41" s="2786"/>
      <c r="H41" s="2786"/>
      <c r="I41" s="2786"/>
    </row>
    <row r="42" spans="2:9" ht="16.5" customHeight="1" x14ac:dyDescent="0.2">
      <c r="B42" s="1200"/>
      <c r="C42" s="2783"/>
      <c r="D42" s="2784"/>
      <c r="E42" s="2784"/>
      <c r="F42" s="2785"/>
      <c r="G42" s="2786"/>
      <c r="H42" s="2786"/>
      <c r="I42" s="2786"/>
    </row>
    <row r="43" spans="2:9" ht="16.5" customHeight="1" x14ac:dyDescent="0.2">
      <c r="B43" s="1200"/>
      <c r="C43" s="2776" t="s">
        <v>1576</v>
      </c>
      <c r="D43" s="2777"/>
      <c r="E43" s="2777"/>
      <c r="F43" s="2778"/>
      <c r="G43" s="2779">
        <f>SUM(G38:I42)</f>
        <v>2836559</v>
      </c>
      <c r="H43" s="2779"/>
      <c r="I43" s="2779"/>
    </row>
    <row r="44" spans="2:9" ht="12.75" customHeight="1" x14ac:dyDescent="0.2"/>
    <row r="45" spans="2:9" ht="12.75" customHeight="1" x14ac:dyDescent="0.2">
      <c r="B45" s="1917" t="str">
        <f>"Total Federal Expenditures for 7/1/"&amp;MID('AFR20'!E2,3,2)-1&amp;"-6/30/"&amp;MID('AFR20'!E2,3,2)</f>
        <v>Total Federal Expenditures for 7/1/19-6/30/20</v>
      </c>
      <c r="C45" s="1918"/>
      <c r="D45" s="2780">
        <v>2918690</v>
      </c>
      <c r="E45" s="2781"/>
    </row>
    <row r="46" spans="2:9" ht="5.25" customHeight="1" x14ac:dyDescent="0.2">
      <c r="B46" s="1201"/>
      <c r="D46" s="1202"/>
      <c r="E46" s="1203"/>
    </row>
    <row r="47" spans="2:9" ht="12.75" customHeight="1" x14ac:dyDescent="0.2">
      <c r="B47" s="1076" t="s">
        <v>1577</v>
      </c>
      <c r="C47" s="1076"/>
      <c r="D47" s="1204">
        <f>+G43/D45</f>
        <v>0.97186032089738894</v>
      </c>
      <c r="E47" s="1205"/>
      <c r="F47" s="1206"/>
      <c r="I47" s="1207"/>
    </row>
    <row r="48" spans="2:9" ht="9.9499999999999993" customHeight="1" x14ac:dyDescent="0.2"/>
    <row r="49" spans="1:9" x14ac:dyDescent="0.2">
      <c r="B49" s="1138" t="s">
        <v>1262</v>
      </c>
      <c r="C49" s="1058"/>
      <c r="D49" s="1058"/>
      <c r="E49" s="2782">
        <v>750000</v>
      </c>
      <c r="F49" s="2782"/>
      <c r="G49" s="2782"/>
      <c r="H49" s="300"/>
    </row>
    <row r="51" spans="1:9" ht="13.5" customHeight="1" x14ac:dyDescent="0.2">
      <c r="B51" s="1138" t="s">
        <v>1261</v>
      </c>
      <c r="C51" s="1058"/>
      <c r="E51" s="1194"/>
      <c r="F51" s="1076" t="s">
        <v>879</v>
      </c>
      <c r="G51" s="1194" t="s">
        <v>2067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7" t="str">
        <f>'Single Audit Cover'!A7</f>
        <v xml:space="preserve">   Bi-County Special Educ Coop</v>
      </c>
      <c r="C1" s="2787"/>
      <c r="D1" s="2787"/>
      <c r="E1" s="2787"/>
      <c r="F1" s="2787"/>
      <c r="G1" s="2787"/>
      <c r="H1" s="2787"/>
      <c r="I1" s="2787"/>
      <c r="J1" s="2787"/>
      <c r="K1" s="2787"/>
      <c r="L1" s="1144"/>
      <c r="M1" s="1144"/>
    </row>
    <row r="2" spans="1:13" ht="12" customHeight="1" x14ac:dyDescent="0.2">
      <c r="B2" s="2789">
        <f>'Single Audit Cover'!E7</f>
        <v>47098000061</v>
      </c>
      <c r="C2" s="2789"/>
      <c r="D2" s="2789"/>
      <c r="E2" s="2789"/>
      <c r="F2" s="2789"/>
      <c r="G2" s="2789"/>
      <c r="H2" s="2789"/>
      <c r="I2" s="2789"/>
      <c r="J2" s="2789"/>
      <c r="K2" s="2789"/>
      <c r="L2" s="1145"/>
      <c r="M2" s="1146"/>
    </row>
    <row r="3" spans="1:13" ht="10.35" customHeight="1" x14ac:dyDescent="0.2">
      <c r="B3" s="2803" t="s">
        <v>1274</v>
      </c>
      <c r="C3" s="2803"/>
      <c r="D3" s="2803"/>
      <c r="E3" s="2803"/>
      <c r="F3" s="2803"/>
      <c r="G3" s="2803"/>
      <c r="H3" s="2803"/>
      <c r="I3" s="2803"/>
      <c r="J3" s="2803"/>
      <c r="K3" s="2803"/>
      <c r="L3" s="1147"/>
      <c r="M3" s="1147"/>
    </row>
    <row r="4" spans="1:13" ht="14.25" customHeight="1" x14ac:dyDescent="0.2">
      <c r="B4" s="2804" t="str">
        <f>'Single Audit Cover'!A4</f>
        <v>Year Ending June 30, 2020</v>
      </c>
      <c r="C4" s="2804"/>
      <c r="D4" s="2804"/>
      <c r="E4" s="2804"/>
      <c r="F4" s="2804"/>
      <c r="G4" s="2804"/>
      <c r="H4" s="2804"/>
      <c r="I4" s="2804"/>
      <c r="J4" s="2804"/>
      <c r="K4" s="280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804" t="s">
        <v>1285</v>
      </c>
      <c r="C7" s="2804"/>
      <c r="D7" s="2805"/>
      <c r="E7" s="2805"/>
      <c r="F7" s="2805"/>
      <c r="G7" s="2805"/>
      <c r="H7" s="2805"/>
      <c r="I7" s="2805"/>
      <c r="J7" s="2805"/>
      <c r="K7" s="280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802"/>
      <c r="C14" s="2802"/>
      <c r="D14" s="2802"/>
      <c r="E14" s="2802"/>
      <c r="F14" s="2802"/>
      <c r="G14" s="2802"/>
      <c r="H14" s="2802"/>
      <c r="I14" s="2802"/>
      <c r="J14" s="2802"/>
      <c r="K14" s="280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802"/>
      <c r="C17" s="2802"/>
      <c r="D17" s="2802"/>
      <c r="E17" s="2802"/>
      <c r="F17" s="2802"/>
      <c r="G17" s="2802"/>
      <c r="H17" s="2802"/>
      <c r="I17" s="2802"/>
      <c r="J17" s="2802"/>
      <c r="K17" s="280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806"/>
      <c r="C20" s="2806"/>
      <c r="D20" s="2802"/>
      <c r="E20" s="2802"/>
      <c r="F20" s="2802"/>
      <c r="G20" s="2802"/>
      <c r="H20" s="2802"/>
      <c r="I20" s="2802"/>
      <c r="J20" s="2802"/>
      <c r="K20" s="280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802"/>
      <c r="C23" s="2802"/>
      <c r="D23" s="2802"/>
      <c r="E23" s="2802"/>
      <c r="F23" s="2802"/>
      <c r="G23" s="2802"/>
      <c r="H23" s="2802"/>
      <c r="I23" s="2802"/>
      <c r="J23" s="2802"/>
      <c r="K23" s="280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802"/>
      <c r="C26" s="2802"/>
      <c r="D26" s="2802"/>
      <c r="E26" s="2802"/>
      <c r="F26" s="2802"/>
      <c r="G26" s="2802"/>
      <c r="H26" s="2802"/>
      <c r="I26" s="2802"/>
      <c r="J26" s="2802"/>
      <c r="K26" s="280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801"/>
      <c r="C29" s="2801"/>
      <c r="D29" s="2802"/>
      <c r="E29" s="2802"/>
      <c r="F29" s="2802"/>
      <c r="G29" s="2802"/>
      <c r="H29" s="2802"/>
      <c r="I29" s="2802"/>
      <c r="J29" s="2802"/>
      <c r="K29" s="280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801"/>
      <c r="C32" s="2801"/>
      <c r="D32" s="2802"/>
      <c r="E32" s="2802"/>
      <c r="F32" s="2802"/>
      <c r="G32" s="2802"/>
      <c r="H32" s="2802"/>
      <c r="I32" s="2802"/>
      <c r="J32" s="2802"/>
      <c r="K32" s="280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10" t="str">
        <f>'Single Audit Cover'!A7</f>
        <v xml:space="preserve">   Bi-County Special Educ Coop</v>
      </c>
      <c r="C1" s="2810"/>
      <c r="D1" s="2810"/>
      <c r="E1" s="2810"/>
      <c r="F1" s="2810"/>
      <c r="G1" s="2810"/>
      <c r="H1" s="2810"/>
      <c r="I1" s="2810"/>
      <c r="J1" s="2810"/>
      <c r="K1" s="2810"/>
      <c r="L1" s="1221"/>
    </row>
    <row r="2" spans="1:12" ht="12.75" customHeight="1" x14ac:dyDescent="0.2">
      <c r="B2" s="2811">
        <f>'Single Audit Cover'!E7</f>
        <v>47098000061</v>
      </c>
      <c r="C2" s="2811"/>
      <c r="D2" s="2811"/>
      <c r="E2" s="2811"/>
      <c r="F2" s="2811"/>
      <c r="G2" s="2811"/>
      <c r="H2" s="2811"/>
      <c r="I2" s="2811"/>
      <c r="J2" s="2811"/>
      <c r="K2" s="2811"/>
      <c r="L2" s="1222"/>
    </row>
    <row r="3" spans="1:12" ht="12.75" customHeight="1" x14ac:dyDescent="0.2">
      <c r="B3" s="2803" t="s">
        <v>1274</v>
      </c>
      <c r="C3" s="2803"/>
      <c r="D3" s="2803"/>
      <c r="E3" s="2803"/>
      <c r="F3" s="2803"/>
      <c r="G3" s="2803"/>
      <c r="H3" s="2803"/>
      <c r="I3" s="2803"/>
      <c r="J3" s="2803"/>
      <c r="K3" s="2803"/>
      <c r="L3" s="1147"/>
    </row>
    <row r="4" spans="1:12" ht="12.75" customHeight="1" x14ac:dyDescent="0.2">
      <c r="B4" s="2803" t="str">
        <f>'Single Audit Cover'!A4</f>
        <v>Year Ending June 30, 2020</v>
      </c>
      <c r="C4" s="2803"/>
      <c r="D4" s="2803"/>
      <c r="E4" s="2803"/>
      <c r="F4" s="2803"/>
      <c r="G4" s="2803"/>
      <c r="H4" s="2803"/>
      <c r="I4" s="2803"/>
      <c r="J4" s="2803"/>
      <c r="K4" s="2803"/>
      <c r="L4" s="1147"/>
    </row>
    <row r="5" spans="1:12" ht="5.25" customHeight="1" x14ac:dyDescent="0.2">
      <c r="B5" s="1036" t="s">
        <v>1159</v>
      </c>
      <c r="C5" s="1036"/>
      <c r="L5" s="300"/>
    </row>
    <row r="6" spans="1:12" ht="30.75" customHeight="1" x14ac:dyDescent="0.2">
      <c r="A6" s="300"/>
      <c r="B6" s="2812" t="s">
        <v>1297</v>
      </c>
      <c r="C6" s="2812"/>
      <c r="D6" s="2812"/>
      <c r="E6" s="2812"/>
      <c r="F6" s="2812"/>
      <c r="G6" s="2812"/>
      <c r="H6" s="2812"/>
      <c r="I6" s="2812"/>
      <c r="J6" s="2812"/>
      <c r="K6" s="2812"/>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94"/>
      <c r="G12" s="2794"/>
      <c r="H12" s="2794"/>
      <c r="I12" s="2794"/>
      <c r="J12" s="2794"/>
      <c r="K12" s="27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807"/>
      <c r="E14" s="2807"/>
      <c r="F14" s="2807"/>
      <c r="H14" s="1230" t="s">
        <v>1292</v>
      </c>
      <c r="I14" s="2808"/>
      <c r="J14" s="2808"/>
      <c r="K14" s="280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808"/>
      <c r="E16" s="2808"/>
      <c r="F16" s="2808"/>
      <c r="G16" s="2808"/>
      <c r="H16" s="2808"/>
      <c r="I16" s="2808"/>
      <c r="J16" s="2808"/>
      <c r="K16" s="2808"/>
      <c r="L16" s="300"/>
    </row>
    <row r="17" spans="2:12" ht="13.5" customHeight="1" x14ac:dyDescent="0.2">
      <c r="B17" s="1156" t="s">
        <v>1290</v>
      </c>
      <c r="C17" s="1156"/>
      <c r="D17" s="2809"/>
      <c r="E17" s="2809"/>
      <c r="F17" s="2809"/>
      <c r="G17" s="2809"/>
      <c r="H17" s="2809"/>
      <c r="I17" s="2809"/>
      <c r="J17" s="2809"/>
      <c r="K17" s="280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802"/>
      <c r="C20" s="2802"/>
      <c r="D20" s="2802"/>
      <c r="E20" s="2802"/>
      <c r="F20" s="2802"/>
      <c r="G20" s="2802"/>
      <c r="H20" s="2802"/>
      <c r="I20" s="2802"/>
      <c r="J20" s="2802"/>
      <c r="K20" s="280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802"/>
      <c r="C23" s="2802"/>
      <c r="D23" s="2802"/>
      <c r="E23" s="2802"/>
      <c r="F23" s="2802"/>
      <c r="G23" s="2802"/>
      <c r="H23" s="2802"/>
      <c r="I23" s="2802"/>
      <c r="J23" s="2802"/>
      <c r="K23" s="280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802"/>
      <c r="C26" s="2802"/>
      <c r="D26" s="2802"/>
      <c r="E26" s="2802"/>
      <c r="F26" s="2802"/>
      <c r="G26" s="2802"/>
      <c r="H26" s="2802"/>
      <c r="I26" s="2802"/>
      <c r="J26" s="2802"/>
      <c r="K26" s="280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802"/>
      <c r="C29" s="2802"/>
      <c r="D29" s="2802"/>
      <c r="E29" s="2802"/>
      <c r="F29" s="2802"/>
      <c r="G29" s="2802"/>
      <c r="H29" s="2802"/>
      <c r="I29" s="2802"/>
      <c r="J29" s="2802"/>
      <c r="K29" s="280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802"/>
      <c r="C32" s="2802"/>
      <c r="D32" s="2802"/>
      <c r="E32" s="2802"/>
      <c r="F32" s="2802"/>
      <c r="G32" s="2802"/>
      <c r="H32" s="2802"/>
      <c r="I32" s="2802"/>
      <c r="J32" s="2802"/>
      <c r="K32" s="280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802"/>
      <c r="C35" s="2802"/>
      <c r="D35" s="2802"/>
      <c r="E35" s="2802"/>
      <c r="F35" s="2802"/>
      <c r="G35" s="2802"/>
      <c r="H35" s="2802"/>
      <c r="I35" s="2802"/>
      <c r="J35" s="2802"/>
      <c r="K35" s="280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802"/>
      <c r="C38" s="2802"/>
      <c r="D38" s="2802"/>
      <c r="E38" s="2802"/>
      <c r="F38" s="2802"/>
      <c r="G38" s="2802"/>
      <c r="H38" s="2802"/>
      <c r="I38" s="2802"/>
      <c r="J38" s="2802"/>
      <c r="K38" s="280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802"/>
      <c r="C41" s="2802"/>
      <c r="D41" s="2802"/>
      <c r="E41" s="2802"/>
      <c r="F41" s="2802"/>
      <c r="G41" s="2802"/>
      <c r="H41" s="2802"/>
      <c r="I41" s="2802"/>
      <c r="J41" s="2802"/>
      <c r="K41" s="280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5ED78-74C3-4313-AD41-0646E0F3590C}">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7" t="str">
        <f>'Single Audit Cover'!A7</f>
        <v xml:space="preserve">   Bi-County Special Educ Coop</v>
      </c>
      <c r="C1" s="2787"/>
      <c r="D1" s="2787"/>
      <c r="E1" s="2787"/>
      <c r="F1" s="2787"/>
      <c r="G1" s="2787"/>
      <c r="H1" s="2787"/>
      <c r="I1" s="2787"/>
      <c r="J1" s="2787"/>
      <c r="K1" s="2787"/>
      <c r="L1" s="1144"/>
      <c r="M1" s="1144"/>
    </row>
    <row r="2" spans="1:13" ht="12" customHeight="1" x14ac:dyDescent="0.2">
      <c r="B2" s="2789">
        <f>'Single Audit Cover'!E7</f>
        <v>47098000061</v>
      </c>
      <c r="C2" s="2789"/>
      <c r="D2" s="2789"/>
      <c r="E2" s="2789"/>
      <c r="F2" s="2789"/>
      <c r="G2" s="2789"/>
      <c r="H2" s="2789"/>
      <c r="I2" s="2789"/>
      <c r="J2" s="2789"/>
      <c r="K2" s="2789"/>
      <c r="L2" s="1145"/>
      <c r="M2" s="1146"/>
    </row>
    <row r="3" spans="1:13" ht="10.35" customHeight="1" x14ac:dyDescent="0.2">
      <c r="B3" s="2803" t="s">
        <v>1274</v>
      </c>
      <c r="C3" s="2803"/>
      <c r="D3" s="2803"/>
      <c r="E3" s="2803"/>
      <c r="F3" s="2803"/>
      <c r="G3" s="2803"/>
      <c r="H3" s="2803"/>
      <c r="I3" s="2803"/>
      <c r="J3" s="2803"/>
      <c r="K3" s="2803"/>
      <c r="L3" s="2225"/>
      <c r="M3" s="2225"/>
    </row>
    <row r="4" spans="1:13" ht="14.25" customHeight="1" x14ac:dyDescent="0.2">
      <c r="B4" s="2804" t="str">
        <f>'Single Audit Cover'!A4</f>
        <v>Year Ending June 30, 2020</v>
      </c>
      <c r="C4" s="2804"/>
      <c r="D4" s="2804"/>
      <c r="E4" s="2804"/>
      <c r="F4" s="2804"/>
      <c r="G4" s="2804"/>
      <c r="H4" s="2804"/>
      <c r="I4" s="2804"/>
      <c r="J4" s="2804"/>
      <c r="K4" s="280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804" t="s">
        <v>1285</v>
      </c>
      <c r="C7" s="2804"/>
      <c r="D7" s="2805"/>
      <c r="E7" s="2805"/>
      <c r="F7" s="2805"/>
      <c r="G7" s="2805"/>
      <c r="H7" s="2805"/>
      <c r="I7" s="2805"/>
      <c r="J7" s="2805"/>
      <c r="K7" s="280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2047</v>
      </c>
      <c r="J10" s="1159" t="s">
        <v>1282</v>
      </c>
      <c r="K10" s="300"/>
      <c r="L10" s="1151"/>
    </row>
    <row r="11" spans="1:13" ht="13.5" customHeight="1" x14ac:dyDescent="0.2">
      <c r="B11" s="300"/>
      <c r="C11" s="300"/>
      <c r="D11" s="300"/>
      <c r="E11" s="300"/>
      <c r="F11" s="300"/>
      <c r="G11" s="1153"/>
      <c r="H11" s="300"/>
      <c r="I11" s="1160" t="s">
        <v>1281</v>
      </c>
      <c r="J11" s="300"/>
      <c r="K11" s="1161">
        <v>1990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802" t="s">
        <v>2085</v>
      </c>
      <c r="C14" s="2802"/>
      <c r="D14" s="2802"/>
      <c r="E14" s="2802"/>
      <c r="F14" s="2802"/>
      <c r="G14" s="2802"/>
      <c r="H14" s="2802"/>
      <c r="I14" s="2802"/>
      <c r="J14" s="2802"/>
      <c r="K14" s="280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802" t="s">
        <v>2086</v>
      </c>
      <c r="C17" s="2802"/>
      <c r="D17" s="2802"/>
      <c r="E17" s="2802"/>
      <c r="F17" s="2802"/>
      <c r="G17" s="2802"/>
      <c r="H17" s="2802"/>
      <c r="I17" s="2802"/>
      <c r="J17" s="2802"/>
      <c r="K17" s="280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806" t="s">
        <v>2087</v>
      </c>
      <c r="C20" s="2806"/>
      <c r="D20" s="2802"/>
      <c r="E20" s="2802"/>
      <c r="F20" s="2802"/>
      <c r="G20" s="2802"/>
      <c r="H20" s="2802"/>
      <c r="I20" s="2802"/>
      <c r="J20" s="2802"/>
      <c r="K20" s="280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802" t="s">
        <v>2088</v>
      </c>
      <c r="C23" s="2802"/>
      <c r="D23" s="2802"/>
      <c r="E23" s="2802"/>
      <c r="F23" s="2802"/>
      <c r="G23" s="2802"/>
      <c r="H23" s="2802"/>
      <c r="I23" s="2802"/>
      <c r="J23" s="2802"/>
      <c r="K23" s="280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802" t="s">
        <v>2089</v>
      </c>
      <c r="C26" s="2802"/>
      <c r="D26" s="2802"/>
      <c r="E26" s="2802"/>
      <c r="F26" s="2802"/>
      <c r="G26" s="2802"/>
      <c r="H26" s="2802"/>
      <c r="I26" s="2802"/>
      <c r="J26" s="2802"/>
      <c r="K26" s="280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801" t="s">
        <v>2090</v>
      </c>
      <c r="C29" s="2801"/>
      <c r="D29" s="2802"/>
      <c r="E29" s="2802"/>
      <c r="F29" s="2802"/>
      <c r="G29" s="2802"/>
      <c r="H29" s="2802"/>
      <c r="I29" s="2802"/>
      <c r="J29" s="2802"/>
      <c r="K29" s="280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801" t="s">
        <v>2091</v>
      </c>
      <c r="C32" s="2801"/>
      <c r="D32" s="2802"/>
      <c r="E32" s="2802"/>
      <c r="F32" s="2802"/>
      <c r="G32" s="2802"/>
      <c r="H32" s="2802"/>
      <c r="I32" s="2802"/>
      <c r="J32" s="2802"/>
      <c r="K32" s="280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7.5703125" style="295" customWidth="1"/>
    <col min="4" max="4" width="31.57031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87" t="str">
        <f>'Single Audit Cover'!A7</f>
        <v xml:space="preserve">   Bi-County Special Educ Coop</v>
      </c>
      <c r="C1" s="2787"/>
      <c r="D1" s="2787"/>
      <c r="E1" s="1240"/>
    </row>
    <row r="2" spans="2:5" s="1058" customFormat="1" ht="12.75" customHeight="1" x14ac:dyDescent="0.2">
      <c r="B2" s="2789">
        <f>'Single Audit Cover'!E7</f>
        <v>47098000061</v>
      </c>
      <c r="C2" s="2789"/>
      <c r="D2" s="2789"/>
      <c r="E2" s="1241"/>
    </row>
    <row r="3" spans="2:5" ht="12.75" customHeight="1" x14ac:dyDescent="0.2">
      <c r="B3" s="2803" t="s">
        <v>1740</v>
      </c>
      <c r="C3" s="2803"/>
      <c r="D3" s="2803"/>
      <c r="E3" s="1050"/>
    </row>
    <row r="4" spans="2:5" s="1058" customFormat="1" ht="12.75" customHeight="1" x14ac:dyDescent="0.2">
      <c r="B4" s="2813" t="str">
        <f>'Single Audit Cover'!A4</f>
        <v>Year Ending June 30, 2020</v>
      </c>
      <c r="C4" s="2813"/>
      <c r="D4" s="2813"/>
      <c r="E4" s="1242"/>
    </row>
    <row r="5" spans="2:5" s="1058" customFormat="1" ht="40.15" customHeight="1" x14ac:dyDescent="0.2">
      <c r="B5" s="1243"/>
      <c r="C5" s="306"/>
      <c r="D5" s="306"/>
      <c r="E5" s="306"/>
    </row>
    <row r="6" spans="2:5" s="1058" customFormat="1" ht="13.5" customHeight="1" x14ac:dyDescent="0.2">
      <c r="B6" s="2201" t="s">
        <v>1304</v>
      </c>
      <c r="C6" s="2201" t="s">
        <v>1303</v>
      </c>
      <c r="D6" s="2201" t="s">
        <v>1741</v>
      </c>
    </row>
    <row r="7" spans="2:5" ht="13.5" customHeight="1" x14ac:dyDescent="0.2">
      <c r="B7" s="1244" t="s">
        <v>2056</v>
      </c>
      <c r="C7" s="302" t="s">
        <v>2057</v>
      </c>
      <c r="D7" s="302" t="s">
        <v>2058</v>
      </c>
      <c r="E7" s="302"/>
    </row>
    <row r="8" spans="2:5" ht="13.5" customHeight="1" x14ac:dyDescent="0.2">
      <c r="B8" s="1244" t="s">
        <v>2188</v>
      </c>
      <c r="C8" s="302" t="s">
        <v>2203</v>
      </c>
      <c r="D8" s="302" t="s">
        <v>2204</v>
      </c>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1742</v>
      </c>
    </row>
    <row r="46" spans="2:5" ht="12.2" customHeight="1" x14ac:dyDescent="0.2">
      <c r="B46" s="1253" t="s">
        <v>1743</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6FC06-C4CC-494D-A099-6865ED14577C}">
  <dimension ref="B1:L70"/>
  <sheetViews>
    <sheetView showGridLines="0" zoomScale="110" zoomScaleNormal="110" zoomScaleSheetLayoutView="100" workbookViewId="0"/>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815" t="s">
        <v>2061</v>
      </c>
      <c r="C1" s="2815"/>
      <c r="D1" s="2815"/>
      <c r="E1" s="2815"/>
      <c r="F1" s="2035"/>
      <c r="G1" s="2035"/>
      <c r="H1" s="2035"/>
      <c r="I1" s="2035"/>
      <c r="J1" s="2035"/>
      <c r="K1" s="2035"/>
      <c r="L1" s="2035"/>
    </row>
    <row r="2" spans="2:12" ht="13.5" customHeight="1" x14ac:dyDescent="0.2">
      <c r="B2" s="2816" t="s">
        <v>2059</v>
      </c>
      <c r="C2" s="2816"/>
      <c r="D2" s="2816"/>
      <c r="E2" s="2816"/>
      <c r="F2" s="2037"/>
      <c r="G2" s="2037"/>
      <c r="H2" s="2037"/>
      <c r="I2" s="2037"/>
      <c r="J2" s="2037"/>
      <c r="K2" s="2037"/>
      <c r="L2" s="2037"/>
    </row>
    <row r="3" spans="2:12" ht="13.5" customHeight="1" x14ac:dyDescent="0.2">
      <c r="B3" s="2817" t="s">
        <v>2070</v>
      </c>
      <c r="C3" s="2817"/>
      <c r="D3" s="2817"/>
      <c r="E3" s="2817"/>
      <c r="F3" s="2038"/>
      <c r="G3" s="2038"/>
      <c r="H3" s="2038"/>
      <c r="I3" s="2038"/>
      <c r="J3" s="2038"/>
      <c r="K3" s="2038"/>
      <c r="L3" s="2038"/>
    </row>
    <row r="4" spans="2:12" ht="13.5" customHeight="1" x14ac:dyDescent="0.2">
      <c r="B4" s="2818" t="s">
        <v>2084</v>
      </c>
      <c r="C4" s="2818"/>
      <c r="D4" s="2818"/>
      <c r="E4" s="2818"/>
      <c r="F4" s="2039"/>
      <c r="G4" s="2039"/>
      <c r="H4" s="2039"/>
      <c r="I4" s="2039"/>
      <c r="J4" s="2039"/>
      <c r="K4" s="2039"/>
      <c r="L4" s="2039"/>
    </row>
    <row r="5" spans="2:12" ht="29.85" customHeight="1" x14ac:dyDescent="0.2"/>
    <row r="6" spans="2:12" ht="13.5" customHeight="1" x14ac:dyDescent="0.2">
      <c r="B6" s="2040" t="s">
        <v>2071</v>
      </c>
      <c r="C6" s="2040"/>
      <c r="D6" s="2041"/>
      <c r="E6" s="2042"/>
      <c r="F6" s="2042"/>
      <c r="G6" s="2043"/>
      <c r="H6" s="2043"/>
      <c r="I6" s="2043"/>
    </row>
    <row r="7" spans="2:12" ht="13.5" customHeight="1" x14ac:dyDescent="0.2">
      <c r="B7" s="2036" t="s">
        <v>1159</v>
      </c>
    </row>
    <row r="8" spans="2:12" ht="13.5" customHeight="1" x14ac:dyDescent="0.2">
      <c r="B8" s="2044" t="s">
        <v>2072</v>
      </c>
      <c r="C8" s="2045" t="s">
        <v>2083</v>
      </c>
      <c r="D8" s="2046">
        <v>1</v>
      </c>
    </row>
    <row r="9" spans="2:12" ht="13.5" customHeight="1" x14ac:dyDescent="0.2">
      <c r="B9" s="2047"/>
      <c r="C9" s="2047"/>
      <c r="D9" s="2047"/>
    </row>
    <row r="10" spans="2:12" ht="13.5" customHeight="1" x14ac:dyDescent="0.2">
      <c r="B10" s="2044" t="s">
        <v>2073</v>
      </c>
      <c r="C10" s="2044"/>
    </row>
    <row r="11" spans="2:12" ht="66.75" customHeight="1" x14ac:dyDescent="0.2">
      <c r="B11" s="2814" t="s">
        <v>2074</v>
      </c>
      <c r="C11" s="2814"/>
      <c r="D11" s="2814"/>
      <c r="E11" s="2814"/>
    </row>
    <row r="12" spans="2:12" ht="13.5" customHeight="1" x14ac:dyDescent="0.2"/>
    <row r="13" spans="2:12" ht="13.5" customHeight="1" x14ac:dyDescent="0.2">
      <c r="B13" s="2044" t="s">
        <v>2075</v>
      </c>
      <c r="C13" s="2044"/>
    </row>
    <row r="14" spans="2:12" ht="76.5" customHeight="1" x14ac:dyDescent="0.2">
      <c r="B14" s="2814" t="s">
        <v>2076</v>
      </c>
      <c r="C14" s="2814"/>
      <c r="D14" s="2814"/>
      <c r="E14" s="2814"/>
    </row>
    <row r="15" spans="2:12" ht="13.5" customHeight="1" x14ac:dyDescent="0.2"/>
    <row r="16" spans="2:12" ht="13.5" customHeight="1" x14ac:dyDescent="0.2">
      <c r="B16" s="2044" t="s">
        <v>2077</v>
      </c>
      <c r="C16" s="2044"/>
      <c r="E16" s="2048">
        <v>44012</v>
      </c>
    </row>
    <row r="17" spans="2:5" ht="13.5" customHeight="1" x14ac:dyDescent="0.2"/>
    <row r="18" spans="2:5" ht="13.5" customHeight="1" x14ac:dyDescent="0.2">
      <c r="B18" s="2044" t="s">
        <v>2078</v>
      </c>
      <c r="C18" s="2044"/>
      <c r="E18" s="2049" t="s">
        <v>2209</v>
      </c>
    </row>
    <row r="19" spans="2:5" ht="13.5" customHeight="1" x14ac:dyDescent="0.2"/>
    <row r="20" spans="2:5" ht="13.5" customHeight="1" x14ac:dyDescent="0.2">
      <c r="B20" s="2044" t="s">
        <v>2079</v>
      </c>
      <c r="C20" s="2044"/>
      <c r="E20" s="2049" t="s">
        <v>2080</v>
      </c>
    </row>
    <row r="21" spans="2:5" ht="13.5" customHeight="1" x14ac:dyDescent="0.2">
      <c r="E21" s="2049" t="s">
        <v>2081</v>
      </c>
    </row>
    <row r="22" spans="2:5" ht="13.5" customHeight="1" x14ac:dyDescent="0.2">
      <c r="E22" s="2049"/>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2082</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78" t="s">
        <v>383</v>
      </c>
      <c r="B1" s="2378"/>
      <c r="C1" s="2378"/>
      <c r="D1" s="2378"/>
      <c r="E1" s="2378"/>
      <c r="F1" s="2378"/>
      <c r="G1" s="2378"/>
      <c r="H1" s="2378"/>
      <c r="I1" s="2378"/>
      <c r="J1" s="2378"/>
      <c r="K1" s="2378"/>
      <c r="L1" s="2378"/>
      <c r="M1" s="237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3">
        <f>ROUND(D10+F10+H10,5)</f>
        <v>0</v>
      </c>
      <c r="K10" s="217"/>
      <c r="L10" s="332"/>
      <c r="M10" s="217"/>
    </row>
    <row r="11" spans="1:14" ht="7.5" customHeight="1" x14ac:dyDescent="0.2">
      <c r="B11" s="217"/>
      <c r="C11" s="217"/>
      <c r="D11" s="2388" t="str">
        <f>IF(SUM(J10)&lt;=0.0999999,"","Enter the Tax Rates by moving the decimal two places to the left.")</f>
        <v/>
      </c>
      <c r="E11" s="2389"/>
      <c r="F11" s="2389"/>
      <c r="G11" s="2389"/>
      <c r="H11" s="2389"/>
      <c r="I11" s="2389"/>
      <c r="J11" s="238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6300952</v>
      </c>
      <c r="E16" s="1546"/>
      <c r="F16" s="1545">
        <f>SUM('Acct Summary 7-8'!C17,'Acct Summary 7-8'!D17,'Acct Summary 7-8'!F17)</f>
        <v>6421807</v>
      </c>
      <c r="G16" s="1546"/>
      <c r="H16" s="1545">
        <f>SUM(D16-F16)</f>
        <v>-120855</v>
      </c>
      <c r="I16" s="1547"/>
      <c r="J16" s="1545">
        <f>SUM('Acct Summary 7-8'!C81,'Acct Summary 7-8'!D81,'Acct Summary 7-8'!F81,'Acct Summary 7-8'!I81)</f>
        <v>4684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79"/>
      <c r="C54" s="2380"/>
      <c r="D54" s="2380"/>
      <c r="E54" s="2380"/>
      <c r="F54" s="2380"/>
      <c r="G54" s="2380"/>
      <c r="H54" s="2380"/>
      <c r="I54" s="2380"/>
      <c r="J54" s="2380"/>
      <c r="K54" s="2380"/>
      <c r="L54" s="2381"/>
      <c r="M54" s="357"/>
    </row>
    <row r="55" spans="1:13" ht="12.75" customHeight="1" x14ac:dyDescent="0.2">
      <c r="B55" s="2382"/>
      <c r="C55" s="2383"/>
      <c r="D55" s="2383"/>
      <c r="E55" s="2383"/>
      <c r="F55" s="2383"/>
      <c r="G55" s="2383"/>
      <c r="H55" s="2383"/>
      <c r="I55" s="2383"/>
      <c r="J55" s="2383"/>
      <c r="K55" s="2383"/>
      <c r="L55" s="2384"/>
      <c r="M55" s="357"/>
    </row>
    <row r="56" spans="1:13" ht="12.75" customHeight="1" x14ac:dyDescent="0.2">
      <c r="B56" s="2382"/>
      <c r="C56" s="2383"/>
      <c r="D56" s="2383"/>
      <c r="E56" s="2383"/>
      <c r="F56" s="2383"/>
      <c r="G56" s="2383"/>
      <c r="H56" s="2383"/>
      <c r="I56" s="2383"/>
      <c r="J56" s="2383"/>
      <c r="K56" s="2383"/>
      <c r="L56" s="2384"/>
      <c r="M56" s="217"/>
    </row>
    <row r="57" spans="1:13" ht="12.75" customHeight="1" x14ac:dyDescent="0.2">
      <c r="B57" s="2382"/>
      <c r="C57" s="2383"/>
      <c r="D57" s="2383"/>
      <c r="E57" s="2383"/>
      <c r="F57" s="2383"/>
      <c r="G57" s="2383"/>
      <c r="H57" s="2383"/>
      <c r="I57" s="2383"/>
      <c r="J57" s="2383"/>
      <c r="K57" s="2383"/>
      <c r="L57" s="2384"/>
      <c r="M57" s="217"/>
    </row>
    <row r="58" spans="1:13" x14ac:dyDescent="0.2">
      <c r="B58" s="2385"/>
      <c r="C58" s="2386"/>
      <c r="D58" s="2386"/>
      <c r="E58" s="2386"/>
      <c r="F58" s="2386"/>
      <c r="G58" s="2386"/>
      <c r="H58" s="2386"/>
      <c r="I58" s="2386"/>
      <c r="J58" s="2386"/>
      <c r="K58" s="2386"/>
      <c r="L58" s="238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90"/>
      <c r="D61" s="239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93"/>
      <c r="B1" s="2394"/>
      <c r="C1" s="2394"/>
      <c r="D1" s="361"/>
      <c r="E1" s="361"/>
      <c r="F1" s="361"/>
      <c r="G1" s="361"/>
      <c r="H1" s="361"/>
      <c r="I1" s="361"/>
      <c r="J1" s="361"/>
      <c r="K1" s="361"/>
      <c r="L1" s="361"/>
      <c r="M1" s="361"/>
      <c r="N1" s="361"/>
      <c r="O1" s="2393"/>
      <c r="P1" s="2394"/>
      <c r="Q1" s="2394"/>
    </row>
    <row r="2" spans="1:18" ht="15" x14ac:dyDescent="0.2">
      <c r="A2" s="2397" t="s">
        <v>552</v>
      </c>
      <c r="B2" s="2397"/>
      <c r="C2" s="2397"/>
      <c r="D2" s="2397"/>
      <c r="E2" s="2397"/>
      <c r="F2" s="2397"/>
      <c r="G2" s="2397"/>
      <c r="H2" s="2397"/>
      <c r="I2" s="2397"/>
      <c r="J2" s="2397"/>
      <c r="K2" s="2397"/>
      <c r="L2" s="2397"/>
      <c r="M2" s="2397"/>
      <c r="N2" s="2397"/>
      <c r="O2" s="2397"/>
      <c r="P2" s="2397"/>
      <c r="Q2" s="2397"/>
      <c r="R2" s="2397"/>
    </row>
    <row r="3" spans="1:18" ht="12.75" x14ac:dyDescent="0.2">
      <c r="A3" s="2398" t="s">
        <v>1396</v>
      </c>
      <c r="B3" s="2398"/>
      <c r="C3" s="2398"/>
      <c r="D3" s="2398"/>
      <c r="E3" s="2398"/>
      <c r="F3" s="2398"/>
      <c r="G3" s="2398"/>
      <c r="H3" s="2398"/>
      <c r="I3" s="2398"/>
      <c r="J3" s="2398"/>
      <c r="K3" s="2398"/>
      <c r="L3" s="2398"/>
      <c r="M3" s="2398"/>
      <c r="N3" s="2398"/>
      <c r="O3" s="2398"/>
      <c r="P3" s="2398"/>
      <c r="Q3" s="2398"/>
      <c r="R3" s="2398"/>
    </row>
    <row r="4" spans="1:18" x14ac:dyDescent="0.2">
      <c r="A4" s="2399" t="s">
        <v>1537</v>
      </c>
      <c r="B4" s="2399"/>
      <c r="C4" s="2399"/>
      <c r="D4" s="2399"/>
      <c r="E4" s="2399"/>
      <c r="F4" s="2399"/>
      <c r="G4" s="2399"/>
      <c r="H4" s="2399"/>
      <c r="I4" s="2399"/>
      <c r="J4" s="2399"/>
      <c r="K4" s="2399"/>
      <c r="L4" s="2399"/>
      <c r="M4" s="2399"/>
      <c r="N4" s="2399"/>
      <c r="O4" s="2399"/>
      <c r="P4" s="2399"/>
      <c r="Q4" s="2399"/>
      <c r="R4" s="239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Bi-County Special Educ Coop</v>
      </c>
      <c r="E7" s="368"/>
      <c r="G7" s="247"/>
      <c r="H7" s="364"/>
      <c r="I7" s="364"/>
      <c r="J7" s="364"/>
      <c r="K7" s="364"/>
      <c r="L7" s="307"/>
      <c r="M7" s="307"/>
      <c r="N7" s="307"/>
      <c r="O7" s="307"/>
      <c r="P7" s="307"/>
    </row>
    <row r="8" spans="1:18" ht="12.75" x14ac:dyDescent="0.2">
      <c r="A8" s="307"/>
      <c r="B8" s="307"/>
      <c r="C8" s="366" t="s">
        <v>1115</v>
      </c>
      <c r="D8" s="369">
        <f>COVER!A13</f>
        <v>47098000061</v>
      </c>
      <c r="E8" s="370"/>
      <c r="G8" s="307"/>
      <c r="H8" s="307"/>
      <c r="I8" s="307"/>
      <c r="J8" s="307"/>
      <c r="K8" s="307"/>
      <c r="L8" s="307"/>
      <c r="M8" s="307"/>
      <c r="N8" s="307"/>
      <c r="O8" s="307"/>
      <c r="P8" s="307"/>
    </row>
    <row r="9" spans="1:18" ht="12.75" x14ac:dyDescent="0.2">
      <c r="A9" s="307"/>
      <c r="B9" s="307"/>
      <c r="C9" s="366" t="s">
        <v>708</v>
      </c>
      <c r="D9" s="371" t="str">
        <f>COVER!A15</f>
        <v>Whiteside/Carroll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2</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4684</v>
      </c>
      <c r="I12" s="380"/>
      <c r="J12" s="380"/>
      <c r="K12" s="1558">
        <f>TRUNC((H12/H13*100000),5)/100000</f>
        <v>7.4337969999999998E-4</v>
      </c>
      <c r="L12" s="381"/>
      <c r="M12" s="337" t="s">
        <v>1134</v>
      </c>
      <c r="N12" s="337"/>
      <c r="O12" s="1561">
        <v>0.35</v>
      </c>
      <c r="P12" s="213"/>
      <c r="Q12" s="213"/>
    </row>
    <row r="13" spans="1:18" s="382" customFormat="1" ht="12.75" x14ac:dyDescent="0.2">
      <c r="A13" s="213"/>
      <c r="B13" s="377"/>
      <c r="C13" s="2395" t="s">
        <v>1313</v>
      </c>
      <c r="D13" s="2396"/>
      <c r="E13" s="213"/>
      <c r="F13" s="383" t="s">
        <v>788</v>
      </c>
      <c r="G13" s="378"/>
      <c r="H13" s="1550">
        <f>SUM('Acct Summary 7-8'!C8+'Acct Summary 7-8'!D8+'Acct Summary 7-8'!F8+'Acct Summary 7-8'!I8)+H14</f>
        <v>6300952</v>
      </c>
      <c r="I13" s="380"/>
      <c r="J13" s="380"/>
      <c r="K13" s="1557"/>
      <c r="L13" s="213"/>
      <c r="M13" s="337" t="s">
        <v>1135</v>
      </c>
      <c r="N13" s="337"/>
      <c r="O13" s="1562">
        <f>(O11*O12)</f>
        <v>0.7</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6421807</v>
      </c>
      <c r="I17" s="380"/>
      <c r="J17" s="389"/>
      <c r="K17" s="1558">
        <f>TRUNC((H17/H18*100000),5)/100000</f>
        <v>1.0191804349</v>
      </c>
      <c r="L17" s="381"/>
      <c r="M17" s="390" t="s">
        <v>1161</v>
      </c>
      <c r="O17" s="1564" t="str">
        <f>IF(AND(O16="2", J20 &gt; 2),"1",IF(AND(O16 = "1", J20 &gt; 2),"2",IF(AND(O16="1", J20 &gt;1),"1","0")))</f>
        <v>0</v>
      </c>
      <c r="P17" s="213"/>
    </row>
    <row r="18" spans="1:18" s="382" customFormat="1" ht="11.25" x14ac:dyDescent="0.2">
      <c r="A18" s="213"/>
      <c r="B18" s="377"/>
      <c r="C18" s="2395" t="s">
        <v>1306</v>
      </c>
      <c r="D18" s="2396"/>
      <c r="E18" s="213"/>
      <c r="F18" s="391" t="s">
        <v>789</v>
      </c>
      <c r="G18" s="378"/>
      <c r="H18" s="1550">
        <f>SUM('Acct Summary 7-8'!C8+'Acct Summary 7-8'!D8+'Acct Summary 7-8'!F8+'Acct Summary 7-8'!I8)+H19</f>
        <v>6300952</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f>IF(K17&lt;=1,"0",TRUNC(((K12-0.1)/(K17-1)*100),5)/100)</f>
        <v>-5.1748889</v>
      </c>
      <c r="K20" s="1558" t="str">
        <f>IF(K17&lt;=1,"0",IF(AND(O16="2", J20 &gt; 2),TRUNC(((K12-0.1)/(K17-1)*100),5)/100,IF(AND(O16 = "1", J20 &gt; 2),TRUNC(((K12-0.1)/(K17-1)*100),5)/100,IF(AND(O16="1", J20 &gt;1),TRUNC(((K12-0.1)/(K17-1)*100),5)/100,""))))</f>
        <v/>
      </c>
      <c r="L20" s="213"/>
      <c r="M20" s="337" t="s">
        <v>1135</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f>IF(K24&gt;=180,"4",IF(K24&gt;=90,"3",IF(K24&gt;=30,"2",1)))</f>
        <v>1</v>
      </c>
      <c r="P23" s="211"/>
      <c r="R23" s="361"/>
    </row>
    <row r="24" spans="1:18" s="382" customFormat="1" ht="11.25" x14ac:dyDescent="0.2">
      <c r="A24" s="213"/>
      <c r="B24" s="377"/>
      <c r="C24" s="2392" t="s">
        <v>1395</v>
      </c>
      <c r="D24" s="2392"/>
      <c r="E24" s="213"/>
      <c r="F24" s="213" t="s">
        <v>442</v>
      </c>
      <c r="G24" s="378"/>
      <c r="H24" s="1550">
        <f>SUM('Assets-Liab 5-6'!C4+'Assets-Liab 5-6'!D4+'Assets-Liab 5-6'!F4+'Assets-Liab 5-6'!I4+'Assets-Liab 5-6'!C5+'Assets-Liab 5-6'!D5+'Assets-Liab 5-6'!F5+'Assets-Liab 5-6'!I5)</f>
        <v>11617</v>
      </c>
      <c r="I24" s="394"/>
      <c r="J24" s="394"/>
      <c r="K24" s="1554">
        <f>TRUNC(((H24/H25*100000)/100000),2)</f>
        <v>0.65</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17838.352780000001</v>
      </c>
      <c r="I25" s="396"/>
      <c r="J25" s="396"/>
      <c r="K25" s="1557"/>
      <c r="L25" s="213"/>
      <c r="M25" s="337" t="s">
        <v>1135</v>
      </c>
      <c r="N25" s="337"/>
      <c r="O25" s="1562">
        <f>O23*O24</f>
        <v>0.1</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e">
        <f>IF(K28&gt;=75,"4",IF(K28&gt;=50,"3",IF(K28&gt;=25,"2",1)))</f>
        <v>#DIV/0!</v>
      </c>
      <c r="P27" s="211"/>
    </row>
    <row r="28" spans="1:18" s="382" customFormat="1" ht="11.25" x14ac:dyDescent="0.2">
      <c r="A28" s="213"/>
      <c r="B28" s="377"/>
      <c r="C28" s="213" t="s">
        <v>1889</v>
      </c>
      <c r="D28" s="213"/>
      <c r="E28" s="213"/>
      <c r="F28" s="213" t="s">
        <v>441</v>
      </c>
      <c r="G28" s="378"/>
      <c r="H28" s="1555">
        <f>SUM('Short-Term Long-Term Debt 24'!F6,'Short-Term Long-Term Debt 24'!F7,'Short-Term Long-Term Debt 24'!F11)</f>
        <v>0</v>
      </c>
      <c r="I28" s="397"/>
      <c r="J28" s="397"/>
      <c r="K28" s="1554" t="e">
        <f>TRUNC(100-((((H28/H29*100))*100)/100),2)</f>
        <v>#DIV/0!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0</v>
      </c>
      <c r="I29" s="397"/>
      <c r="J29" s="397"/>
      <c r="K29" s="1557"/>
      <c r="L29" s="213"/>
      <c r="M29" s="337" t="s">
        <v>1135</v>
      </c>
      <c r="N29" s="337"/>
      <c r="O29" s="1562" t="e">
        <f>O27*O28</f>
        <v>#DIV/0!</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e">
        <f>IF(K32&gt;=75,"4",IF(K32&gt;=50,"3",IF(K32&gt;=25,"2",1)))</f>
        <v>#VALUE!</v>
      </c>
      <c r="P31" s="211"/>
    </row>
    <row r="32" spans="1:18" s="382" customFormat="1" ht="11.25" x14ac:dyDescent="0.2">
      <c r="A32" s="213"/>
      <c r="B32" s="377"/>
      <c r="C32" s="213" t="s">
        <v>842</v>
      </c>
      <c r="D32" s="213"/>
      <c r="E32" s="213"/>
      <c r="F32" s="213"/>
      <c r="G32" s="378"/>
      <c r="H32" s="1550">
        <f>'FP Info 3'!H37</f>
        <v>0</v>
      </c>
      <c r="I32" s="392"/>
      <c r="J32" s="392"/>
      <c r="K32" s="1554" t="e">
        <f>TRUNC(100-((((H32/H33*100))*100)/100),2)</f>
        <v>#VALUE!</v>
      </c>
      <c r="L32" s="381"/>
      <c r="M32" s="337" t="s">
        <v>1134</v>
      </c>
      <c r="N32" s="337"/>
      <c r="O32" s="1567">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7" t="e">
        <f>(O31*O32)</f>
        <v>#VALUE!</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t="e">
        <f>(O13+O20+O25+O29+O33)</f>
        <v>#DIV/0!</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0" sqref="A10:F10"/>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40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40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402" t="s">
        <v>967</v>
      </c>
      <c r="B3" s="2403"/>
      <c r="C3" s="1305"/>
      <c r="D3" s="1306"/>
      <c r="E3" s="1306"/>
      <c r="F3" s="1306"/>
      <c r="G3" s="1306"/>
      <c r="H3" s="1306"/>
      <c r="I3" s="1306"/>
      <c r="J3" s="1306"/>
      <c r="K3" s="1306"/>
      <c r="L3" s="1306"/>
      <c r="M3" s="1307"/>
      <c r="N3" s="1308"/>
    </row>
    <row r="4" spans="1:14" ht="13.5" customHeight="1" x14ac:dyDescent="0.2">
      <c r="A4" s="427" t="s">
        <v>1632</v>
      </c>
      <c r="B4" s="428"/>
      <c r="C4" s="1571">
        <v>11617</v>
      </c>
      <c r="D4" s="1572">
        <v>0</v>
      </c>
      <c r="E4" s="1572">
        <v>0</v>
      </c>
      <c r="F4" s="1572">
        <v>0</v>
      </c>
      <c r="G4" s="1572">
        <v>0</v>
      </c>
      <c r="H4" s="1572">
        <v>0</v>
      </c>
      <c r="I4" s="1572">
        <v>0</v>
      </c>
      <c r="J4" s="1573">
        <v>0</v>
      </c>
      <c r="K4" s="1572">
        <v>0</v>
      </c>
      <c r="L4" s="1572">
        <v>4873</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t="s">
        <v>2213</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c r="F7" s="1573">
        <v>0</v>
      </c>
      <c r="G7" s="1573"/>
      <c r="H7" s="1573"/>
      <c r="I7" s="1573">
        <v>0</v>
      </c>
      <c r="J7" s="1573"/>
      <c r="K7" s="1573"/>
      <c r="L7" s="1581"/>
      <c r="M7" s="1574"/>
      <c r="N7" s="1575"/>
    </row>
    <row r="8" spans="1:14" ht="13.5" customHeight="1" x14ac:dyDescent="0.2">
      <c r="A8" s="430" t="s">
        <v>267</v>
      </c>
      <c r="B8" s="429">
        <v>150</v>
      </c>
      <c r="C8" s="1580">
        <v>0</v>
      </c>
      <c r="D8" s="1573">
        <v>0</v>
      </c>
      <c r="E8" s="1573"/>
      <c r="F8" s="1573">
        <v>0</v>
      </c>
      <c r="G8" s="1582">
        <v>0</v>
      </c>
      <c r="H8" s="1573">
        <v>0</v>
      </c>
      <c r="I8" s="1578"/>
      <c r="J8" s="1578"/>
      <c r="K8" s="1583"/>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c r="F10" s="1572">
        <v>0</v>
      </c>
      <c r="G10" s="1582"/>
      <c r="H10" s="1585">
        <v>0</v>
      </c>
      <c r="I10" s="1573"/>
      <c r="J10" s="1573"/>
      <c r="K10" s="1585">
        <v>0</v>
      </c>
      <c r="L10" s="1585">
        <v>0</v>
      </c>
      <c r="M10" s="1575"/>
      <c r="N10" s="1575"/>
    </row>
    <row r="11" spans="1:14" ht="13.5" customHeight="1" x14ac:dyDescent="0.2">
      <c r="A11" s="430" t="s">
        <v>269</v>
      </c>
      <c r="B11" s="429">
        <v>180</v>
      </c>
      <c r="C11" s="1580">
        <v>0</v>
      </c>
      <c r="D11" s="1573">
        <v>0</v>
      </c>
      <c r="E11" s="1573"/>
      <c r="F11" s="1573">
        <v>0</v>
      </c>
      <c r="G11" s="1573">
        <v>0</v>
      </c>
      <c r="H11" s="1573">
        <v>0</v>
      </c>
      <c r="I11" s="1582">
        <v>0</v>
      </c>
      <c r="J11" s="1582"/>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11617</v>
      </c>
      <c r="D13" s="1586">
        <f t="shared" ref="D13:L13" si="0">SUM(D4:D12)</f>
        <v>0</v>
      </c>
      <c r="E13" s="1586">
        <f t="shared" si="0"/>
        <v>0</v>
      </c>
      <c r="F13" s="1586">
        <f t="shared" si="0"/>
        <v>0</v>
      </c>
      <c r="G13" s="1586">
        <f t="shared" si="0"/>
        <v>0</v>
      </c>
      <c r="H13" s="1586">
        <f t="shared" si="0"/>
        <v>0</v>
      </c>
      <c r="I13" s="1586">
        <f t="shared" si="0"/>
        <v>0</v>
      </c>
      <c r="J13" s="1586">
        <f t="shared" si="0"/>
        <v>0</v>
      </c>
      <c r="K13" s="1586">
        <f t="shared" si="0"/>
        <v>0</v>
      </c>
      <c r="L13" s="1586">
        <f t="shared" si="0"/>
        <v>4873</v>
      </c>
      <c r="M13" s="1574"/>
      <c r="N13" s="1575"/>
    </row>
    <row r="14" spans="1:14" ht="18" customHeight="1" thickTop="1" x14ac:dyDescent="0.2">
      <c r="A14" s="2404" t="s">
        <v>146</v>
      </c>
      <c r="B14" s="240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0</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1162669</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1162669</v>
      </c>
      <c r="N23" s="1593">
        <f>SUM(N21:N22)</f>
        <v>0</v>
      </c>
    </row>
    <row r="24" spans="1:14" ht="18" customHeight="1" thickTop="1" x14ac:dyDescent="0.2">
      <c r="A24" s="2406" t="s">
        <v>594</v>
      </c>
      <c r="B24" s="2407"/>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c r="F30" s="1573">
        <v>0</v>
      </c>
      <c r="G30" s="1573">
        <v>0</v>
      </c>
      <c r="H30" s="1573">
        <v>0</v>
      </c>
      <c r="I30" s="1573"/>
      <c r="J30" s="1573">
        <v>0</v>
      </c>
      <c r="K30" s="1582">
        <v>0</v>
      </c>
      <c r="L30" s="1574"/>
      <c r="M30" s="1574"/>
      <c r="N30" s="1574"/>
    </row>
    <row r="31" spans="1:14" ht="13.5" customHeight="1" x14ac:dyDescent="0.2">
      <c r="A31" s="430" t="s">
        <v>646</v>
      </c>
      <c r="B31" s="429">
        <v>480</v>
      </c>
      <c r="C31" s="1572">
        <v>6933</v>
      </c>
      <c r="D31" s="1573">
        <v>0</v>
      </c>
      <c r="E31" s="1573"/>
      <c r="F31" s="1572">
        <v>0</v>
      </c>
      <c r="G31" s="1573">
        <v>0</v>
      </c>
      <c r="H31" s="1573">
        <v>0</v>
      </c>
      <c r="I31" s="1573"/>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c r="E33" s="1573"/>
      <c r="F33" s="1573"/>
      <c r="G33" s="1573"/>
      <c r="H33" s="1573"/>
      <c r="I33" s="1573"/>
      <c r="J33" s="1573"/>
      <c r="K33" s="1573"/>
      <c r="L33" s="1573">
        <v>0</v>
      </c>
      <c r="M33" s="1574"/>
      <c r="N33" s="1575"/>
    </row>
    <row r="34" spans="1:14" ht="13.5" customHeight="1" thickBot="1" x14ac:dyDescent="0.25">
      <c r="A34" s="1426" t="s">
        <v>649</v>
      </c>
      <c r="B34" s="1427"/>
      <c r="C34" s="1599">
        <f>SUM(C25:C33)</f>
        <v>6933</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0</v>
      </c>
      <c r="M34" s="1574"/>
      <c r="N34" s="1584"/>
    </row>
    <row r="35" spans="1:14" ht="18" customHeight="1" thickTop="1" x14ac:dyDescent="0.2">
      <c r="A35" s="2408" t="s">
        <v>526</v>
      </c>
      <c r="B35" s="240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0</v>
      </c>
      <c r="D38" s="1572">
        <v>0</v>
      </c>
      <c r="E38" s="1572">
        <v>0</v>
      </c>
      <c r="F38" s="1572">
        <v>0</v>
      </c>
      <c r="G38" s="1572">
        <v>0</v>
      </c>
      <c r="H38" s="1572">
        <v>0</v>
      </c>
      <c r="I38" s="1572">
        <v>0</v>
      </c>
      <c r="J38" s="1573">
        <v>0</v>
      </c>
      <c r="K38" s="1572">
        <v>0</v>
      </c>
      <c r="L38" s="1585">
        <v>4873</v>
      </c>
      <c r="M38" s="1603"/>
      <c r="N38" s="1603"/>
    </row>
    <row r="39" spans="1:14" s="307" customFormat="1" ht="13.5" customHeight="1" x14ac:dyDescent="0.2">
      <c r="A39" s="438" t="s">
        <v>339</v>
      </c>
      <c r="B39" s="432">
        <v>730</v>
      </c>
      <c r="C39" s="1572">
        <v>4684</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1162669</v>
      </c>
      <c r="N40" s="1603"/>
    </row>
    <row r="41" spans="1:14" ht="13.5" customHeight="1" thickBot="1" x14ac:dyDescent="0.25">
      <c r="A41" s="1425" t="s">
        <v>650</v>
      </c>
      <c r="B41" s="1404"/>
      <c r="C41" s="1593">
        <f>(SUM(C34,C37,C38,C39))</f>
        <v>11617</v>
      </c>
      <c r="D41" s="1593">
        <f t="shared" ref="D41:L41" si="2">SUM(D34,D37,D38:D39)</f>
        <v>0</v>
      </c>
      <c r="E41" s="1593">
        <f t="shared" si="2"/>
        <v>0</v>
      </c>
      <c r="F41" s="1593">
        <f t="shared" si="2"/>
        <v>0</v>
      </c>
      <c r="G41" s="1593">
        <f t="shared" si="2"/>
        <v>0</v>
      </c>
      <c r="H41" s="1593">
        <f t="shared" si="2"/>
        <v>0</v>
      </c>
      <c r="I41" s="1593">
        <f t="shared" si="2"/>
        <v>0</v>
      </c>
      <c r="J41" s="1593">
        <f t="shared" si="2"/>
        <v>0</v>
      </c>
      <c r="K41" s="1593">
        <f t="shared" si="2"/>
        <v>0</v>
      </c>
      <c r="L41" s="1593">
        <f t="shared" si="2"/>
        <v>4873</v>
      </c>
      <c r="M41" s="1593">
        <f>SUM(M40)</f>
        <v>1162669</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A10" sqref="A10:F1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1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41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430" t="s">
        <v>1165</v>
      </c>
      <c r="B3" s="2431"/>
      <c r="C3" s="1310"/>
      <c r="D3" s="1311"/>
      <c r="E3" s="1311"/>
      <c r="F3" s="1311"/>
      <c r="G3" s="1311"/>
      <c r="H3" s="1311"/>
      <c r="I3" s="1311"/>
      <c r="J3" s="1311"/>
      <c r="K3" s="1312"/>
      <c r="L3" s="446"/>
    </row>
    <row r="4" spans="1:13" ht="15.75" customHeight="1" x14ac:dyDescent="0.2">
      <c r="A4" s="1536" t="s">
        <v>1482</v>
      </c>
      <c r="B4" s="1537">
        <v>1000</v>
      </c>
      <c r="C4" s="1605">
        <f>'Revenues 9-14'!C109</f>
        <v>2832063</v>
      </c>
      <c r="D4" s="1605">
        <f>'Revenues 9-14'!D109</f>
        <v>0</v>
      </c>
      <c r="E4" s="1605">
        <f>'Revenues 9-14'!E109</f>
        <v>0</v>
      </c>
      <c r="F4" s="1605">
        <f>'Revenues 9-14'!F109</f>
        <v>0</v>
      </c>
      <c r="G4" s="1605">
        <f>'Revenues 9-14'!G109</f>
        <v>0</v>
      </c>
      <c r="H4" s="1605">
        <f>'Revenues 9-14'!H109</f>
        <v>0</v>
      </c>
      <c r="I4" s="1605">
        <f>'Revenues 9-14'!I109</f>
        <v>0</v>
      </c>
      <c r="J4" s="1605">
        <f>'Revenues 9-14'!J109</f>
        <v>0</v>
      </c>
      <c r="K4" s="1605">
        <f>'Revenues 9-14'!K109</f>
        <v>0</v>
      </c>
      <c r="L4" s="325"/>
    </row>
    <row r="5" spans="1:13" ht="15.75" customHeight="1" x14ac:dyDescent="0.2">
      <c r="A5" s="1313" t="s">
        <v>1483</v>
      </c>
      <c r="B5" s="1314">
        <v>2000</v>
      </c>
      <c r="C5" s="1606">
        <f>'Revenues 9-14'!C114</f>
        <v>79038</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593392</v>
      </c>
      <c r="D6" s="1606">
        <f>'Revenues 9-14'!D170</f>
        <v>0</v>
      </c>
      <c r="E6" s="1606">
        <f>'Revenues 9-14'!E170</f>
        <v>0</v>
      </c>
      <c r="F6" s="1606">
        <f>'Revenues 9-14'!F170</f>
        <v>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2796459</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6300952</v>
      </c>
      <c r="D8" s="1593">
        <f t="shared" ref="D8:K8" si="0">SUM(D4:D7)</f>
        <v>0</v>
      </c>
      <c r="E8" s="1593">
        <f t="shared" si="0"/>
        <v>0</v>
      </c>
      <c r="F8" s="1593">
        <f t="shared" si="0"/>
        <v>0</v>
      </c>
      <c r="G8" s="1593">
        <f t="shared" si="0"/>
        <v>0</v>
      </c>
      <c r="H8" s="1593">
        <f t="shared" si="0"/>
        <v>0</v>
      </c>
      <c r="I8" s="1593">
        <f t="shared" si="0"/>
        <v>0</v>
      </c>
      <c r="J8" s="1593">
        <f t="shared" si="0"/>
        <v>0</v>
      </c>
      <c r="K8" s="1593">
        <f t="shared" si="0"/>
        <v>0</v>
      </c>
      <c r="L8" s="325"/>
    </row>
    <row r="9" spans="1:13" ht="15.75" thickTop="1" x14ac:dyDescent="0.2">
      <c r="A9" s="449" t="s">
        <v>1634</v>
      </c>
      <c r="B9" s="450">
        <v>3998</v>
      </c>
      <c r="C9" s="1585">
        <v>2179540</v>
      </c>
      <c r="D9" s="1612"/>
      <c r="E9" s="1585"/>
      <c r="F9" s="1585"/>
      <c r="G9" s="1613"/>
      <c r="H9" s="1585"/>
      <c r="I9" s="1608" t="s">
        <v>1159</v>
      </c>
      <c r="J9" s="1582"/>
      <c r="K9" s="1585"/>
      <c r="L9" s="325"/>
    </row>
    <row r="10" spans="1:13" s="452" customFormat="1" ht="13.5" thickBot="1" x14ac:dyDescent="0.25">
      <c r="A10" s="1425" t="s">
        <v>1163</v>
      </c>
      <c r="B10" s="1406"/>
      <c r="C10" s="1593">
        <f>SUM(C8:C9)</f>
        <v>8480492</v>
      </c>
      <c r="D10" s="1593">
        <f t="shared" ref="D10:K10" si="1">SUM(D8:D9)</f>
        <v>0</v>
      </c>
      <c r="E10" s="1593">
        <f t="shared" si="1"/>
        <v>0</v>
      </c>
      <c r="F10" s="1593">
        <f t="shared" si="1"/>
        <v>0</v>
      </c>
      <c r="G10" s="1593">
        <f t="shared" si="1"/>
        <v>0</v>
      </c>
      <c r="H10" s="1593">
        <f t="shared" si="1"/>
        <v>0</v>
      </c>
      <c r="I10" s="1593">
        <f t="shared" si="1"/>
        <v>0</v>
      </c>
      <c r="J10" s="1593">
        <f t="shared" si="1"/>
        <v>0</v>
      </c>
      <c r="K10" s="1593">
        <f t="shared" si="1"/>
        <v>0</v>
      </c>
      <c r="L10" s="451"/>
    </row>
    <row r="11" spans="1:13" s="452" customFormat="1" ht="16.7" customHeight="1" thickTop="1" x14ac:dyDescent="0.2">
      <c r="A11" s="2404" t="s">
        <v>1166</v>
      </c>
      <c r="B11" s="2405"/>
      <c r="C11" s="1601"/>
      <c r="D11" s="1602"/>
      <c r="E11" s="1602"/>
      <c r="F11" s="1602"/>
      <c r="G11" s="1602"/>
      <c r="H11" s="1602"/>
      <c r="I11" s="1602"/>
      <c r="J11" s="1602"/>
      <c r="K11" s="1614"/>
      <c r="L11" s="451"/>
    </row>
    <row r="12" spans="1:13" ht="15.75" customHeight="1" x14ac:dyDescent="0.2">
      <c r="A12" s="1313" t="s">
        <v>453</v>
      </c>
      <c r="B12" s="1315">
        <v>1000</v>
      </c>
      <c r="C12" s="1605">
        <f>'Expenditures 15-22'!K33</f>
        <v>3027961</v>
      </c>
      <c r="D12" s="1615" t="s">
        <v>1159</v>
      </c>
      <c r="E12" s="1574" t="s">
        <v>1159</v>
      </c>
      <c r="F12" s="1574" t="s">
        <v>1159</v>
      </c>
      <c r="G12" s="1605">
        <f>'Expenditures 15-22'!K229</f>
        <v>0</v>
      </c>
      <c r="H12" s="1616"/>
      <c r="I12" s="1574" t="s">
        <v>1159</v>
      </c>
      <c r="J12" s="1574" t="s">
        <v>1159</v>
      </c>
      <c r="K12" s="1616" t="s">
        <v>1159</v>
      </c>
      <c r="L12" s="325"/>
    </row>
    <row r="13" spans="1:13" ht="15.75" customHeight="1" x14ac:dyDescent="0.2">
      <c r="A13" s="1313" t="s">
        <v>454</v>
      </c>
      <c r="B13" s="1315">
        <v>2000</v>
      </c>
      <c r="C13" s="1606">
        <f>'Expenditures 15-22'!K74</f>
        <v>2940478</v>
      </c>
      <c r="D13" s="1606">
        <f>'Expenditures 15-22'!K129</f>
        <v>0</v>
      </c>
      <c r="E13" s="1575" t="s">
        <v>1159</v>
      </c>
      <c r="F13" s="1606">
        <f>'Expenditures 15-22'!K184</f>
        <v>0</v>
      </c>
      <c r="G13" s="1606">
        <f>'Expenditures 15-22'!K279</f>
        <v>0</v>
      </c>
      <c r="H13" s="1606">
        <f>'Expenditures 15-22'!K303</f>
        <v>0</v>
      </c>
      <c r="I13" s="1574" t="s">
        <v>1159</v>
      </c>
      <c r="J13" s="1606">
        <f>'Expenditures 15-22'!K330</f>
        <v>0</v>
      </c>
      <c r="K13" s="1617">
        <f>'Expenditures 15-22'!K352</f>
        <v>0</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453368</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6421807</v>
      </c>
      <c r="D17" s="1593">
        <f t="shared" si="2"/>
        <v>0</v>
      </c>
      <c r="E17" s="1593">
        <f t="shared" si="2"/>
        <v>0</v>
      </c>
      <c r="F17" s="1593">
        <f t="shared" si="2"/>
        <v>0</v>
      </c>
      <c r="G17" s="1593">
        <f t="shared" si="2"/>
        <v>0</v>
      </c>
      <c r="H17" s="1593">
        <f t="shared" si="2"/>
        <v>0</v>
      </c>
      <c r="I17" s="1574"/>
      <c r="J17" s="1593">
        <f>SUM(J12:J16)</f>
        <v>0</v>
      </c>
      <c r="K17" s="1593">
        <f>SUM(K12:K16)</f>
        <v>0</v>
      </c>
      <c r="L17" s="325"/>
    </row>
    <row r="18" spans="1:12" ht="15" customHeight="1" thickTop="1" x14ac:dyDescent="0.2">
      <c r="A18" s="1429" t="s">
        <v>1635</v>
      </c>
      <c r="B18" s="1430">
        <v>4180</v>
      </c>
      <c r="C18" s="1605">
        <f t="shared" ref="C18:H18" si="3">C9</f>
        <v>2179540</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8601347</v>
      </c>
      <c r="D19" s="1593">
        <f t="shared" si="4"/>
        <v>0</v>
      </c>
      <c r="E19" s="1593">
        <f t="shared" si="4"/>
        <v>0</v>
      </c>
      <c r="F19" s="1593">
        <f t="shared" si="4"/>
        <v>0</v>
      </c>
      <c r="G19" s="1593">
        <f t="shared" si="4"/>
        <v>0</v>
      </c>
      <c r="H19" s="1593">
        <f t="shared" si="4"/>
        <v>0</v>
      </c>
      <c r="I19" s="1574"/>
      <c r="J19" s="1593">
        <f>SUM(J17:J18)</f>
        <v>0</v>
      </c>
      <c r="K19" s="1593">
        <f>SUM(K17:K18)</f>
        <v>0</v>
      </c>
      <c r="L19" s="325"/>
    </row>
    <row r="20" spans="1:12" ht="16.5" thickTop="1" thickBot="1" x14ac:dyDescent="0.25">
      <c r="A20" s="2420" t="s">
        <v>1636</v>
      </c>
      <c r="B20" s="2421"/>
      <c r="C20" s="1621">
        <f>C8-C17</f>
        <v>-120855</v>
      </c>
      <c r="D20" s="1621">
        <f t="shared" ref="D20:K20" si="5">D8-D17</f>
        <v>0</v>
      </c>
      <c r="E20" s="1621">
        <f t="shared" si="5"/>
        <v>0</v>
      </c>
      <c r="F20" s="1621">
        <f t="shared" si="5"/>
        <v>0</v>
      </c>
      <c r="G20" s="1621">
        <f t="shared" si="5"/>
        <v>0</v>
      </c>
      <c r="H20" s="1621">
        <f t="shared" si="5"/>
        <v>0</v>
      </c>
      <c r="I20" s="1621">
        <f t="shared" si="5"/>
        <v>0</v>
      </c>
      <c r="J20" s="1621">
        <f t="shared" si="5"/>
        <v>0</v>
      </c>
      <c r="K20" s="1621">
        <f t="shared" si="5"/>
        <v>0</v>
      </c>
      <c r="L20" s="325"/>
    </row>
    <row r="21" spans="1:12" ht="16.7" customHeight="1" thickTop="1" x14ac:dyDescent="0.2">
      <c r="A21" s="2432" t="s">
        <v>591</v>
      </c>
      <c r="B21" s="2433"/>
      <c r="C21" s="1601"/>
      <c r="D21" s="1602"/>
      <c r="E21" s="1602"/>
      <c r="F21" s="1602"/>
      <c r="G21" s="1602"/>
      <c r="H21" s="1602"/>
      <c r="I21" s="1602"/>
      <c r="J21" s="1602"/>
      <c r="K21" s="1614"/>
      <c r="L21" s="453"/>
    </row>
    <row r="22" spans="1:12" ht="15.75" customHeight="1" collapsed="1" x14ac:dyDescent="0.2">
      <c r="A22" s="2428" t="s">
        <v>592</v>
      </c>
      <c r="B22" s="2429"/>
      <c r="C22" s="1581"/>
      <c r="D22" s="1581"/>
      <c r="E22" s="1581"/>
      <c r="F22" s="1581"/>
      <c r="G22" s="1581"/>
      <c r="H22" s="1581"/>
      <c r="I22" s="1581"/>
      <c r="J22" s="1581"/>
      <c r="K22" s="1581"/>
      <c r="L22" s="325"/>
    </row>
    <row r="23" spans="1:12" s="433" customFormat="1" ht="15.75" customHeight="1" x14ac:dyDescent="0.2">
      <c r="A23" s="2424" t="s">
        <v>290</v>
      </c>
      <c r="B23" s="2425"/>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1767</v>
      </c>
      <c r="B30" s="455">
        <v>7160</v>
      </c>
      <c r="C30" s="1581"/>
      <c r="D30" s="1573">
        <v>0</v>
      </c>
      <c r="E30" s="1581"/>
      <c r="F30" s="1581"/>
      <c r="G30" s="1581"/>
      <c r="H30" s="1581"/>
      <c r="I30" s="1581"/>
      <c r="J30" s="1581"/>
      <c r="K30" s="1581"/>
      <c r="L30" s="453"/>
    </row>
    <row r="31" spans="1:12" s="433" customFormat="1" ht="26.25" x14ac:dyDescent="0.2">
      <c r="A31" s="1259" t="s">
        <v>1771</v>
      </c>
      <c r="B31" s="455">
        <v>7170</v>
      </c>
      <c r="C31" s="1581"/>
      <c r="D31" s="1581"/>
      <c r="E31" s="1578">
        <v>0</v>
      </c>
      <c r="F31" s="1581"/>
      <c r="G31" s="1581"/>
      <c r="H31" s="1581"/>
      <c r="I31" s="1581"/>
      <c r="J31" s="1581"/>
      <c r="K31" s="1581"/>
      <c r="L31" s="453"/>
    </row>
    <row r="32" spans="1:12" s="433" customFormat="1" ht="15.75" customHeight="1" x14ac:dyDescent="0.2">
      <c r="A32" s="2426" t="s">
        <v>974</v>
      </c>
      <c r="B32" s="2427"/>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434" t="s">
        <v>371</v>
      </c>
      <c r="B44" s="243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428" t="s">
        <v>108</v>
      </c>
      <c r="B45" s="2429"/>
      <c r="C45" s="1624"/>
      <c r="D45" s="1624"/>
      <c r="E45" s="1624"/>
      <c r="F45" s="1624"/>
      <c r="G45" s="1624"/>
      <c r="H45" s="1624"/>
      <c r="I45" s="1624"/>
      <c r="J45" s="1624"/>
      <c r="K45" s="1624"/>
      <c r="L45" s="325"/>
    </row>
    <row r="46" spans="1:12" s="433" customFormat="1" ht="15.75" customHeight="1" x14ac:dyDescent="0.2">
      <c r="A46" s="2436" t="s">
        <v>109</v>
      </c>
      <c r="B46" s="243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6">
        <f>D30</f>
        <v>0</v>
      </c>
      <c r="L52" s="453"/>
    </row>
    <row r="53" spans="1:12" s="433" customFormat="1" ht="26.25" x14ac:dyDescent="0.2">
      <c r="A53" s="1260" t="s">
        <v>1769</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410" t="s">
        <v>437</v>
      </c>
      <c r="B76" s="241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412" t="s">
        <v>1167</v>
      </c>
      <c r="B77" s="241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416" t="s">
        <v>593</v>
      </c>
      <c r="B78" s="2417"/>
      <c r="C78" s="1628">
        <f t="shared" ref="C78:K78" si="9">C20+C77</f>
        <v>-120855</v>
      </c>
      <c r="D78" s="1628">
        <f t="shared" si="9"/>
        <v>0</v>
      </c>
      <c r="E78" s="1628">
        <f t="shared" si="9"/>
        <v>0</v>
      </c>
      <c r="F78" s="1628">
        <f t="shared" si="9"/>
        <v>0</v>
      </c>
      <c r="G78" s="1628">
        <f t="shared" si="9"/>
        <v>0</v>
      </c>
      <c r="H78" s="1628">
        <f t="shared" si="9"/>
        <v>0</v>
      </c>
      <c r="I78" s="1628">
        <f t="shared" si="9"/>
        <v>0</v>
      </c>
      <c r="J78" s="1628">
        <f t="shared" si="9"/>
        <v>0</v>
      </c>
      <c r="K78" s="1628">
        <f t="shared" si="9"/>
        <v>0</v>
      </c>
      <c r="L78" s="457"/>
    </row>
    <row r="79" spans="1:12" ht="13.5" thickTop="1" x14ac:dyDescent="0.2">
      <c r="A79" s="1843" t="str">
        <f>"Fund Balances - July 1, "&amp;'AFR20'!E2-1</f>
        <v>Fund Balances - July 1, 2019</v>
      </c>
      <c r="B79" s="458"/>
      <c r="C79" s="1582">
        <v>125539</v>
      </c>
      <c r="D79" s="1582">
        <v>0</v>
      </c>
      <c r="E79" s="1629">
        <v>0</v>
      </c>
      <c r="F79" s="1629">
        <v>0</v>
      </c>
      <c r="G79" s="1629">
        <v>0</v>
      </c>
      <c r="H79" s="1629">
        <v>0</v>
      </c>
      <c r="I79" s="1629">
        <v>0</v>
      </c>
      <c r="J79" s="1629">
        <v>0</v>
      </c>
      <c r="K79" s="1629">
        <v>0</v>
      </c>
      <c r="L79" s="325"/>
    </row>
    <row r="80" spans="1:12" x14ac:dyDescent="0.2">
      <c r="A80" s="2422" t="s">
        <v>1768</v>
      </c>
      <c r="B80" s="2423"/>
      <c r="C80" s="1573">
        <v>0</v>
      </c>
      <c r="D80" s="1573">
        <v>0</v>
      </c>
      <c r="E80" s="1573">
        <v>0</v>
      </c>
      <c r="F80" s="1573">
        <v>0</v>
      </c>
      <c r="G80" s="1573">
        <v>0</v>
      </c>
      <c r="H80" s="1573">
        <v>0</v>
      </c>
      <c r="I80" s="1573">
        <v>0</v>
      </c>
      <c r="J80" s="1573">
        <v>0</v>
      </c>
      <c r="K80" s="1573">
        <v>0</v>
      </c>
      <c r="L80" s="325"/>
    </row>
    <row r="81" spans="1:12" ht="13.5" thickBot="1" x14ac:dyDescent="0.25">
      <c r="A81" s="2414" t="str">
        <f>"Fund Balances - June 30, "&amp;'AFR20'!E2</f>
        <v>Fund Balances - June 30, 2020</v>
      </c>
      <c r="B81" s="2415"/>
      <c r="C81" s="1593">
        <f>(SUM(C78:C80))</f>
        <v>4684</v>
      </c>
      <c r="D81" s="1593">
        <f>SUM(D78:D80)</f>
        <v>0</v>
      </c>
      <c r="E81" s="1593">
        <f t="shared" ref="E81:K81" si="10">SUM(E78:E80)</f>
        <v>0</v>
      </c>
      <c r="F81" s="1593">
        <f t="shared" si="10"/>
        <v>0</v>
      </c>
      <c r="G81" s="1593">
        <f t="shared" si="10"/>
        <v>0</v>
      </c>
      <c r="H81" s="1593">
        <f t="shared" si="10"/>
        <v>0</v>
      </c>
      <c r="I81" s="1593">
        <f t="shared" si="10"/>
        <v>0</v>
      </c>
      <c r="J81" s="1593">
        <f t="shared" si="10"/>
        <v>0</v>
      </c>
      <c r="K81" s="1593">
        <f t="shared" si="10"/>
        <v>0</v>
      </c>
      <c r="L81" s="325"/>
    </row>
    <row r="82" spans="1:12" ht="0.75" customHeight="1" thickTop="1" thickBot="1" x14ac:dyDescent="0.25">
      <c r="A82" s="459" t="s">
        <v>340</v>
      </c>
      <c r="B82" s="460"/>
      <c r="C82" s="461">
        <f>(C81-C79)</f>
        <v>-120855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-25.801665243381724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 activePane="bottomLeft" state="frozen"/>
      <selection activeCell="A10" sqref="A10:F10"/>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18" t="s">
        <v>1775</v>
      </c>
      <c r="B1" s="416"/>
      <c r="C1" s="417" t="s">
        <v>422</v>
      </c>
      <c r="D1" s="417" t="s">
        <v>423</v>
      </c>
      <c r="E1" s="417" t="s">
        <v>424</v>
      </c>
      <c r="F1" s="417" t="s">
        <v>425</v>
      </c>
      <c r="G1" s="417" t="s">
        <v>426</v>
      </c>
      <c r="H1" s="417" t="s">
        <v>427</v>
      </c>
      <c r="I1" s="417" t="s">
        <v>428</v>
      </c>
      <c r="J1" s="417" t="s">
        <v>429</v>
      </c>
      <c r="K1" s="417" t="s">
        <v>751</v>
      </c>
    </row>
    <row r="2" spans="1:12" ht="36" x14ac:dyDescent="0.2">
      <c r="A2" s="241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0</v>
      </c>
      <c r="D5" s="1585">
        <v>0</v>
      </c>
      <c r="E5" s="1572">
        <v>0</v>
      </c>
      <c r="F5" s="1630">
        <v>0</v>
      </c>
      <c r="G5" s="1572">
        <v>0</v>
      </c>
      <c r="H5" s="1572">
        <v>0</v>
      </c>
      <c r="I5" s="1572">
        <v>0</v>
      </c>
      <c r="J5" s="1573">
        <v>0</v>
      </c>
      <c r="K5" s="1572">
        <v>0</v>
      </c>
    </row>
    <row r="6" spans="1:12" ht="15" x14ac:dyDescent="0.2">
      <c r="A6" s="427" t="s">
        <v>1643</v>
      </c>
      <c r="B6" s="429">
        <v>1130</v>
      </c>
      <c r="C6" s="1572">
        <v>0</v>
      </c>
      <c r="D6" s="1572">
        <v>0</v>
      </c>
      <c r="E6" s="1579"/>
      <c r="F6" s="1579"/>
      <c r="G6" s="1574"/>
      <c r="H6" s="1574"/>
      <c r="I6" s="1574"/>
      <c r="J6" s="1574"/>
      <c r="K6" s="1574"/>
    </row>
    <row r="7" spans="1:12" x14ac:dyDescent="0.2">
      <c r="A7" s="427" t="s">
        <v>110</v>
      </c>
      <c r="B7" s="471">
        <v>1140</v>
      </c>
      <c r="C7" s="1572">
        <v>0</v>
      </c>
      <c r="D7" s="1572">
        <v>0</v>
      </c>
      <c r="E7" s="1574"/>
      <c r="F7" s="1573">
        <v>0</v>
      </c>
      <c r="G7" s="1573">
        <v>0</v>
      </c>
      <c r="H7" s="1573">
        <v>0</v>
      </c>
      <c r="I7" s="1574"/>
      <c r="J7" s="1574"/>
      <c r="K7" s="1574"/>
    </row>
    <row r="8" spans="1:12" x14ac:dyDescent="0.2">
      <c r="A8" s="427" t="s">
        <v>410</v>
      </c>
      <c r="B8" s="429">
        <v>1150</v>
      </c>
      <c r="C8" s="1579"/>
      <c r="D8" s="1579"/>
      <c r="E8" s="1581"/>
      <c r="F8" s="1581"/>
      <c r="G8" s="1585">
        <v>0</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0</v>
      </c>
      <c r="D12" s="1632">
        <f t="shared" si="0"/>
        <v>0</v>
      </c>
      <c r="E12" s="1632">
        <f t="shared" si="0"/>
        <v>0</v>
      </c>
      <c r="F12" s="1632">
        <f t="shared" si="0"/>
        <v>0</v>
      </c>
      <c r="G12" s="1632">
        <f t="shared" si="0"/>
        <v>0</v>
      </c>
      <c r="H12" s="1632">
        <f t="shared" si="0"/>
        <v>0</v>
      </c>
      <c r="I12" s="1632">
        <f t="shared" si="0"/>
        <v>0</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1644</v>
      </c>
      <c r="B16" s="471">
        <v>1230</v>
      </c>
      <c r="C16" s="1631">
        <v>0</v>
      </c>
      <c r="D16" s="1572">
        <v>0</v>
      </c>
      <c r="E16" s="1572">
        <v>0</v>
      </c>
      <c r="F16" s="1572">
        <v>0</v>
      </c>
      <c r="G16" s="1572">
        <v>0</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1065</v>
      </c>
      <c r="B22" s="429">
        <v>1313</v>
      </c>
      <c r="C22" s="1631">
        <v>0</v>
      </c>
      <c r="D22" s="1574"/>
      <c r="E22" s="1574"/>
      <c r="F22" s="1574"/>
      <c r="G22" s="1574"/>
      <c r="H22" s="1574"/>
      <c r="I22" s="1574"/>
      <c r="J22" s="1574"/>
      <c r="K22" s="1574"/>
    </row>
    <row r="23" spans="1:11" ht="12.75" customHeight="1" x14ac:dyDescent="0.2">
      <c r="A23" s="427" t="s">
        <v>1066</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1092</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5123</v>
      </c>
      <c r="D32" s="1574"/>
      <c r="E32" s="1574"/>
      <c r="F32" s="1574"/>
      <c r="G32" s="1574"/>
      <c r="H32" s="1574"/>
      <c r="I32" s="1574"/>
      <c r="J32" s="1574"/>
      <c r="K32" s="1574"/>
    </row>
    <row r="33" spans="1:11" ht="12.75" customHeight="1" x14ac:dyDescent="0.2">
      <c r="A33" s="427" t="s">
        <v>830</v>
      </c>
      <c r="B33" s="429">
        <v>1342</v>
      </c>
      <c r="C33" s="1631">
        <v>2819845</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2824968</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1164</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1097</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1098</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1099</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50</v>
      </c>
      <c r="D65" s="1572">
        <v>0</v>
      </c>
      <c r="E65" s="1572">
        <v>0</v>
      </c>
      <c r="F65" s="1573">
        <v>0</v>
      </c>
      <c r="G65" s="1572">
        <v>0</v>
      </c>
      <c r="H65" s="1572">
        <v>0</v>
      </c>
      <c r="I65" s="1572">
        <v>0</v>
      </c>
      <c r="J65" s="1573">
        <v>0</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50</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0</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0</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0</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0</v>
      </c>
      <c r="D95" s="1631">
        <v>0</v>
      </c>
      <c r="E95" s="1616"/>
      <c r="F95" s="1616"/>
      <c r="G95" s="1616"/>
      <c r="H95" s="1616"/>
      <c r="I95" s="1616"/>
      <c r="J95" s="1616"/>
      <c r="K95" s="1616"/>
    </row>
    <row r="96" spans="1:11" ht="12.75" customHeight="1" x14ac:dyDescent="0.2">
      <c r="A96" s="427" t="s">
        <v>388</v>
      </c>
      <c r="B96" s="429">
        <v>1920</v>
      </c>
      <c r="C96" s="1631">
        <v>4502</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2543</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1413</v>
      </c>
      <c r="B106" s="429">
        <v>1993</v>
      </c>
      <c r="C106" s="1572">
        <v>0</v>
      </c>
      <c r="D106" s="1597">
        <v>0</v>
      </c>
      <c r="E106" s="1573">
        <v>0</v>
      </c>
      <c r="F106" s="1573">
        <v>0</v>
      </c>
      <c r="G106" s="1573">
        <v>0</v>
      </c>
      <c r="H106" s="1573">
        <v>0</v>
      </c>
      <c r="I106" s="1616"/>
      <c r="J106" s="1573">
        <v>0</v>
      </c>
      <c r="K106" s="1573">
        <v>0</v>
      </c>
    </row>
    <row r="107" spans="1:12" ht="12.75" customHeight="1" x14ac:dyDescent="0.2">
      <c r="A107" s="427" t="s">
        <v>78</v>
      </c>
      <c r="B107" s="429">
        <v>1999</v>
      </c>
      <c r="C107" s="1631">
        <v>0</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7045</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2832063</v>
      </c>
      <c r="D109" s="1640">
        <f t="shared" si="4"/>
        <v>0</v>
      </c>
      <c r="E109" s="1640">
        <f t="shared" si="4"/>
        <v>0</v>
      </c>
      <c r="F109" s="1640">
        <f t="shared" si="4"/>
        <v>0</v>
      </c>
      <c r="G109" s="1640">
        <f t="shared" si="4"/>
        <v>0</v>
      </c>
      <c r="H109" s="1640">
        <f t="shared" si="4"/>
        <v>0</v>
      </c>
      <c r="I109" s="1640">
        <f t="shared" si="4"/>
        <v>0</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563</v>
      </c>
      <c r="D111" s="1585">
        <v>0</v>
      </c>
      <c r="E111" s="1639"/>
      <c r="F111" s="1585">
        <v>0</v>
      </c>
      <c r="G111" s="1585">
        <v>0</v>
      </c>
      <c r="H111" s="1639"/>
      <c r="I111" s="1574"/>
      <c r="J111" s="1574"/>
      <c r="K111" s="1574"/>
    </row>
    <row r="112" spans="1:12" ht="12.75" customHeight="1" x14ac:dyDescent="0.2">
      <c r="A112" s="427" t="s">
        <v>819</v>
      </c>
      <c r="B112" s="429">
        <v>2200</v>
      </c>
      <c r="C112" s="1631">
        <v>78475</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79038</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593392</v>
      </c>
      <c r="D117" s="1585">
        <v>0</v>
      </c>
      <c r="E117" s="1572">
        <v>0</v>
      </c>
      <c r="F117" s="1585">
        <v>0</v>
      </c>
      <c r="G117" s="1585">
        <v>0</v>
      </c>
      <c r="H117" s="1572">
        <v>0</v>
      </c>
      <c r="I117" s="1574"/>
      <c r="J117" s="1573">
        <v>0</v>
      </c>
      <c r="K117" s="1572">
        <v>0</v>
      </c>
    </row>
    <row r="118" spans="1:11" ht="12.75" customHeight="1" x14ac:dyDescent="0.2">
      <c r="A118" s="427" t="s">
        <v>1772</v>
      </c>
      <c r="B118" s="478">
        <v>3002</v>
      </c>
      <c r="C118" s="1631"/>
      <c r="D118" s="1572"/>
      <c r="E118" s="1572"/>
      <c r="F118" s="1572"/>
      <c r="G118" s="1572"/>
      <c r="H118" s="1572"/>
      <c r="I118" s="1574"/>
      <c r="J118" s="1573"/>
      <c r="K118" s="1572"/>
    </row>
    <row r="119" spans="1:11" ht="12.75" customHeight="1" x14ac:dyDescent="0.2">
      <c r="A119" s="427" t="s">
        <v>1773</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1891</v>
      </c>
      <c r="B120" s="478">
        <v>3030</v>
      </c>
      <c r="C120" s="1631">
        <v>0</v>
      </c>
      <c r="D120" s="1572">
        <v>0</v>
      </c>
      <c r="E120" s="1572">
        <v>0</v>
      </c>
      <c r="F120" s="1572">
        <v>0</v>
      </c>
      <c r="G120" s="1572">
        <v>0</v>
      </c>
      <c r="H120" s="1572">
        <v>0</v>
      </c>
      <c r="I120" s="1574"/>
      <c r="J120" s="1573">
        <v>0</v>
      </c>
      <c r="K120" s="1572">
        <v>0</v>
      </c>
    </row>
    <row r="121" spans="1:11" x14ac:dyDescent="0.2">
      <c r="A121" s="1265" t="s">
        <v>1774</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593392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1429</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1430</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0</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v>0</v>
      </c>
      <c r="D152" s="1572">
        <v>0</v>
      </c>
      <c r="E152" s="1639"/>
      <c r="F152" s="1572">
        <v>0</v>
      </c>
      <c r="G152" s="1573">
        <v>0</v>
      </c>
      <c r="H152" s="1574"/>
      <c r="I152" s="1574"/>
      <c r="J152" s="1574"/>
      <c r="K152" s="1574"/>
    </row>
    <row r="153" spans="1:11" ht="12.75" customHeight="1" x14ac:dyDescent="0.2">
      <c r="A153" s="427" t="s">
        <v>1048</v>
      </c>
      <c r="B153" s="478">
        <v>3510</v>
      </c>
      <c r="C153" s="1631">
        <v>0</v>
      </c>
      <c r="D153" s="1572">
        <v>0</v>
      </c>
      <c r="E153" s="1639"/>
      <c r="F153" s="1572">
        <v>0</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0</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1042</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1432</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0</v>
      </c>
      <c r="I167" s="1574"/>
      <c r="J167" s="1574"/>
      <c r="K167" s="1625">
        <v>0</v>
      </c>
    </row>
    <row r="168" spans="1:11" ht="14.25" thickTop="1" thickBot="1" x14ac:dyDescent="0.25">
      <c r="A168" s="1269"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438" t="s">
        <v>395</v>
      </c>
      <c r="B169" s="2439"/>
      <c r="C169" s="1657">
        <f t="shared" ref="C169:K169" si="6">SUM(C132,C141,C145,C146:C150,C155,C156:C167,C168)</f>
        <v>0</v>
      </c>
      <c r="D169" s="1657">
        <f t="shared" si="6"/>
        <v>0</v>
      </c>
      <c r="E169" s="1657">
        <f t="shared" si="6"/>
        <v>0</v>
      </c>
      <c r="F169" s="1657">
        <f t="shared" si="6"/>
        <v>0</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593392</v>
      </c>
      <c r="D170" s="1640">
        <f t="shared" si="7"/>
        <v>0</v>
      </c>
      <c r="E170" s="1640">
        <f t="shared" si="7"/>
        <v>0</v>
      </c>
      <c r="F170" s="1640">
        <f t="shared" si="7"/>
        <v>0</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440" t="s">
        <v>1475</v>
      </c>
      <c r="B172" s="2441"/>
      <c r="C172" s="1615"/>
      <c r="D172" s="1615"/>
      <c r="E172" s="1608"/>
      <c r="F172" s="1574"/>
      <c r="G172" s="1574"/>
      <c r="H172" s="1574"/>
      <c r="I172" s="1574"/>
      <c r="J172" s="1574"/>
      <c r="K172" s="1574"/>
    </row>
    <row r="173" spans="1:11" ht="12.6" customHeight="1" x14ac:dyDescent="0.2">
      <c r="A173" s="436" t="s">
        <v>1035</v>
      </c>
      <c r="B173" s="435">
        <v>4001</v>
      </c>
      <c r="C173" s="1612">
        <v>0</v>
      </c>
      <c r="D173" s="1585">
        <v>0</v>
      </c>
      <c r="E173" s="1573">
        <v>0</v>
      </c>
      <c r="F173" s="1572">
        <v>0</v>
      </c>
      <c r="G173" s="1572">
        <v>0</v>
      </c>
      <c r="H173" s="1573">
        <v>0</v>
      </c>
      <c r="I173" s="1573"/>
      <c r="J173" s="1573">
        <v>0</v>
      </c>
      <c r="K173" s="1573">
        <v>0</v>
      </c>
    </row>
    <row r="174" spans="1:11" ht="22.5" x14ac:dyDescent="0.2">
      <c r="A174" s="479" t="s">
        <v>800</v>
      </c>
      <c r="B174" s="485">
        <v>4009</v>
      </c>
      <c r="C174" s="1631">
        <v>0</v>
      </c>
      <c r="D174" s="1572">
        <v>0</v>
      </c>
      <c r="E174" s="1573">
        <v>0</v>
      </c>
      <c r="F174" s="1572">
        <v>0</v>
      </c>
      <c r="G174" s="1572">
        <v>0</v>
      </c>
      <c r="H174" s="1573">
        <v>0</v>
      </c>
      <c r="I174" s="1573"/>
      <c r="J174" s="1573">
        <v>0</v>
      </c>
      <c r="K174" s="1573">
        <v>0</v>
      </c>
    </row>
    <row r="175" spans="1:11" ht="13.5" thickBot="1" x14ac:dyDescent="0.25">
      <c r="A175" s="2444" t="s">
        <v>1646</v>
      </c>
      <c r="B175" s="244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448" t="s">
        <v>1645</v>
      </c>
      <c r="B176" s="2449"/>
      <c r="C176" s="1658"/>
      <c r="D176" s="1659"/>
      <c r="E176" s="1660"/>
      <c r="F176" s="1661"/>
      <c r="G176" s="1661"/>
      <c r="H176" s="1661"/>
      <c r="I176" s="1661"/>
      <c r="J176" s="1661"/>
      <c r="K176" s="1661"/>
    </row>
    <row r="177" spans="1:11" ht="12.75" customHeight="1" x14ac:dyDescent="0.2">
      <c r="A177" s="427" t="s">
        <v>1036</v>
      </c>
      <c r="B177" s="429">
        <v>4045</v>
      </c>
      <c r="C177" s="1631">
        <v>0</v>
      </c>
      <c r="D177" s="1574"/>
      <c r="E177" s="1639"/>
      <c r="F177" s="1574"/>
      <c r="G177" s="1574"/>
      <c r="H177" s="1574"/>
      <c r="I177" s="1574"/>
      <c r="J177" s="1574"/>
      <c r="K177" s="1574"/>
    </row>
    <row r="178" spans="1:11" ht="12.75" customHeight="1" x14ac:dyDescent="0.2">
      <c r="A178" s="427" t="s">
        <v>1037</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446" t="s">
        <v>780</v>
      </c>
      <c r="B181" s="244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442" t="s">
        <v>1776</v>
      </c>
      <c r="B182" s="244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v>0</v>
      </c>
      <c r="D184" s="1585">
        <v>0</v>
      </c>
      <c r="E184" s="1639"/>
      <c r="F184" s="1585">
        <v>0</v>
      </c>
      <c r="G184" s="1585">
        <v>0</v>
      </c>
      <c r="H184" s="1574"/>
      <c r="I184" s="1574"/>
      <c r="J184" s="1574"/>
      <c r="K184" s="1574"/>
    </row>
    <row r="185" spans="1:11" ht="12.75" customHeight="1" x14ac:dyDescent="0.2">
      <c r="A185" s="427" t="s">
        <v>1587</v>
      </c>
      <c r="B185" s="429">
        <v>4105</v>
      </c>
      <c r="C185" s="1631">
        <v>0</v>
      </c>
      <c r="D185" s="1572">
        <v>0</v>
      </c>
      <c r="E185" s="1639"/>
      <c r="F185" s="1572">
        <v>0</v>
      </c>
      <c r="G185" s="1572">
        <v>0</v>
      </c>
      <c r="H185" s="1574"/>
      <c r="I185" s="1574"/>
      <c r="J185" s="1574"/>
      <c r="K185" s="1574"/>
    </row>
    <row r="186" spans="1:11" ht="12.75" customHeight="1" x14ac:dyDescent="0.2">
      <c r="A186" s="427" t="s">
        <v>1589</v>
      </c>
      <c r="B186" s="429">
        <v>4107</v>
      </c>
      <c r="C186" s="1631">
        <v>0</v>
      </c>
      <c r="D186" s="1572">
        <v>0</v>
      </c>
      <c r="E186" s="1639"/>
      <c r="F186" s="1572">
        <v>0</v>
      </c>
      <c r="G186" s="1572">
        <v>0</v>
      </c>
      <c r="H186" s="1574"/>
      <c r="I186" s="1574"/>
      <c r="J186" s="1574"/>
      <c r="K186" s="1574"/>
    </row>
    <row r="187" spans="1:11" ht="12.75" customHeight="1" x14ac:dyDescent="0.2">
      <c r="A187" s="427" t="s">
        <v>1588</v>
      </c>
      <c r="B187" s="429">
        <v>4199</v>
      </c>
      <c r="C187" s="1631">
        <v>0</v>
      </c>
      <c r="D187" s="1572">
        <v>0</v>
      </c>
      <c r="E187" s="1639"/>
      <c r="F187" s="1572">
        <v>0</v>
      </c>
      <c r="G187" s="1572">
        <v>0</v>
      </c>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v>0</v>
      </c>
      <c r="D190" s="1574"/>
      <c r="E190" s="1639"/>
      <c r="F190" s="1633"/>
      <c r="G190" s="1663">
        <v>0</v>
      </c>
      <c r="H190" s="1574"/>
      <c r="I190" s="1574"/>
      <c r="J190" s="1574"/>
      <c r="K190" s="1574"/>
    </row>
    <row r="191" spans="1:11" ht="12.75" customHeight="1" x14ac:dyDescent="0.2">
      <c r="A191" s="427" t="s">
        <v>1049</v>
      </c>
      <c r="B191" s="429">
        <v>4210</v>
      </c>
      <c r="C191" s="1572">
        <v>0</v>
      </c>
      <c r="D191" s="1574"/>
      <c r="E191" s="1639"/>
      <c r="F191" s="1574"/>
      <c r="G191" s="1663">
        <v>0</v>
      </c>
      <c r="H191" s="1574"/>
      <c r="I191" s="1574"/>
      <c r="J191" s="1574"/>
      <c r="K191" s="1574"/>
    </row>
    <row r="192" spans="1:11" ht="12.75" customHeight="1" x14ac:dyDescent="0.2">
      <c r="A192" s="427" t="s">
        <v>1038</v>
      </c>
      <c r="B192" s="429">
        <v>4215</v>
      </c>
      <c r="C192" s="1631">
        <v>0</v>
      </c>
      <c r="D192" s="1574"/>
      <c r="E192" s="1639"/>
      <c r="F192" s="1574"/>
      <c r="G192" s="1663">
        <v>0</v>
      </c>
      <c r="H192" s="1574"/>
      <c r="I192" s="1574"/>
      <c r="J192" s="1574"/>
      <c r="K192" s="1574"/>
    </row>
    <row r="193" spans="1:11" ht="12.75" customHeight="1" x14ac:dyDescent="0.2">
      <c r="A193" s="427" t="s">
        <v>1050</v>
      </c>
      <c r="B193" s="429">
        <v>4220</v>
      </c>
      <c r="C193" s="1631">
        <v>0</v>
      </c>
      <c r="D193" s="1574"/>
      <c r="E193" s="1639"/>
      <c r="F193" s="1574"/>
      <c r="G193" s="1663">
        <v>0</v>
      </c>
      <c r="H193" s="1574"/>
      <c r="I193" s="1574"/>
      <c r="J193" s="1574"/>
      <c r="K193" s="1574"/>
    </row>
    <row r="194" spans="1:11" ht="12.75" customHeight="1" x14ac:dyDescent="0.2">
      <c r="A194" s="427" t="s">
        <v>1434</v>
      </c>
      <c r="B194" s="429">
        <v>4225</v>
      </c>
      <c r="C194" s="1631">
        <v>0</v>
      </c>
      <c r="D194" s="1574"/>
      <c r="E194" s="1639"/>
      <c r="F194" s="1574"/>
      <c r="G194" s="1663">
        <v>0</v>
      </c>
      <c r="H194" s="1574"/>
      <c r="I194" s="1574"/>
      <c r="J194" s="1574"/>
      <c r="K194" s="1574"/>
    </row>
    <row r="195" spans="1:11" ht="12.75" customHeight="1" x14ac:dyDescent="0.2">
      <c r="A195" s="427" t="s">
        <v>1435</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0</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0</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1436</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65148</v>
      </c>
      <c r="D211" s="1572">
        <v>0</v>
      </c>
      <c r="E211" s="1574"/>
      <c r="F211" s="1572">
        <v>0</v>
      </c>
      <c r="G211" s="1572">
        <v>0</v>
      </c>
      <c r="H211" s="1574"/>
      <c r="I211" s="1574"/>
      <c r="J211" s="1574"/>
      <c r="K211" s="1574"/>
    </row>
    <row r="212" spans="1:11" ht="12.75" customHeight="1" x14ac:dyDescent="0.2">
      <c r="A212" s="427" t="s">
        <v>1044</v>
      </c>
      <c r="B212" s="429">
        <v>4605</v>
      </c>
      <c r="C212" s="1631">
        <v>0</v>
      </c>
      <c r="D212" s="1572">
        <v>0</v>
      </c>
      <c r="E212" s="1574"/>
      <c r="F212" s="1572">
        <v>0</v>
      </c>
      <c r="G212" s="1572">
        <v>0</v>
      </c>
      <c r="H212" s="1574"/>
      <c r="I212" s="1574"/>
      <c r="J212" s="1574"/>
      <c r="K212" s="1574"/>
    </row>
    <row r="213" spans="1:11" ht="12.75" customHeight="1" x14ac:dyDescent="0.2">
      <c r="A213" s="427" t="s">
        <v>1437</v>
      </c>
      <c r="B213" s="475">
        <v>4620</v>
      </c>
      <c r="C213" s="1631">
        <v>2564421</v>
      </c>
      <c r="D213" s="1572">
        <v>0</v>
      </c>
      <c r="E213" s="1574"/>
      <c r="F213" s="1572">
        <v>0</v>
      </c>
      <c r="G213" s="1572">
        <v>0</v>
      </c>
      <c r="H213" s="1574"/>
      <c r="I213" s="1574"/>
      <c r="J213" s="1574"/>
      <c r="K213" s="1574"/>
    </row>
    <row r="214" spans="1:11" ht="12.75" customHeight="1" x14ac:dyDescent="0.2">
      <c r="A214" s="427" t="s">
        <v>1045</v>
      </c>
      <c r="B214" s="429">
        <v>4625</v>
      </c>
      <c r="C214" s="1631">
        <v>0</v>
      </c>
      <c r="D214" s="1572">
        <v>0</v>
      </c>
      <c r="E214" s="1574"/>
      <c r="F214" s="1572">
        <v>0</v>
      </c>
      <c r="G214" s="1572">
        <v>0</v>
      </c>
      <c r="H214" s="1574"/>
      <c r="I214" s="1574"/>
      <c r="J214" s="1574"/>
      <c r="K214" s="1574"/>
    </row>
    <row r="215" spans="1:11" ht="12.75" customHeight="1" x14ac:dyDescent="0.2">
      <c r="A215" s="427" t="s">
        <v>1046</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2629569</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c r="F223" s="1573">
        <v>0</v>
      </c>
      <c r="G223" s="1573">
        <v>0</v>
      </c>
      <c r="H223" s="1573">
        <v>0</v>
      </c>
      <c r="I223" s="1574"/>
      <c r="J223" s="1573"/>
      <c r="K223" s="1573"/>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c r="F225" s="1573">
        <v>0</v>
      </c>
      <c r="G225" s="1573">
        <v>0</v>
      </c>
      <c r="H225" s="1573">
        <v>0</v>
      </c>
      <c r="I225" s="1574"/>
      <c r="J225" s="1573"/>
      <c r="K225" s="1573"/>
    </row>
    <row r="226" spans="1:11" ht="12.75" customHeight="1" x14ac:dyDescent="0.2">
      <c r="A226" s="436" t="s">
        <v>350</v>
      </c>
      <c r="B226" s="435">
        <v>4853</v>
      </c>
      <c r="C226" s="1597">
        <v>0</v>
      </c>
      <c r="D226" s="1573">
        <v>0</v>
      </c>
      <c r="E226" s="1573"/>
      <c r="F226" s="1573">
        <v>0</v>
      </c>
      <c r="G226" s="1573">
        <v>0</v>
      </c>
      <c r="H226" s="1573">
        <v>0</v>
      </c>
      <c r="I226" s="1574"/>
      <c r="J226" s="1573"/>
      <c r="K226" s="1573"/>
    </row>
    <row r="227" spans="1:11" ht="12.75" customHeight="1" x14ac:dyDescent="0.2">
      <c r="A227" s="436" t="s">
        <v>351</v>
      </c>
      <c r="B227" s="435">
        <v>4854</v>
      </c>
      <c r="C227" s="1597">
        <v>0</v>
      </c>
      <c r="D227" s="1573">
        <v>0</v>
      </c>
      <c r="E227" s="1573"/>
      <c r="F227" s="1573">
        <v>0</v>
      </c>
      <c r="G227" s="1573">
        <v>0</v>
      </c>
      <c r="H227" s="1573">
        <v>0</v>
      </c>
      <c r="I227" s="1574"/>
      <c r="J227" s="1573"/>
      <c r="K227" s="1573"/>
    </row>
    <row r="228" spans="1:11" ht="12.75" customHeight="1" x14ac:dyDescent="0.2">
      <c r="A228" s="436" t="s">
        <v>461</v>
      </c>
      <c r="B228" s="435">
        <v>4855</v>
      </c>
      <c r="C228" s="1597">
        <v>0</v>
      </c>
      <c r="D228" s="1573">
        <v>0</v>
      </c>
      <c r="E228" s="1573"/>
      <c r="F228" s="1573">
        <v>0</v>
      </c>
      <c r="G228" s="1573">
        <v>0</v>
      </c>
      <c r="H228" s="1573">
        <v>0</v>
      </c>
      <c r="I228" s="1574"/>
      <c r="J228" s="1573"/>
      <c r="K228" s="1573"/>
    </row>
    <row r="229" spans="1:11" ht="12.75" customHeight="1" x14ac:dyDescent="0.2">
      <c r="A229" s="436" t="s">
        <v>352</v>
      </c>
      <c r="B229" s="435">
        <v>4856</v>
      </c>
      <c r="C229" s="1597">
        <v>0</v>
      </c>
      <c r="D229" s="1573">
        <v>0</v>
      </c>
      <c r="E229" s="1573"/>
      <c r="F229" s="1573">
        <v>0</v>
      </c>
      <c r="G229" s="1573">
        <v>0</v>
      </c>
      <c r="H229" s="1573">
        <v>0</v>
      </c>
      <c r="I229" s="1574"/>
      <c r="J229" s="1573"/>
      <c r="K229" s="1573"/>
    </row>
    <row r="230" spans="1:11" ht="12.75" customHeight="1" x14ac:dyDescent="0.2">
      <c r="A230" s="436" t="s">
        <v>353</v>
      </c>
      <c r="B230" s="435">
        <v>4857</v>
      </c>
      <c r="C230" s="1597">
        <v>0</v>
      </c>
      <c r="D230" s="1573">
        <v>0</v>
      </c>
      <c r="E230" s="1573"/>
      <c r="F230" s="1573">
        <v>0</v>
      </c>
      <c r="G230" s="1573">
        <v>0</v>
      </c>
      <c r="H230" s="1573">
        <v>0</v>
      </c>
      <c r="I230" s="1574"/>
      <c r="J230" s="1573"/>
      <c r="K230" s="1573"/>
    </row>
    <row r="231" spans="1:11" ht="12.75" customHeight="1" x14ac:dyDescent="0.2">
      <c r="A231" s="436" t="s">
        <v>354</v>
      </c>
      <c r="B231" s="435">
        <v>4860</v>
      </c>
      <c r="C231" s="1597">
        <v>0</v>
      </c>
      <c r="D231" s="1573">
        <v>0</v>
      </c>
      <c r="E231" s="1573"/>
      <c r="F231" s="1573">
        <v>0</v>
      </c>
      <c r="G231" s="1573">
        <v>0</v>
      </c>
      <c r="H231" s="1573">
        <v>0</v>
      </c>
      <c r="I231" s="1574"/>
      <c r="J231" s="1573"/>
      <c r="K231" s="1573"/>
    </row>
    <row r="232" spans="1:11" ht="12.75" customHeight="1" x14ac:dyDescent="0.2">
      <c r="A232" s="436" t="s">
        <v>355</v>
      </c>
      <c r="B232" s="435">
        <v>4861</v>
      </c>
      <c r="C232" s="1597">
        <v>0</v>
      </c>
      <c r="D232" s="1573">
        <v>0</v>
      </c>
      <c r="E232" s="1573"/>
      <c r="F232" s="1573">
        <v>0</v>
      </c>
      <c r="G232" s="1573">
        <v>0</v>
      </c>
      <c r="H232" s="1573">
        <v>0</v>
      </c>
      <c r="I232" s="1574"/>
      <c r="J232" s="1573"/>
      <c r="K232" s="1573"/>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c r="F235" s="1573">
        <v>0</v>
      </c>
      <c r="G235" s="1573">
        <v>0</v>
      </c>
      <c r="H235" s="1573">
        <v>0</v>
      </c>
      <c r="I235" s="1574"/>
      <c r="J235" s="1573"/>
      <c r="K235" s="1573"/>
    </row>
    <row r="236" spans="1:11" ht="12.75" customHeight="1" x14ac:dyDescent="0.2">
      <c r="A236" s="436" t="s">
        <v>467</v>
      </c>
      <c r="B236" s="435">
        <v>4865</v>
      </c>
      <c r="C236" s="1597">
        <v>0</v>
      </c>
      <c r="D236" s="1573">
        <v>0</v>
      </c>
      <c r="E236" s="1573"/>
      <c r="F236" s="1573">
        <v>0</v>
      </c>
      <c r="G236" s="1573">
        <v>0</v>
      </c>
      <c r="H236" s="1573">
        <v>0</v>
      </c>
      <c r="I236" s="1574"/>
      <c r="J236" s="1573"/>
      <c r="K236" s="1573"/>
    </row>
    <row r="237" spans="1:11" ht="12.75" customHeight="1" x14ac:dyDescent="0.2">
      <c r="A237" s="436" t="s">
        <v>465</v>
      </c>
      <c r="B237" s="435">
        <v>4866</v>
      </c>
      <c r="C237" s="1597">
        <v>0</v>
      </c>
      <c r="D237" s="1573">
        <v>0</v>
      </c>
      <c r="E237" s="1573">
        <v>0</v>
      </c>
      <c r="F237" s="1573">
        <v>0</v>
      </c>
      <c r="G237" s="1573">
        <v>0</v>
      </c>
      <c r="H237" s="1573">
        <v>0</v>
      </c>
      <c r="I237" s="1574"/>
      <c r="J237" s="1573"/>
      <c r="K237" s="1573"/>
    </row>
    <row r="238" spans="1:11" ht="12.75" customHeight="1" x14ac:dyDescent="0.2">
      <c r="A238" s="436" t="s">
        <v>464</v>
      </c>
      <c r="B238" s="435">
        <v>4867</v>
      </c>
      <c r="C238" s="1597">
        <v>0</v>
      </c>
      <c r="D238" s="1573">
        <v>0</v>
      </c>
      <c r="E238" s="1573">
        <v>0</v>
      </c>
      <c r="F238" s="1573">
        <v>0</v>
      </c>
      <c r="G238" s="1573">
        <v>0</v>
      </c>
      <c r="H238" s="1573">
        <v>0</v>
      </c>
      <c r="I238" s="1574"/>
      <c r="J238" s="1573"/>
      <c r="K238" s="1573"/>
    </row>
    <row r="239" spans="1:11" ht="12.75" customHeight="1" x14ac:dyDescent="0.2">
      <c r="A239" s="436" t="s">
        <v>463</v>
      </c>
      <c r="B239" s="435">
        <v>4868</v>
      </c>
      <c r="C239" s="1597">
        <v>0</v>
      </c>
      <c r="D239" s="1573">
        <v>0</v>
      </c>
      <c r="E239" s="1573">
        <v>0</v>
      </c>
      <c r="F239" s="1573">
        <v>0</v>
      </c>
      <c r="G239" s="1573">
        <v>0</v>
      </c>
      <c r="H239" s="1573">
        <v>0</v>
      </c>
      <c r="I239" s="1574"/>
      <c r="J239" s="1573"/>
      <c r="K239" s="1573"/>
    </row>
    <row r="240" spans="1:11" ht="12.75" customHeight="1" x14ac:dyDescent="0.2">
      <c r="A240" s="436" t="s">
        <v>462</v>
      </c>
      <c r="B240" s="435">
        <v>4869</v>
      </c>
      <c r="C240" s="1597">
        <v>0</v>
      </c>
      <c r="D240" s="1573">
        <v>0</v>
      </c>
      <c r="E240" s="1573">
        <v>0</v>
      </c>
      <c r="F240" s="1573">
        <v>0</v>
      </c>
      <c r="G240" s="1573">
        <v>0</v>
      </c>
      <c r="H240" s="1573">
        <v>0</v>
      </c>
      <c r="I240" s="1574"/>
      <c r="J240" s="1573"/>
      <c r="K240" s="1573"/>
    </row>
    <row r="241" spans="1:11" ht="12.75" customHeight="1" x14ac:dyDescent="0.2">
      <c r="A241" s="436" t="s">
        <v>1118</v>
      </c>
      <c r="B241" s="435">
        <v>4870</v>
      </c>
      <c r="C241" s="1597">
        <v>0</v>
      </c>
      <c r="D241" s="1573">
        <v>0</v>
      </c>
      <c r="E241" s="1573"/>
      <c r="F241" s="1573">
        <v>0</v>
      </c>
      <c r="G241" s="1573">
        <v>0</v>
      </c>
      <c r="H241" s="1573">
        <v>0</v>
      </c>
      <c r="I241" s="1574"/>
      <c r="J241" s="1573"/>
      <c r="K241" s="1573"/>
    </row>
    <row r="242" spans="1:11" ht="12.75" customHeight="1" x14ac:dyDescent="0.2">
      <c r="A242" s="436" t="s">
        <v>783</v>
      </c>
      <c r="B242" s="435">
        <v>4871</v>
      </c>
      <c r="C242" s="1597">
        <v>0</v>
      </c>
      <c r="D242" s="1573">
        <v>0</v>
      </c>
      <c r="E242" s="1573"/>
      <c r="F242" s="1573">
        <v>0</v>
      </c>
      <c r="G242" s="1573">
        <v>0</v>
      </c>
      <c r="H242" s="1573">
        <v>0</v>
      </c>
      <c r="I242" s="1574"/>
      <c r="J242" s="1573"/>
      <c r="K242" s="1573"/>
    </row>
    <row r="243" spans="1:11" ht="12.75" customHeight="1" x14ac:dyDescent="0.2">
      <c r="A243" s="436" t="s">
        <v>784</v>
      </c>
      <c r="B243" s="435">
        <v>4872</v>
      </c>
      <c r="C243" s="1597">
        <v>0</v>
      </c>
      <c r="D243" s="1573">
        <v>0</v>
      </c>
      <c r="E243" s="1573"/>
      <c r="F243" s="1573">
        <v>0</v>
      </c>
      <c r="G243" s="1573">
        <v>0</v>
      </c>
      <c r="H243" s="1573">
        <v>0</v>
      </c>
      <c r="I243" s="1574"/>
      <c r="J243" s="1573"/>
      <c r="K243" s="1573"/>
    </row>
    <row r="244" spans="1:11" ht="12.75" customHeight="1" x14ac:dyDescent="0.2">
      <c r="A244" s="436" t="s">
        <v>785</v>
      </c>
      <c r="B244" s="435">
        <v>4873</v>
      </c>
      <c r="C244" s="1597">
        <v>0</v>
      </c>
      <c r="D244" s="1573">
        <v>0</v>
      </c>
      <c r="E244" s="1573"/>
      <c r="F244" s="1573">
        <v>0</v>
      </c>
      <c r="G244" s="1573">
        <v>0</v>
      </c>
      <c r="H244" s="1573">
        <v>0</v>
      </c>
      <c r="I244" s="1574"/>
      <c r="J244" s="1573"/>
      <c r="K244" s="1573"/>
    </row>
    <row r="245" spans="1:11" ht="12.75" customHeight="1" x14ac:dyDescent="0.2">
      <c r="A245" s="436" t="s">
        <v>786</v>
      </c>
      <c r="B245" s="435">
        <v>4874</v>
      </c>
      <c r="C245" s="1597">
        <v>0</v>
      </c>
      <c r="D245" s="1573">
        <v>0</v>
      </c>
      <c r="E245" s="1573"/>
      <c r="F245" s="1573">
        <v>0</v>
      </c>
      <c r="G245" s="1573">
        <v>0</v>
      </c>
      <c r="H245" s="1573">
        <v>0</v>
      </c>
      <c r="I245" s="1574"/>
      <c r="J245" s="1573"/>
      <c r="K245" s="1573"/>
    </row>
    <row r="246" spans="1:11" ht="12.75" customHeight="1" x14ac:dyDescent="0.2">
      <c r="A246" s="436" t="s">
        <v>468</v>
      </c>
      <c r="B246" s="435">
        <v>4875</v>
      </c>
      <c r="C246" s="1597">
        <v>0</v>
      </c>
      <c r="D246" s="1573">
        <v>0</v>
      </c>
      <c r="E246" s="1573"/>
      <c r="F246" s="1573">
        <v>0</v>
      </c>
      <c r="G246" s="1573">
        <v>0</v>
      </c>
      <c r="H246" s="1573">
        <v>0</v>
      </c>
      <c r="I246" s="1574"/>
      <c r="J246" s="1573"/>
      <c r="K246" s="1573"/>
    </row>
    <row r="247" spans="1:11" ht="12.75" customHeight="1" x14ac:dyDescent="0.2">
      <c r="A247" s="436" t="s">
        <v>765</v>
      </c>
      <c r="B247" s="435">
        <v>4876</v>
      </c>
      <c r="C247" s="1597">
        <v>0</v>
      </c>
      <c r="D247" s="1573">
        <v>0</v>
      </c>
      <c r="E247" s="1573"/>
      <c r="F247" s="1573">
        <v>0</v>
      </c>
      <c r="G247" s="1573">
        <v>0</v>
      </c>
      <c r="H247" s="1573">
        <v>0</v>
      </c>
      <c r="I247" s="1574"/>
      <c r="J247" s="1573"/>
      <c r="K247" s="1573"/>
    </row>
    <row r="248" spans="1:11" ht="12.75" customHeight="1" x14ac:dyDescent="0.2">
      <c r="A248" s="436" t="s">
        <v>766</v>
      </c>
      <c r="B248" s="435">
        <v>4877</v>
      </c>
      <c r="C248" s="1597">
        <v>0</v>
      </c>
      <c r="D248" s="1573">
        <v>0</v>
      </c>
      <c r="E248" s="1573"/>
      <c r="F248" s="1573">
        <v>0</v>
      </c>
      <c r="G248" s="1573">
        <v>0</v>
      </c>
      <c r="H248" s="1573">
        <v>0</v>
      </c>
      <c r="I248" s="1574"/>
      <c r="J248" s="1573"/>
      <c r="K248" s="1573"/>
    </row>
    <row r="249" spans="1:11" ht="12.75" customHeight="1" x14ac:dyDescent="0.2">
      <c r="A249" s="436" t="s">
        <v>767</v>
      </c>
      <c r="B249" s="435">
        <v>4878</v>
      </c>
      <c r="C249" s="1597">
        <v>0</v>
      </c>
      <c r="D249" s="1573">
        <v>0</v>
      </c>
      <c r="E249" s="1573"/>
      <c r="F249" s="1573">
        <v>0</v>
      </c>
      <c r="G249" s="1573">
        <v>0</v>
      </c>
      <c r="H249" s="1573">
        <v>0</v>
      </c>
      <c r="I249" s="1574"/>
      <c r="J249" s="1573"/>
      <c r="K249" s="1573"/>
    </row>
    <row r="250" spans="1:11" ht="12.75" customHeight="1" x14ac:dyDescent="0.2">
      <c r="A250" s="436" t="s">
        <v>768</v>
      </c>
      <c r="B250" s="435">
        <v>4879</v>
      </c>
      <c r="C250" s="1597">
        <v>0</v>
      </c>
      <c r="D250" s="1573">
        <v>0</v>
      </c>
      <c r="E250" s="1573"/>
      <c r="F250" s="1573">
        <v>0</v>
      </c>
      <c r="G250" s="1573">
        <v>0</v>
      </c>
      <c r="H250" s="1573">
        <v>0</v>
      </c>
      <c r="I250" s="1574"/>
      <c r="J250" s="1573"/>
      <c r="K250" s="1573"/>
    </row>
    <row r="251" spans="1:11" ht="12.75" customHeight="1" x14ac:dyDescent="0.2">
      <c r="A251" s="220" t="s">
        <v>1438</v>
      </c>
      <c r="B251" s="486">
        <v>4880</v>
      </c>
      <c r="C251" s="1597">
        <v>0</v>
      </c>
      <c r="D251" s="1573">
        <v>0</v>
      </c>
      <c r="E251" s="1573"/>
      <c r="F251" s="1573">
        <v>0</v>
      </c>
      <c r="G251" s="1573">
        <v>0</v>
      </c>
      <c r="H251" s="1573">
        <v>0</v>
      </c>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v>0</v>
      </c>
      <c r="D253" s="1575"/>
      <c r="E253" s="1574"/>
      <c r="F253" s="1574"/>
      <c r="G253" s="1574"/>
      <c r="H253" s="1574"/>
      <c r="I253" s="1574"/>
      <c r="J253" s="1574"/>
      <c r="K253" s="1574"/>
    </row>
    <row r="254" spans="1:11" ht="12.75" customHeight="1" thickTop="1" thickBot="1" x14ac:dyDescent="0.25">
      <c r="A254" s="1272" t="s">
        <v>1446</v>
      </c>
      <c r="B254" s="488">
        <v>4902</v>
      </c>
      <c r="C254" s="1666">
        <v>0</v>
      </c>
      <c r="D254" s="1667">
        <v>0</v>
      </c>
      <c r="E254" s="1575"/>
      <c r="F254" s="1667">
        <v>0</v>
      </c>
      <c r="G254" s="1667">
        <v>0</v>
      </c>
      <c r="H254" s="1575"/>
      <c r="I254" s="1574"/>
      <c r="J254" s="1575"/>
      <c r="K254" s="1575"/>
    </row>
    <row r="255" spans="1:11" ht="12.75" customHeight="1" thickTop="1" thickBot="1" x14ac:dyDescent="0.25">
      <c r="A255" s="427" t="s">
        <v>1439</v>
      </c>
      <c r="B255" s="429">
        <v>4905</v>
      </c>
      <c r="C255" s="1648">
        <v>0</v>
      </c>
      <c r="D255" s="1574"/>
      <c r="E255" s="1574"/>
      <c r="F255" s="1652">
        <v>0</v>
      </c>
      <c r="G255" s="1648">
        <v>0</v>
      </c>
      <c r="H255" s="1574"/>
      <c r="I255" s="1574"/>
      <c r="J255" s="1574"/>
      <c r="K255" s="1574"/>
    </row>
    <row r="256" spans="1:11" ht="12.75" customHeight="1" thickTop="1" thickBot="1" x14ac:dyDescent="0.25">
      <c r="A256" s="427" t="s">
        <v>1440</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0</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1892</v>
      </c>
      <c r="B261" s="429">
        <v>4981</v>
      </c>
      <c r="C261" s="1649">
        <v>0</v>
      </c>
      <c r="D261" s="1650">
        <v>0</v>
      </c>
      <c r="E261" s="1574"/>
      <c r="F261" s="1650">
        <v>0</v>
      </c>
      <c r="G261" s="1650">
        <v>0</v>
      </c>
      <c r="H261" s="1574"/>
      <c r="I261" s="1574"/>
      <c r="J261" s="1574"/>
      <c r="K261" s="1574"/>
    </row>
    <row r="262" spans="1:11" ht="12.75" customHeight="1" thickTop="1" thickBot="1" x14ac:dyDescent="0.25">
      <c r="A262" s="1539" t="s">
        <v>1893</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59117</v>
      </c>
      <c r="D263" s="1650">
        <v>0</v>
      </c>
      <c r="E263" s="1574"/>
      <c r="F263" s="1650">
        <v>0</v>
      </c>
      <c r="G263" s="1650">
        <v>0</v>
      </c>
      <c r="H263" s="1574"/>
      <c r="I263" s="1574"/>
      <c r="J263" s="1574"/>
      <c r="K263" s="1574"/>
    </row>
    <row r="264" spans="1:11" ht="12.75" customHeight="1" thickTop="1" thickBot="1" x14ac:dyDescent="0.25">
      <c r="A264" s="427" t="s">
        <v>374</v>
      </c>
      <c r="B264" s="429">
        <v>4992</v>
      </c>
      <c r="C264" s="1649">
        <v>107773</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1647</v>
      </c>
      <c r="B266" s="1418"/>
      <c r="C266" s="1640">
        <f t="shared" ref="C266:H266" si="10">SUM(C188,C198,C204,C209,C217,C221,C222,C252:C265)</f>
        <v>2796459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2796459</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6300952</v>
      </c>
      <c r="D268" s="1640">
        <f t="shared" si="12"/>
        <v>0</v>
      </c>
      <c r="E268" s="1640">
        <f t="shared" si="12"/>
        <v>0</v>
      </c>
      <c r="F268" s="1640">
        <f t="shared" si="12"/>
        <v>0</v>
      </c>
      <c r="G268" s="1640">
        <f t="shared" si="12"/>
        <v>0</v>
      </c>
      <c r="H268" s="1640">
        <f t="shared" si="12"/>
        <v>0</v>
      </c>
      <c r="I268" s="1640">
        <f t="shared" si="12"/>
        <v>0</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2" right="0.2" top="0.66" bottom="0.46" header="0.26" footer="0.17"/>
  <pageSetup scale="72"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90" workbookViewId="0">
      <pane ySplit="2" topLeftCell="A3" activePane="bottomLeft" state="frozen"/>
      <selection activeCell="A10" sqref="A10:F1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18"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5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456" t="s">
        <v>294</v>
      </c>
      <c r="B3" s="245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0</v>
      </c>
      <c r="D5" s="1572">
        <v>0</v>
      </c>
      <c r="E5" s="1572">
        <v>0</v>
      </c>
      <c r="F5" s="1572">
        <v>0</v>
      </c>
      <c r="G5" s="1572">
        <v>0</v>
      </c>
      <c r="H5" s="1572">
        <v>0</v>
      </c>
      <c r="I5" s="1573">
        <v>0</v>
      </c>
      <c r="J5" s="1573">
        <v>0</v>
      </c>
      <c r="K5" s="1671">
        <f>SUM(C5:J5)</f>
        <v>0</v>
      </c>
      <c r="L5" s="1572">
        <v>0</v>
      </c>
    </row>
    <row r="6" spans="1:14" x14ac:dyDescent="0.2">
      <c r="A6" s="1273" t="s">
        <v>1416</v>
      </c>
      <c r="B6" s="503" t="s">
        <v>1414</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2109253</v>
      </c>
      <c r="D8" s="1572">
        <v>502861</v>
      </c>
      <c r="E8" s="1572">
        <v>25105</v>
      </c>
      <c r="F8" s="1572">
        <v>43670</v>
      </c>
      <c r="G8" s="1572">
        <v>54535</v>
      </c>
      <c r="H8" s="1572">
        <v>0</v>
      </c>
      <c r="I8" s="1573">
        <v>0</v>
      </c>
      <c r="J8" s="1573">
        <v>0</v>
      </c>
      <c r="K8" s="1671">
        <f t="shared" si="0"/>
        <v>2735424</v>
      </c>
      <c r="L8" s="1572">
        <v>2798549</v>
      </c>
    </row>
    <row r="9" spans="1:14" x14ac:dyDescent="0.2">
      <c r="A9" s="1273" t="s">
        <v>716</v>
      </c>
      <c r="B9" s="503" t="s">
        <v>962</v>
      </c>
      <c r="C9" s="1573">
        <v>182273</v>
      </c>
      <c r="D9" s="1573">
        <v>51361</v>
      </c>
      <c r="E9" s="1573">
        <v>1342</v>
      </c>
      <c r="F9" s="1573">
        <v>6349</v>
      </c>
      <c r="G9" s="1573">
        <v>4300</v>
      </c>
      <c r="H9" s="1573">
        <v>0</v>
      </c>
      <c r="I9" s="1573">
        <v>0</v>
      </c>
      <c r="J9" s="1573">
        <v>0</v>
      </c>
      <c r="K9" s="1671">
        <f t="shared" si="0"/>
        <v>245625</v>
      </c>
      <c r="L9" s="1572">
        <v>255116</v>
      </c>
    </row>
    <row r="10" spans="1:14" x14ac:dyDescent="0.2">
      <c r="A10" s="1273" t="s">
        <v>717</v>
      </c>
      <c r="B10" s="503">
        <v>1250</v>
      </c>
      <c r="C10" s="1572">
        <v>0</v>
      </c>
      <c r="D10" s="1572">
        <v>0</v>
      </c>
      <c r="E10" s="1572">
        <v>0</v>
      </c>
      <c r="F10" s="1572">
        <v>0</v>
      </c>
      <c r="G10" s="1572">
        <v>0</v>
      </c>
      <c r="H10" s="1572">
        <v>0</v>
      </c>
      <c r="I10" s="1573">
        <v>0</v>
      </c>
      <c r="J10" s="1573">
        <v>0</v>
      </c>
      <c r="K10" s="1671">
        <f t="shared" si="0"/>
        <v>0</v>
      </c>
      <c r="L10" s="1572">
        <v>0</v>
      </c>
    </row>
    <row r="11" spans="1:14" x14ac:dyDescent="0.2">
      <c r="A11" s="1273" t="s">
        <v>1120</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46912</v>
      </c>
      <c r="F13" s="1572">
        <v>0</v>
      </c>
      <c r="G13" s="1572">
        <v>0</v>
      </c>
      <c r="H13" s="1572">
        <v>0</v>
      </c>
      <c r="I13" s="1573">
        <v>0</v>
      </c>
      <c r="J13" s="1573">
        <v>0</v>
      </c>
      <c r="K13" s="1671">
        <f t="shared" si="0"/>
        <v>46912</v>
      </c>
      <c r="L13" s="1572">
        <v>47000</v>
      </c>
    </row>
    <row r="14" spans="1:14" x14ac:dyDescent="0.2">
      <c r="A14" s="1273" t="s">
        <v>957</v>
      </c>
      <c r="B14" s="503">
        <v>1500</v>
      </c>
      <c r="C14" s="1572">
        <v>0</v>
      </c>
      <c r="D14" s="1572">
        <v>0</v>
      </c>
      <c r="E14" s="1572">
        <v>0</v>
      </c>
      <c r="F14" s="1572">
        <v>0</v>
      </c>
      <c r="G14" s="1572">
        <v>0</v>
      </c>
      <c r="H14" s="1572">
        <v>0</v>
      </c>
      <c r="I14" s="1573">
        <v>0</v>
      </c>
      <c r="J14" s="1573">
        <v>0</v>
      </c>
      <c r="K14" s="1671">
        <f t="shared" si="0"/>
        <v>0</v>
      </c>
      <c r="L14" s="1572">
        <v>0</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1078</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1119</v>
      </c>
      <c r="B32" s="503" t="s">
        <v>732</v>
      </c>
      <c r="C32" s="1581"/>
      <c r="D32" s="1581"/>
      <c r="E32" s="1581"/>
      <c r="F32" s="1581"/>
      <c r="G32" s="1581"/>
      <c r="H32" s="1578">
        <v>0</v>
      </c>
      <c r="I32" s="1672"/>
      <c r="J32" s="1584"/>
      <c r="K32" s="1671">
        <f t="shared" si="0"/>
        <v>0</v>
      </c>
      <c r="L32" s="1576">
        <v>0</v>
      </c>
    </row>
    <row r="33" spans="1:14" ht="12.75" customHeight="1" thickBot="1" x14ac:dyDescent="0.25">
      <c r="A33" s="1379" t="s">
        <v>1649</v>
      </c>
      <c r="B33" s="1380" t="s">
        <v>566</v>
      </c>
      <c r="C33" s="1673">
        <f>SUM(C5:C32)</f>
        <v>2291526</v>
      </c>
      <c r="D33" s="1673">
        <f t="shared" ref="D33:L33" si="1">SUM(D5:D32)</f>
        <v>554222</v>
      </c>
      <c r="E33" s="1673">
        <f t="shared" si="1"/>
        <v>73359</v>
      </c>
      <c r="F33" s="1673">
        <f t="shared" si="1"/>
        <v>50019</v>
      </c>
      <c r="G33" s="1673">
        <f t="shared" si="1"/>
        <v>58835</v>
      </c>
      <c r="H33" s="1673">
        <f t="shared" si="1"/>
        <v>0</v>
      </c>
      <c r="I33" s="1673">
        <f t="shared" si="1"/>
        <v>0</v>
      </c>
      <c r="J33" s="1673">
        <f t="shared" si="1"/>
        <v>0</v>
      </c>
      <c r="K33" s="1673">
        <f t="shared" si="1"/>
        <v>3027961</v>
      </c>
      <c r="L33" s="1673">
        <f t="shared" si="1"/>
        <v>3100665</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333753</v>
      </c>
      <c r="D36" s="1585">
        <v>85971</v>
      </c>
      <c r="E36" s="1585">
        <v>6742</v>
      </c>
      <c r="F36" s="1585">
        <v>956</v>
      </c>
      <c r="G36" s="1585">
        <v>6450</v>
      </c>
      <c r="H36" s="1585">
        <v>0</v>
      </c>
      <c r="I36" s="1573">
        <v>0</v>
      </c>
      <c r="J36" s="1573">
        <v>0</v>
      </c>
      <c r="K36" s="1671">
        <f t="shared" ref="K36:K41" si="2">SUM(C36:J36)</f>
        <v>433872</v>
      </c>
      <c r="L36" s="1572">
        <v>435083</v>
      </c>
    </row>
    <row r="37" spans="1:14" x14ac:dyDescent="0.2">
      <c r="A37" s="1273" t="s">
        <v>1081</v>
      </c>
      <c r="B37" s="503">
        <v>2120</v>
      </c>
      <c r="C37" s="1572">
        <v>29386</v>
      </c>
      <c r="D37" s="1572">
        <v>4604</v>
      </c>
      <c r="E37" s="1572">
        <v>6020</v>
      </c>
      <c r="F37" s="1572">
        <v>0</v>
      </c>
      <c r="G37" s="1572">
        <v>2150</v>
      </c>
      <c r="H37" s="1572">
        <v>0</v>
      </c>
      <c r="I37" s="1573">
        <v>0</v>
      </c>
      <c r="J37" s="1573">
        <v>0</v>
      </c>
      <c r="K37" s="1671">
        <f t="shared" si="2"/>
        <v>42160</v>
      </c>
      <c r="L37" s="1572">
        <v>44936</v>
      </c>
    </row>
    <row r="38" spans="1:14" x14ac:dyDescent="0.2">
      <c r="A38" s="1273" t="s">
        <v>196</v>
      </c>
      <c r="B38" s="503">
        <v>2130</v>
      </c>
      <c r="C38" s="1572">
        <v>237369</v>
      </c>
      <c r="D38" s="1572">
        <v>63254</v>
      </c>
      <c r="E38" s="1572">
        <v>33385</v>
      </c>
      <c r="F38" s="1572">
        <v>3719</v>
      </c>
      <c r="G38" s="1572">
        <v>2150</v>
      </c>
      <c r="H38" s="1572">
        <v>0</v>
      </c>
      <c r="I38" s="1572">
        <v>0</v>
      </c>
      <c r="J38" s="1572">
        <v>0</v>
      </c>
      <c r="K38" s="1671">
        <f t="shared" si="2"/>
        <v>339877</v>
      </c>
      <c r="L38" s="1572">
        <v>347176</v>
      </c>
    </row>
    <row r="39" spans="1:14" x14ac:dyDescent="0.2">
      <c r="A39" s="1273" t="s">
        <v>197</v>
      </c>
      <c r="B39" s="503">
        <v>2140</v>
      </c>
      <c r="C39" s="1572">
        <v>436974</v>
      </c>
      <c r="D39" s="1572">
        <v>109818</v>
      </c>
      <c r="E39" s="1572">
        <v>8835</v>
      </c>
      <c r="F39" s="1572">
        <v>6507</v>
      </c>
      <c r="G39" s="1572">
        <v>8600</v>
      </c>
      <c r="H39" s="1572">
        <v>0</v>
      </c>
      <c r="I39" s="1573">
        <v>0</v>
      </c>
      <c r="J39" s="1573">
        <v>0</v>
      </c>
      <c r="K39" s="1671">
        <f t="shared" si="2"/>
        <v>570734</v>
      </c>
      <c r="L39" s="1572">
        <v>577030</v>
      </c>
    </row>
    <row r="40" spans="1:14" x14ac:dyDescent="0.2">
      <c r="A40" s="1273" t="s">
        <v>198</v>
      </c>
      <c r="B40" s="503">
        <v>2150</v>
      </c>
      <c r="C40" s="1572">
        <v>166500</v>
      </c>
      <c r="D40" s="1572">
        <v>47007</v>
      </c>
      <c r="E40" s="1572">
        <v>4384</v>
      </c>
      <c r="F40" s="1572">
        <v>1596</v>
      </c>
      <c r="G40" s="1572">
        <v>0</v>
      </c>
      <c r="H40" s="1572">
        <v>0</v>
      </c>
      <c r="I40" s="1573">
        <v>0</v>
      </c>
      <c r="J40" s="1573">
        <v>0</v>
      </c>
      <c r="K40" s="1671">
        <f t="shared" si="2"/>
        <v>219487</v>
      </c>
      <c r="L40" s="1572">
        <v>220120</v>
      </c>
    </row>
    <row r="41" spans="1:14" x14ac:dyDescent="0.2">
      <c r="A41" s="1273" t="s">
        <v>1650</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1203982</v>
      </c>
      <c r="D42" s="1673">
        <f t="shared" ref="D42:L42" si="3">SUM(D36:D41)</f>
        <v>310654</v>
      </c>
      <c r="E42" s="1673">
        <f t="shared" si="3"/>
        <v>59366</v>
      </c>
      <c r="F42" s="1673">
        <f t="shared" si="3"/>
        <v>12778</v>
      </c>
      <c r="G42" s="1673">
        <f t="shared" si="3"/>
        <v>19350</v>
      </c>
      <c r="H42" s="1673">
        <f t="shared" si="3"/>
        <v>0</v>
      </c>
      <c r="I42" s="1673">
        <f t="shared" si="3"/>
        <v>0</v>
      </c>
      <c r="J42" s="1673">
        <f t="shared" si="3"/>
        <v>0</v>
      </c>
      <c r="K42" s="1673">
        <f t="shared" si="3"/>
        <v>1606130</v>
      </c>
      <c r="L42" s="1673">
        <f t="shared" si="3"/>
        <v>1624345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77625</v>
      </c>
      <c r="D44" s="1585">
        <v>19251</v>
      </c>
      <c r="E44" s="1585">
        <v>163306</v>
      </c>
      <c r="F44" s="1585">
        <v>0</v>
      </c>
      <c r="G44" s="1585">
        <v>0</v>
      </c>
      <c r="H44" s="1585">
        <v>0</v>
      </c>
      <c r="I44" s="1573">
        <v>0</v>
      </c>
      <c r="J44" s="1573">
        <v>0</v>
      </c>
      <c r="K44" s="1677">
        <f>SUM(C44:J44)</f>
        <v>260182</v>
      </c>
      <c r="L44" s="1585">
        <v>262461</v>
      </c>
    </row>
    <row r="45" spans="1:14" x14ac:dyDescent="0.2">
      <c r="A45" s="1273" t="s">
        <v>810</v>
      </c>
      <c r="B45" s="503">
        <v>2220</v>
      </c>
      <c r="C45" s="1572">
        <v>0</v>
      </c>
      <c r="D45" s="1572">
        <v>0</v>
      </c>
      <c r="E45" s="1572">
        <v>0</v>
      </c>
      <c r="F45" s="1572">
        <v>0</v>
      </c>
      <c r="G45" s="1572">
        <v>0</v>
      </c>
      <c r="H45" s="1572">
        <v>0</v>
      </c>
      <c r="I45" s="1573">
        <v>0</v>
      </c>
      <c r="J45" s="1573">
        <v>0</v>
      </c>
      <c r="K45" s="1677">
        <f>SUM(C45:J45)</f>
        <v>0</v>
      </c>
      <c r="L45" s="1572">
        <v>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77625</v>
      </c>
      <c r="D47" s="1673">
        <f t="shared" ref="D47:K47" si="4">SUM(D44:D46)</f>
        <v>19251</v>
      </c>
      <c r="E47" s="1673">
        <f t="shared" si="4"/>
        <v>163306</v>
      </c>
      <c r="F47" s="1673">
        <f t="shared" si="4"/>
        <v>0</v>
      </c>
      <c r="G47" s="1673">
        <f t="shared" si="4"/>
        <v>0</v>
      </c>
      <c r="H47" s="1673">
        <f t="shared" si="4"/>
        <v>0</v>
      </c>
      <c r="I47" s="1673">
        <f t="shared" si="4"/>
        <v>0</v>
      </c>
      <c r="J47" s="1673">
        <f t="shared" si="4"/>
        <v>0</v>
      </c>
      <c r="K47" s="1673">
        <f t="shared" si="4"/>
        <v>260182</v>
      </c>
      <c r="L47" s="1673">
        <f>SUM(L44:L46)</f>
        <v>262461</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278971</v>
      </c>
      <c r="D49" s="1585">
        <v>110094</v>
      </c>
      <c r="E49" s="1585">
        <v>82625</v>
      </c>
      <c r="F49" s="1585">
        <v>67246</v>
      </c>
      <c r="G49" s="1585">
        <v>20710</v>
      </c>
      <c r="H49" s="1585">
        <v>0</v>
      </c>
      <c r="I49" s="1573">
        <v>0</v>
      </c>
      <c r="J49" s="1573">
        <v>0</v>
      </c>
      <c r="K49" s="1677">
        <f>SUM(C49:J49)</f>
        <v>559646</v>
      </c>
      <c r="L49" s="1585">
        <v>615138</v>
      </c>
    </row>
    <row r="50" spans="1:14" x14ac:dyDescent="0.2">
      <c r="A50" s="1273" t="s">
        <v>813</v>
      </c>
      <c r="B50" s="503">
        <v>2320</v>
      </c>
      <c r="C50" s="1573">
        <v>120200</v>
      </c>
      <c r="D50" s="1572">
        <v>28075</v>
      </c>
      <c r="E50" s="1572">
        <v>5759</v>
      </c>
      <c r="F50" s="1572">
        <v>0</v>
      </c>
      <c r="G50" s="1572">
        <v>0</v>
      </c>
      <c r="H50" s="1572">
        <v>0</v>
      </c>
      <c r="I50" s="1573">
        <v>0</v>
      </c>
      <c r="J50" s="1573">
        <v>0</v>
      </c>
      <c r="K50" s="1677">
        <f>SUM(C50:J50)</f>
        <v>154034</v>
      </c>
      <c r="L50" s="1572">
        <v>165720</v>
      </c>
    </row>
    <row r="51" spans="1:14" x14ac:dyDescent="0.2">
      <c r="A51" s="1273" t="s">
        <v>42</v>
      </c>
      <c r="B51" s="503">
        <v>2330</v>
      </c>
      <c r="C51" s="1572">
        <v>0</v>
      </c>
      <c r="D51" s="1572">
        <v>0</v>
      </c>
      <c r="E51" s="1572">
        <v>14089</v>
      </c>
      <c r="F51" s="1572">
        <v>0</v>
      </c>
      <c r="G51" s="1572">
        <v>0</v>
      </c>
      <c r="H51" s="1572">
        <v>0</v>
      </c>
      <c r="I51" s="1573">
        <v>0</v>
      </c>
      <c r="J51" s="1573">
        <v>0</v>
      </c>
      <c r="K51" s="1677">
        <f>SUM(C51:J51)</f>
        <v>14089</v>
      </c>
      <c r="L51" s="1572">
        <v>17540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399171</v>
      </c>
      <c r="D53" s="1673">
        <f t="shared" ref="D53:L53" si="5">SUM(D49:D52)</f>
        <v>138169</v>
      </c>
      <c r="E53" s="1673">
        <f t="shared" si="5"/>
        <v>102473</v>
      </c>
      <c r="F53" s="1673">
        <f t="shared" si="5"/>
        <v>67246</v>
      </c>
      <c r="G53" s="1673">
        <f t="shared" si="5"/>
        <v>20710</v>
      </c>
      <c r="H53" s="1673">
        <f t="shared" si="5"/>
        <v>0</v>
      </c>
      <c r="I53" s="1673">
        <f t="shared" si="5"/>
        <v>0</v>
      </c>
      <c r="J53" s="1673">
        <f t="shared" si="5"/>
        <v>0</v>
      </c>
      <c r="K53" s="1673">
        <f t="shared" si="5"/>
        <v>727769</v>
      </c>
      <c r="L53" s="1673">
        <f t="shared" si="5"/>
        <v>798398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28865</v>
      </c>
      <c r="D55" s="1585">
        <v>12507</v>
      </c>
      <c r="E55" s="1585">
        <v>0</v>
      </c>
      <c r="F55" s="1585">
        <v>0</v>
      </c>
      <c r="G55" s="1585">
        <v>0</v>
      </c>
      <c r="H55" s="1585">
        <v>0</v>
      </c>
      <c r="I55" s="1573">
        <v>0</v>
      </c>
      <c r="J55" s="1573">
        <v>0</v>
      </c>
      <c r="K55" s="1677">
        <f>SUM(C55:J55)</f>
        <v>41372</v>
      </c>
      <c r="L55" s="1585">
        <v>42072</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28865</v>
      </c>
      <c r="D57" s="1678">
        <f t="shared" ref="D57:K57" si="6">SUM(D55:D56)</f>
        <v>12507</v>
      </c>
      <c r="E57" s="1678">
        <f t="shared" si="6"/>
        <v>0</v>
      </c>
      <c r="F57" s="1678">
        <f t="shared" si="6"/>
        <v>0</v>
      </c>
      <c r="G57" s="1678">
        <f t="shared" si="6"/>
        <v>0</v>
      </c>
      <c r="H57" s="1678">
        <f t="shared" si="6"/>
        <v>0</v>
      </c>
      <c r="I57" s="1678">
        <f t="shared" si="6"/>
        <v>0</v>
      </c>
      <c r="J57" s="1678">
        <f t="shared" si="6"/>
        <v>0</v>
      </c>
      <c r="K57" s="1678">
        <f t="shared" si="6"/>
        <v>41372</v>
      </c>
      <c r="L57" s="1673">
        <f>SUM(L55:L56)</f>
        <v>42072</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52049</v>
      </c>
      <c r="D60" s="1572">
        <v>16823</v>
      </c>
      <c r="E60" s="1572">
        <v>3140</v>
      </c>
      <c r="F60" s="1572">
        <v>0</v>
      </c>
      <c r="G60" s="1572">
        <v>0</v>
      </c>
      <c r="H60" s="1572">
        <v>0</v>
      </c>
      <c r="I60" s="1573">
        <v>0</v>
      </c>
      <c r="J60" s="1573">
        <v>0</v>
      </c>
      <c r="K60" s="1677">
        <f t="shared" si="7"/>
        <v>72012</v>
      </c>
      <c r="L60" s="1572">
        <v>76099</v>
      </c>
      <c r="M60" s="501"/>
      <c r="N60" s="501"/>
    </row>
    <row r="61" spans="1:14" s="321" customFormat="1" x14ac:dyDescent="0.2">
      <c r="A61" s="1273" t="s">
        <v>195</v>
      </c>
      <c r="B61" s="503">
        <v>2540</v>
      </c>
      <c r="C61" s="1572">
        <v>0</v>
      </c>
      <c r="D61" s="1572">
        <v>0</v>
      </c>
      <c r="E61" s="1572">
        <v>106330</v>
      </c>
      <c r="F61" s="1572">
        <v>12680</v>
      </c>
      <c r="G61" s="1572">
        <v>0</v>
      </c>
      <c r="H61" s="1572">
        <v>0</v>
      </c>
      <c r="I61" s="1573">
        <v>0</v>
      </c>
      <c r="J61" s="1573">
        <v>0</v>
      </c>
      <c r="K61" s="1677">
        <f t="shared" si="7"/>
        <v>119010</v>
      </c>
      <c r="L61" s="1572">
        <v>124175</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0</v>
      </c>
      <c r="D63" s="1572">
        <v>0</v>
      </c>
      <c r="E63" s="1572">
        <v>0</v>
      </c>
      <c r="F63" s="1572">
        <v>0</v>
      </c>
      <c r="G63" s="1572">
        <v>0</v>
      </c>
      <c r="H63" s="1572">
        <v>0</v>
      </c>
      <c r="I63" s="1573">
        <v>0</v>
      </c>
      <c r="J63" s="1573">
        <v>0</v>
      </c>
      <c r="K63" s="1677">
        <f t="shared" si="7"/>
        <v>0</v>
      </c>
      <c r="L63" s="1572">
        <v>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52049</v>
      </c>
      <c r="D65" s="1673">
        <f t="shared" ref="D65:L65" si="8">SUM(D59:D64)</f>
        <v>16823</v>
      </c>
      <c r="E65" s="1673">
        <f t="shared" si="8"/>
        <v>109470</v>
      </c>
      <c r="F65" s="1673">
        <f t="shared" si="8"/>
        <v>12680</v>
      </c>
      <c r="G65" s="1673">
        <f t="shared" si="8"/>
        <v>0</v>
      </c>
      <c r="H65" s="1673">
        <f t="shared" si="8"/>
        <v>0</v>
      </c>
      <c r="I65" s="1673">
        <f t="shared" si="8"/>
        <v>0</v>
      </c>
      <c r="J65" s="1673">
        <f t="shared" si="8"/>
        <v>0</v>
      </c>
      <c r="K65" s="1673">
        <f t="shared" si="8"/>
        <v>191022</v>
      </c>
      <c r="L65" s="1673">
        <f t="shared" si="8"/>
        <v>200274</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2839</v>
      </c>
      <c r="F70" s="1572">
        <v>0</v>
      </c>
      <c r="G70" s="1572">
        <v>0</v>
      </c>
      <c r="H70" s="1572">
        <v>0</v>
      </c>
      <c r="I70" s="1573">
        <v>0</v>
      </c>
      <c r="J70" s="1573">
        <v>0</v>
      </c>
      <c r="K70" s="1677">
        <f>SUM(C70:J70)</f>
        <v>2839</v>
      </c>
      <c r="L70" s="1572">
        <v>3000</v>
      </c>
      <c r="M70" s="501"/>
      <c r="N70" s="501"/>
    </row>
    <row r="71" spans="1:14" s="321" customFormat="1" x14ac:dyDescent="0.2">
      <c r="A71" s="1273" t="s">
        <v>401</v>
      </c>
      <c r="B71" s="503">
        <v>2660</v>
      </c>
      <c r="C71" s="1572">
        <v>0</v>
      </c>
      <c r="D71" s="1572">
        <v>0</v>
      </c>
      <c r="E71" s="1572">
        <v>0</v>
      </c>
      <c r="F71" s="1572">
        <v>54668</v>
      </c>
      <c r="G71" s="1572">
        <v>0</v>
      </c>
      <c r="H71" s="1572">
        <v>0</v>
      </c>
      <c r="I71" s="1573">
        <v>0</v>
      </c>
      <c r="J71" s="1573">
        <v>0</v>
      </c>
      <c r="K71" s="1677">
        <f>SUM(C71:J71)</f>
        <v>54668</v>
      </c>
      <c r="L71" s="1572">
        <v>52896</v>
      </c>
      <c r="M71" s="501"/>
      <c r="N71" s="501"/>
    </row>
    <row r="72" spans="1:14" s="321" customFormat="1" ht="12.75" customHeight="1" thickBot="1" x14ac:dyDescent="0.25">
      <c r="A72" s="1379" t="s">
        <v>37</v>
      </c>
      <c r="B72" s="1382" t="s">
        <v>36</v>
      </c>
      <c r="C72" s="1673">
        <f>SUM(C67:C71)</f>
        <v>0</v>
      </c>
      <c r="D72" s="1673">
        <f t="shared" ref="D72:K72" si="9">SUM(D67:D71)</f>
        <v>0</v>
      </c>
      <c r="E72" s="1673">
        <f t="shared" si="9"/>
        <v>2839</v>
      </c>
      <c r="F72" s="1673">
        <f t="shared" si="9"/>
        <v>54668</v>
      </c>
      <c r="G72" s="1673">
        <f t="shared" si="9"/>
        <v>0</v>
      </c>
      <c r="H72" s="1673">
        <f t="shared" si="9"/>
        <v>0</v>
      </c>
      <c r="I72" s="1673">
        <f t="shared" si="9"/>
        <v>0</v>
      </c>
      <c r="J72" s="1673">
        <f t="shared" si="9"/>
        <v>0</v>
      </c>
      <c r="K72" s="1673">
        <f t="shared" si="9"/>
        <v>57507</v>
      </c>
      <c r="L72" s="1673">
        <f>SUM(L67:L71)</f>
        <v>55896</v>
      </c>
      <c r="M72" s="501"/>
      <c r="N72" s="501"/>
    </row>
    <row r="73" spans="1:14" s="321" customFormat="1" ht="14.25" thickTop="1" thickBot="1" x14ac:dyDescent="0.25">
      <c r="A73" s="1279" t="s">
        <v>973</v>
      </c>
      <c r="B73" s="515" t="s">
        <v>570</v>
      </c>
      <c r="C73" s="1648">
        <v>0</v>
      </c>
      <c r="D73" s="1648">
        <v>0</v>
      </c>
      <c r="E73" s="1648">
        <v>56496</v>
      </c>
      <c r="F73" s="1648">
        <v>0</v>
      </c>
      <c r="G73" s="1648">
        <v>0</v>
      </c>
      <c r="H73" s="1648">
        <v>0</v>
      </c>
      <c r="I73" s="1626">
        <v>0</v>
      </c>
      <c r="J73" s="1626">
        <v>0</v>
      </c>
      <c r="K73" s="1673">
        <f>SUM(C73:J73)</f>
        <v>56496</v>
      </c>
      <c r="L73" s="1650">
        <v>54500</v>
      </c>
      <c r="M73" s="501"/>
      <c r="N73" s="501"/>
    </row>
    <row r="74" spans="1:14" ht="12.75" customHeight="1" thickTop="1" thickBot="1" x14ac:dyDescent="0.25">
      <c r="A74" s="1379" t="s">
        <v>806</v>
      </c>
      <c r="B74" s="1383">
        <v>2000</v>
      </c>
      <c r="C74" s="1680">
        <f>SUM(C42,C47,C53,C57,C65,C72,C73)</f>
        <v>1761692</v>
      </c>
      <c r="D74" s="1680">
        <f t="shared" ref="D74:K74" si="10">SUM(D42,D47,D53,D57,D65,D72,D73)</f>
        <v>497404</v>
      </c>
      <c r="E74" s="1680">
        <f t="shared" si="10"/>
        <v>493950</v>
      </c>
      <c r="F74" s="1680">
        <f t="shared" si="10"/>
        <v>147372</v>
      </c>
      <c r="G74" s="1680">
        <f t="shared" si="10"/>
        <v>40060</v>
      </c>
      <c r="H74" s="1680">
        <f t="shared" si="10"/>
        <v>0</v>
      </c>
      <c r="I74" s="1680">
        <f t="shared" si="10"/>
        <v>0</v>
      </c>
      <c r="J74" s="1680">
        <f t="shared" si="10"/>
        <v>0</v>
      </c>
      <c r="K74" s="1680">
        <f t="shared" si="10"/>
        <v>2940478</v>
      </c>
      <c r="L74" s="1680">
        <f>SUM(L42,L47,L53,L57,L65,L72,L73)</f>
        <v>3037946</v>
      </c>
    </row>
    <row r="75" spans="1:14" s="254" customFormat="1" ht="15.75" customHeight="1" thickTop="1" thickBot="1" x14ac:dyDescent="0.25">
      <c r="A75" s="1347" t="s">
        <v>47</v>
      </c>
      <c r="B75" s="1348" t="s">
        <v>571</v>
      </c>
      <c r="C75" s="1648">
        <v>0</v>
      </c>
      <c r="D75" s="1648">
        <v>0</v>
      </c>
      <c r="E75" s="1648">
        <v>0</v>
      </c>
      <c r="F75" s="1648">
        <v>0</v>
      </c>
      <c r="G75" s="1648">
        <v>0</v>
      </c>
      <c r="H75" s="1648">
        <v>0</v>
      </c>
      <c r="I75" s="1626">
        <v>0</v>
      </c>
      <c r="J75" s="1626">
        <v>0</v>
      </c>
      <c r="K75" s="1673">
        <f>SUM(C75:J75)</f>
        <v>0</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244069</v>
      </c>
      <c r="F79" s="1672"/>
      <c r="G79" s="1672"/>
      <c r="H79" s="1572">
        <v>209299</v>
      </c>
      <c r="I79" s="1581"/>
      <c r="J79" s="1581"/>
      <c r="K79" s="1671">
        <f t="shared" si="11"/>
        <v>453368</v>
      </c>
      <c r="L79" s="1572">
        <v>487251</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1468</v>
      </c>
      <c r="B84" s="1384">
        <v>4100</v>
      </c>
      <c r="C84" s="1672"/>
      <c r="D84" s="1672"/>
      <c r="E84" s="1673">
        <f>SUM(E78:E83)</f>
        <v>244069</v>
      </c>
      <c r="F84" s="1672"/>
      <c r="G84" s="1672"/>
      <c r="H84" s="1673">
        <f>SUM(H78:H83)</f>
        <v>209299</v>
      </c>
      <c r="I84" s="1581"/>
      <c r="J84" s="1581"/>
      <c r="K84" s="1673">
        <f>SUM(K78:K83)</f>
        <v>453368</v>
      </c>
      <c r="L84" s="1673">
        <f>SUM(L78:L83)</f>
        <v>487251</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1470</v>
      </c>
      <c r="B102" s="1384">
        <v>4000</v>
      </c>
      <c r="C102" s="1672"/>
      <c r="D102" s="1672"/>
      <c r="E102" s="1680">
        <f>SUM(E84,E92,E100,E101)</f>
        <v>244069</v>
      </c>
      <c r="F102" s="1672"/>
      <c r="G102" s="1672"/>
      <c r="H102" s="1680">
        <f>SUM(H84,H92,H100,H101)</f>
        <v>209299</v>
      </c>
      <c r="I102" s="1581"/>
      <c r="J102" s="1581"/>
      <c r="K102" s="1680">
        <f>SUM(K84,K92,K100,K101)</f>
        <v>453368</v>
      </c>
      <c r="L102" s="1680">
        <f>SUM(L84,L92,L100,L101)</f>
        <v>487251</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100</v>
      </c>
      <c r="M113" s="502"/>
      <c r="N113" s="502"/>
    </row>
    <row r="114" spans="1:14" ht="12.75" customHeight="1" thickTop="1" thickBot="1" x14ac:dyDescent="0.25">
      <c r="A114" s="1379" t="s">
        <v>48</v>
      </c>
      <c r="B114" s="1387"/>
      <c r="C114" s="1673">
        <f>SUM(C33,C74,C75,C102,C112,C113)</f>
        <v>4053218</v>
      </c>
      <c r="D114" s="1673">
        <f t="shared" ref="D114:K114" si="13">SUM(D33,D74,D75,D102,D112,D113)</f>
        <v>1051626</v>
      </c>
      <c r="E114" s="1673">
        <f t="shared" si="13"/>
        <v>811378</v>
      </c>
      <c r="F114" s="1673">
        <f t="shared" si="13"/>
        <v>197391</v>
      </c>
      <c r="G114" s="1673">
        <f t="shared" si="13"/>
        <v>98895</v>
      </c>
      <c r="H114" s="1673">
        <f>SUM(H33,H74,H75,H102,H112,H113)</f>
        <v>209299</v>
      </c>
      <c r="I114" s="1673">
        <f t="shared" si="13"/>
        <v>0</v>
      </c>
      <c r="J114" s="1673">
        <f t="shared" si="13"/>
        <v>0</v>
      </c>
      <c r="K114" s="1673">
        <f t="shared" si="13"/>
        <v>6421807</v>
      </c>
      <c r="L114" s="1673">
        <f>SUM(L33,L74,L75,L102,L112,L113)</f>
        <v>6625962</v>
      </c>
    </row>
    <row r="115" spans="1:14" ht="13.5" thickTop="1" x14ac:dyDescent="0.2">
      <c r="A115" s="2475" t="s">
        <v>989</v>
      </c>
      <c r="B115" s="2476"/>
      <c r="C115" s="1674"/>
      <c r="D115" s="1674"/>
      <c r="E115" s="1674"/>
      <c r="F115" s="1674"/>
      <c r="G115" s="1674"/>
      <c r="H115" s="1674"/>
      <c r="I115" s="1674"/>
      <c r="J115" s="1674"/>
      <c r="K115" s="1688">
        <f>'Revenues 9-14'!C268-'Expenditures 15-22'!K114</f>
        <v>-120855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453" t="s">
        <v>293</v>
      </c>
      <c r="B117" s="245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1959</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0</v>
      </c>
      <c r="D124" s="1572">
        <v>0</v>
      </c>
      <c r="E124" s="1572">
        <v>0</v>
      </c>
      <c r="F124" s="1572">
        <v>0</v>
      </c>
      <c r="G124" s="1572">
        <v>0</v>
      </c>
      <c r="H124" s="1572">
        <v>0</v>
      </c>
      <c r="I124" s="1573">
        <v>0</v>
      </c>
      <c r="J124" s="1573">
        <v>0</v>
      </c>
      <c r="K124" s="1673">
        <f>SUM(C124:J124)</f>
        <v>0</v>
      </c>
      <c r="L124" s="1572">
        <v>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0</v>
      </c>
      <c r="D127" s="1673">
        <f t="shared" ref="D127:L127" si="14">SUM(D122:D126)</f>
        <v>0</v>
      </c>
      <c r="E127" s="1673">
        <f t="shared" si="14"/>
        <v>0</v>
      </c>
      <c r="F127" s="1673">
        <f t="shared" si="14"/>
        <v>0</v>
      </c>
      <c r="G127" s="1673">
        <f t="shared" si="14"/>
        <v>0</v>
      </c>
      <c r="H127" s="1673">
        <f t="shared" si="14"/>
        <v>0</v>
      </c>
      <c r="I127" s="1673">
        <f t="shared" si="14"/>
        <v>0</v>
      </c>
      <c r="J127" s="1673">
        <f t="shared" si="14"/>
        <v>0</v>
      </c>
      <c r="K127" s="1673">
        <f t="shared" si="14"/>
        <v>0</v>
      </c>
      <c r="L127" s="1673">
        <f t="shared" si="14"/>
        <v>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0</v>
      </c>
      <c r="D129" s="1680">
        <f t="shared" ref="D129:L129" si="15">SUM(D120,D127,D128)</f>
        <v>0</v>
      </c>
      <c r="E129" s="1680">
        <f t="shared" si="15"/>
        <v>0</v>
      </c>
      <c r="F129" s="1680">
        <f t="shared" si="15"/>
        <v>0</v>
      </c>
      <c r="G129" s="1680">
        <f t="shared" si="15"/>
        <v>0</v>
      </c>
      <c r="H129" s="1680">
        <f t="shared" si="15"/>
        <v>0</v>
      </c>
      <c r="I129" s="1680">
        <f t="shared" si="15"/>
        <v>0</v>
      </c>
      <c r="J129" s="1680">
        <f t="shared" si="15"/>
        <v>0</v>
      </c>
      <c r="K129" s="1680">
        <f t="shared" si="15"/>
        <v>0</v>
      </c>
      <c r="L129" s="1680">
        <f t="shared" si="15"/>
        <v>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1812</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v>0</v>
      </c>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1160</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465" t="s">
        <v>616</v>
      </c>
      <c r="B151" s="2447"/>
      <c r="C151" s="1673">
        <f>SUM(C129,C130,C139,C149,C150)</f>
        <v>0</v>
      </c>
      <c r="D151" s="1673">
        <f t="shared" ref="D151:K151" si="16">SUM(D129,D130,D139,D149,D150)</f>
        <v>0</v>
      </c>
      <c r="E151" s="1673">
        <f t="shared" si="16"/>
        <v>0</v>
      </c>
      <c r="F151" s="1673">
        <f t="shared" si="16"/>
        <v>0</v>
      </c>
      <c r="G151" s="1673">
        <f t="shared" si="16"/>
        <v>0</v>
      </c>
      <c r="H151" s="1673">
        <f t="shared" si="16"/>
        <v>0</v>
      </c>
      <c r="I151" s="1673">
        <f t="shared" si="16"/>
        <v>0</v>
      </c>
      <c r="J151" s="1673">
        <f t="shared" si="16"/>
        <v>0</v>
      </c>
      <c r="K151" s="1673">
        <f t="shared" si="16"/>
        <v>0</v>
      </c>
      <c r="L151" s="1673">
        <f>SUM(L129,L130,L139,L149,L150)</f>
        <v>0</v>
      </c>
    </row>
    <row r="152" spans="1:14" ht="12.75" customHeight="1" thickTop="1" x14ac:dyDescent="0.2">
      <c r="A152" s="2468" t="s">
        <v>1168</v>
      </c>
      <c r="B152" s="2469"/>
      <c r="C152" s="1674"/>
      <c r="D152" s="1674"/>
      <c r="E152" s="1674"/>
      <c r="F152" s="1674"/>
      <c r="G152" s="1674"/>
      <c r="H152" s="1674"/>
      <c r="I152" s="1674"/>
      <c r="J152" s="1672"/>
      <c r="K152" s="1688">
        <f>'Revenues 9-14'!D268-'Expenditures 15-22'!K151</f>
        <v>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453" t="s">
        <v>617</v>
      </c>
      <c r="B154" s="245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1813</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1812</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1814</v>
      </c>
      <c r="C158" s="1672"/>
      <c r="D158" s="1672"/>
      <c r="E158" s="1672"/>
      <c r="F158" s="1672"/>
      <c r="G158" s="1672"/>
      <c r="H158" s="1573">
        <v>0</v>
      </c>
      <c r="I158" s="1672"/>
      <c r="J158" s="1672"/>
      <c r="K158" s="1671">
        <f>H158</f>
        <v>0</v>
      </c>
      <c r="L158" s="1573">
        <v>0</v>
      </c>
      <c r="M158" s="505"/>
      <c r="N158" s="505"/>
    </row>
    <row r="159" spans="1:14" s="506" customFormat="1" ht="12" x14ac:dyDescent="0.2">
      <c r="A159" s="1461" t="s">
        <v>1815</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1816</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3">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1160</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0</v>
      </c>
      <c r="I169" s="1672"/>
      <c r="J169" s="1672"/>
      <c r="K169" s="1671">
        <f>SUM(C169:H169)</f>
        <v>0</v>
      </c>
      <c r="L169" s="1694">
        <v>0</v>
      </c>
    </row>
    <row r="170" spans="1:14" ht="33.75" customHeight="1" x14ac:dyDescent="0.2">
      <c r="A170" s="543" t="s">
        <v>1651</v>
      </c>
      <c r="B170" s="545" t="s">
        <v>31</v>
      </c>
      <c r="C170" s="1672"/>
      <c r="D170" s="1672"/>
      <c r="E170" s="1672"/>
      <c r="F170" s="1672"/>
      <c r="G170" s="1672"/>
      <c r="H170" s="1645">
        <v>0</v>
      </c>
      <c r="I170" s="1672"/>
      <c r="J170" s="1672"/>
      <c r="K170" s="1671">
        <f>SUM(C170:J170)</f>
        <v>0</v>
      </c>
      <c r="L170" s="1645">
        <v>0</v>
      </c>
    </row>
    <row r="171" spans="1:14" ht="15.75" customHeight="1" x14ac:dyDescent="0.2">
      <c r="A171" s="507" t="s">
        <v>761</v>
      </c>
      <c r="B171" s="546"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475" t="s">
        <v>989</v>
      </c>
      <c r="B175" s="2476"/>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1959</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0</v>
      </c>
      <c r="D182" s="1572">
        <v>0</v>
      </c>
      <c r="E182" s="1572">
        <v>0</v>
      </c>
      <c r="F182" s="1572">
        <v>0</v>
      </c>
      <c r="G182" s="1572">
        <v>0</v>
      </c>
      <c r="H182" s="1572">
        <v>0</v>
      </c>
      <c r="I182" s="1573">
        <v>0</v>
      </c>
      <c r="J182" s="1573">
        <v>0</v>
      </c>
      <c r="K182" s="1671">
        <f>SUM(C182:J182)</f>
        <v>0</v>
      </c>
      <c r="L182" s="1572">
        <v>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0</v>
      </c>
      <c r="D184" s="1680">
        <f t="shared" ref="D184:J184" si="17">SUM(D180,D182,D183)</f>
        <v>0</v>
      </c>
      <c r="E184" s="1680">
        <f t="shared" si="17"/>
        <v>0</v>
      </c>
      <c r="F184" s="1680">
        <f t="shared" si="17"/>
        <v>0</v>
      </c>
      <c r="G184" s="1680">
        <f t="shared" si="17"/>
        <v>0</v>
      </c>
      <c r="H184" s="1680">
        <f t="shared" si="17"/>
        <v>0</v>
      </c>
      <c r="I184" s="1680">
        <f t="shared" si="17"/>
        <v>0</v>
      </c>
      <c r="J184" s="1680">
        <f t="shared" si="17"/>
        <v>0</v>
      </c>
      <c r="K184" s="1680">
        <f>SUM(K180,K182,K183)</f>
        <v>0</v>
      </c>
      <c r="L184" s="1680">
        <f>SUM(L180, L182:L183)</f>
        <v>0</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1160</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1652</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0</v>
      </c>
      <c r="D210" s="1673">
        <f>SUM(D184,D185)</f>
        <v>0</v>
      </c>
      <c r="E210" s="1673">
        <f>SUM(E184,E185,E196)</f>
        <v>0</v>
      </c>
      <c r="F210" s="1673">
        <f>SUM(F184,F185)</f>
        <v>0</v>
      </c>
      <c r="G210" s="1673">
        <f>SUM(G184,G185)</f>
        <v>0</v>
      </c>
      <c r="H210" s="1673">
        <f>SUM(H184,H185,H196,H208,H209)</f>
        <v>0</v>
      </c>
      <c r="I210" s="1673">
        <f>SUM(I184,I185)</f>
        <v>0</v>
      </c>
      <c r="J210" s="1673">
        <f>SUM(J184,J185)</f>
        <v>0</v>
      </c>
      <c r="K210" s="1671">
        <f>SUM(K184,K185,K196,K208,K209)</f>
        <v>0</v>
      </c>
      <c r="L210" s="1673">
        <f>SUM(L184,L185,L196,L208,L209)</f>
        <v>0</v>
      </c>
    </row>
    <row r="211" spans="1:14" ht="13.5" thickTop="1" x14ac:dyDescent="0.2">
      <c r="A211" s="2475" t="s">
        <v>989</v>
      </c>
      <c r="B211" s="2476"/>
      <c r="C211" s="1674"/>
      <c r="D211" s="1674"/>
      <c r="E211" s="1674"/>
      <c r="F211" s="1674"/>
      <c r="G211" s="1674"/>
      <c r="H211" s="1674"/>
      <c r="I211" s="1672"/>
      <c r="J211" s="1672"/>
      <c r="K211" s="1688">
        <f>'Revenues 9-14'!F268-'Expenditures 15-22'!K210</f>
        <v>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470" t="s">
        <v>959</v>
      </c>
      <c r="B213" s="247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0</v>
      </c>
      <c r="E215" s="1672"/>
      <c r="F215" s="1672"/>
      <c r="G215" s="1672"/>
      <c r="H215" s="1672"/>
      <c r="I215" s="1672"/>
      <c r="J215" s="1672"/>
      <c r="K215" s="1671">
        <f>D215</f>
        <v>0</v>
      </c>
      <c r="L215" s="1572">
        <v>0</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0</v>
      </c>
      <c r="E217" s="1672"/>
      <c r="F217" s="1672"/>
      <c r="G217" s="1672"/>
      <c r="H217" s="1672"/>
      <c r="I217" s="1672"/>
      <c r="J217" s="1672"/>
      <c r="K217" s="1671">
        <f t="shared" si="19"/>
        <v>0</v>
      </c>
      <c r="L217" s="1572">
        <v>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0</v>
      </c>
      <c r="E219" s="1672"/>
      <c r="F219" s="1672"/>
      <c r="G219" s="1672"/>
      <c r="H219" s="1672"/>
      <c r="I219" s="1672"/>
      <c r="J219" s="1672"/>
      <c r="K219" s="1671">
        <f t="shared" si="19"/>
        <v>0</v>
      </c>
      <c r="L219" s="1572">
        <v>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0</v>
      </c>
      <c r="E223" s="1672"/>
      <c r="F223" s="1672"/>
      <c r="G223" s="1672"/>
      <c r="H223" s="1672"/>
      <c r="I223" s="1672"/>
      <c r="J223" s="1672"/>
      <c r="K223" s="1671">
        <f t="shared" si="19"/>
        <v>0</v>
      </c>
      <c r="L223" s="1572">
        <v>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1078</v>
      </c>
      <c r="B227" s="503">
        <v>1800</v>
      </c>
      <c r="C227" s="1672"/>
      <c r="D227" s="1572">
        <v>0</v>
      </c>
      <c r="E227" s="1672"/>
      <c r="F227" s="1672"/>
      <c r="G227" s="1672"/>
      <c r="H227" s="1672"/>
      <c r="I227" s="1672"/>
      <c r="J227" s="1672"/>
      <c r="K227" s="1671">
        <f t="shared" si="19"/>
        <v>0</v>
      </c>
      <c r="L227" s="1572">
        <v>0</v>
      </c>
    </row>
    <row r="228" spans="1:12" x14ac:dyDescent="0.2">
      <c r="A228" s="1273" t="s">
        <v>1079</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0</v>
      </c>
      <c r="E232" s="1672"/>
      <c r="F232" s="1672"/>
      <c r="G232" s="1672"/>
      <c r="H232" s="1672"/>
      <c r="I232" s="1672"/>
      <c r="J232" s="1672"/>
      <c r="K232" s="1671">
        <f t="shared" ref="K232:K237" si="20">D232</f>
        <v>0</v>
      </c>
      <c r="L232" s="1572">
        <v>0</v>
      </c>
    </row>
    <row r="233" spans="1:12" x14ac:dyDescent="0.2">
      <c r="A233" s="1273" t="s">
        <v>1081</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0</v>
      </c>
      <c r="E241" s="1672"/>
      <c r="F241" s="1672"/>
      <c r="G241" s="1672"/>
      <c r="H241" s="1672"/>
      <c r="I241" s="1672"/>
      <c r="J241" s="1672"/>
      <c r="K241" s="1677">
        <f>D241</f>
        <v>0</v>
      </c>
      <c r="L241" s="1572">
        <v>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0</v>
      </c>
      <c r="E245" s="1672"/>
      <c r="F245" s="1672"/>
      <c r="G245" s="1672"/>
      <c r="H245" s="1672"/>
      <c r="I245" s="1672"/>
      <c r="J245" s="1672"/>
      <c r="K245" s="1677">
        <f>D245</f>
        <v>0</v>
      </c>
      <c r="L245" s="1585">
        <v>0</v>
      </c>
    </row>
    <row r="246" spans="1:12" x14ac:dyDescent="0.2">
      <c r="A246" s="1273" t="s">
        <v>813</v>
      </c>
      <c r="B246" s="503">
        <v>2320</v>
      </c>
      <c r="C246" s="1672"/>
      <c r="D246" s="1572">
        <v>0</v>
      </c>
      <c r="E246" s="1672"/>
      <c r="F246" s="1672"/>
      <c r="G246" s="1672"/>
      <c r="H246" s="1672"/>
      <c r="I246" s="1672"/>
      <c r="J246" s="1672"/>
      <c r="K246" s="1677">
        <f t="shared" ref="K246:K256" si="21">D246</f>
        <v>0</v>
      </c>
      <c r="L246" s="1572">
        <v>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1778</v>
      </c>
      <c r="B249" s="557" t="s">
        <v>280</v>
      </c>
      <c r="C249" s="1672"/>
      <c r="D249" s="1578">
        <v>0</v>
      </c>
      <c r="E249" s="1672"/>
      <c r="F249" s="1672"/>
      <c r="G249" s="1672"/>
      <c r="H249" s="1672"/>
      <c r="I249" s="1672"/>
      <c r="J249" s="1672"/>
      <c r="K249" s="1677">
        <f t="shared" si="21"/>
        <v>0</v>
      </c>
      <c r="L249" s="1572">
        <v>0</v>
      </c>
    </row>
    <row r="250" spans="1:12" x14ac:dyDescent="0.2">
      <c r="A250" s="1274" t="s">
        <v>1779</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0</v>
      </c>
      <c r="E257" s="1672"/>
      <c r="F257" s="1672"/>
      <c r="G257" s="1672"/>
      <c r="H257" s="1672"/>
      <c r="I257" s="1672"/>
      <c r="J257" s="1672"/>
      <c r="K257" s="1673">
        <f>SUM(K245:K256)</f>
        <v>0</v>
      </c>
      <c r="L257" s="1673">
        <f>SUM(L245:L256)</f>
        <v>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0</v>
      </c>
      <c r="E259" s="1672"/>
      <c r="F259" s="1672"/>
      <c r="G259" s="1672"/>
      <c r="H259" s="1672"/>
      <c r="I259" s="1672"/>
      <c r="J259" s="1672"/>
      <c r="K259" s="1677">
        <f>D259</f>
        <v>0</v>
      </c>
      <c r="L259" s="1585">
        <v>0</v>
      </c>
    </row>
    <row r="260" spans="1:14" s="493" customFormat="1" x14ac:dyDescent="0.2">
      <c r="A260" s="1291" t="s">
        <v>1777</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0</v>
      </c>
      <c r="E264" s="1672"/>
      <c r="F264" s="1672"/>
      <c r="G264" s="1672"/>
      <c r="H264" s="1672"/>
      <c r="I264" s="1672"/>
      <c r="J264" s="1672"/>
      <c r="K264" s="1677">
        <f t="shared" ref="K264:K269" si="22">D264</f>
        <v>0</v>
      </c>
      <c r="L264" s="1572">
        <v>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0</v>
      </c>
      <c r="E266" s="1672"/>
      <c r="F266" s="1672"/>
      <c r="G266" s="1672"/>
      <c r="H266" s="1672"/>
      <c r="I266" s="1672"/>
      <c r="J266" s="1672"/>
      <c r="K266" s="1677">
        <f t="shared" si="22"/>
        <v>0</v>
      </c>
      <c r="L266" s="1572">
        <v>0</v>
      </c>
    </row>
    <row r="267" spans="1:14" x14ac:dyDescent="0.2">
      <c r="A267" s="1273" t="s">
        <v>947</v>
      </c>
      <c r="B267" s="503">
        <v>2550</v>
      </c>
      <c r="C267" s="1672"/>
      <c r="D267" s="1572">
        <v>0</v>
      </c>
      <c r="E267" s="1672"/>
      <c r="F267" s="1672"/>
      <c r="G267" s="1672"/>
      <c r="H267" s="1672"/>
      <c r="I267" s="1672"/>
      <c r="J267" s="1672"/>
      <c r="K267" s="1677">
        <f t="shared" si="22"/>
        <v>0</v>
      </c>
      <c r="L267" s="1572">
        <v>0</v>
      </c>
    </row>
    <row r="268" spans="1:14" x14ac:dyDescent="0.2">
      <c r="A268" s="1273" t="s">
        <v>100</v>
      </c>
      <c r="B268" s="503">
        <v>2560</v>
      </c>
      <c r="C268" s="1672"/>
      <c r="D268" s="1572">
        <v>0</v>
      </c>
      <c r="E268" s="1672"/>
      <c r="F268" s="1672"/>
      <c r="G268" s="1672"/>
      <c r="H268" s="1672"/>
      <c r="I268" s="1672"/>
      <c r="J268" s="1672"/>
      <c r="K268" s="1677">
        <f t="shared" si="22"/>
        <v>0</v>
      </c>
      <c r="L268" s="1572">
        <v>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1052</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0</v>
      </c>
      <c r="E279" s="1672"/>
      <c r="F279" s="1672"/>
      <c r="G279" s="1672"/>
      <c r="H279" s="1672"/>
      <c r="I279" s="1672"/>
      <c r="J279" s="1672"/>
      <c r="K279" s="1680">
        <f>SUM(K238,K243,K257,K261,K270,K277,K278)</f>
        <v>0</v>
      </c>
      <c r="L279" s="1680">
        <f>SUM(L238,L243,L257,L261,L270,L277,L278)</f>
        <v>0</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1812</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1160</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466" t="s">
        <v>502</v>
      </c>
      <c r="B295" s="2467"/>
      <c r="C295" s="1672"/>
      <c r="D295" s="1673">
        <f>SUM(D229,D279,D280,D285)</f>
        <v>0</v>
      </c>
      <c r="E295" s="1672"/>
      <c r="F295" s="1672"/>
      <c r="G295" s="1672"/>
      <c r="H295" s="1673">
        <f>H293</f>
        <v>0</v>
      </c>
      <c r="I295" s="1672"/>
      <c r="J295" s="1672"/>
      <c r="K295" s="1673">
        <f>SUM(K229,K279,K280,K285,K293,K294)</f>
        <v>0</v>
      </c>
      <c r="L295" s="1673">
        <f>SUM(L229,L279,L280,L285,L293,L294)</f>
        <v>0</v>
      </c>
    </row>
    <row r="296" spans="1:14" ht="13.5" thickTop="1" x14ac:dyDescent="0.2">
      <c r="A296" s="2475" t="s">
        <v>989</v>
      </c>
      <c r="B296" s="2476"/>
      <c r="C296" s="1672"/>
      <c r="D296" s="1674"/>
      <c r="E296" s="1672"/>
      <c r="F296" s="1672"/>
      <c r="G296" s="1672"/>
      <c r="H296" s="1706"/>
      <c r="I296" s="1672"/>
      <c r="J296" s="1672"/>
      <c r="K296" s="1688">
        <f>'Revenues 9-14'!G268-'Expenditures 15-22'!K295</f>
        <v>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458" t="s">
        <v>142</v>
      </c>
      <c r="B298" s="245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1817</v>
      </c>
      <c r="B306" s="562" t="s">
        <v>1812</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463" t="s">
        <v>275</v>
      </c>
      <c r="B312" s="246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459" t="s">
        <v>989</v>
      </c>
      <c r="B313" s="2460"/>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472" t="s">
        <v>148</v>
      </c>
      <c r="B315" s="247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474" t="s">
        <v>892</v>
      </c>
      <c r="B317" s="247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1778</v>
      </c>
      <c r="B320" s="568" t="s">
        <v>280</v>
      </c>
      <c r="C320" s="1573">
        <v>0</v>
      </c>
      <c r="D320" s="1573">
        <v>0</v>
      </c>
      <c r="E320" s="1573">
        <v>0</v>
      </c>
      <c r="F320" s="1573">
        <v>0</v>
      </c>
      <c r="G320" s="1573">
        <v>0</v>
      </c>
      <c r="H320" s="1573">
        <v>0</v>
      </c>
      <c r="I320" s="1573">
        <v>0</v>
      </c>
      <c r="J320" s="1573">
        <v>0</v>
      </c>
      <c r="K320" s="1671">
        <f t="shared" ref="K320:K327" si="24">SUM(C320:J320)</f>
        <v>0</v>
      </c>
      <c r="L320" s="1573">
        <v>0</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0</v>
      </c>
      <c r="F322" s="1573">
        <v>0</v>
      </c>
      <c r="G322" s="1573">
        <v>0</v>
      </c>
      <c r="H322" s="1573">
        <v>0</v>
      </c>
      <c r="I322" s="1573">
        <v>0</v>
      </c>
      <c r="J322" s="1573">
        <v>0</v>
      </c>
      <c r="K322" s="1671">
        <f t="shared" si="24"/>
        <v>0</v>
      </c>
      <c r="L322" s="1573">
        <v>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0</v>
      </c>
      <c r="D325" s="1573">
        <v>0</v>
      </c>
      <c r="E325" s="1573">
        <v>0</v>
      </c>
      <c r="F325" s="1573">
        <v>0</v>
      </c>
      <c r="G325" s="1573">
        <v>0</v>
      </c>
      <c r="H325" s="1573">
        <v>0</v>
      </c>
      <c r="I325" s="1573">
        <v>0</v>
      </c>
      <c r="J325" s="1573">
        <v>0</v>
      </c>
      <c r="K325" s="1671">
        <f t="shared" si="24"/>
        <v>0</v>
      </c>
      <c r="L325" s="1573">
        <v>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0</v>
      </c>
      <c r="F327" s="1573">
        <v>0</v>
      </c>
      <c r="G327" s="1573">
        <v>0</v>
      </c>
      <c r="H327" s="1573">
        <v>0</v>
      </c>
      <c r="I327" s="1573">
        <v>0</v>
      </c>
      <c r="J327" s="1573">
        <v>0</v>
      </c>
      <c r="K327" s="1671">
        <f t="shared" si="24"/>
        <v>0</v>
      </c>
      <c r="L327" s="1573">
        <v>0</v>
      </c>
      <c r="M327" s="539"/>
      <c r="N327" s="539"/>
    </row>
    <row r="328" spans="1:14" s="548" customFormat="1" x14ac:dyDescent="0.2">
      <c r="A328" s="1289" t="s">
        <v>469</v>
      </c>
      <c r="B328" s="562" t="s">
        <v>1122</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1123</v>
      </c>
      <c r="B329" s="562" t="s">
        <v>1124</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1818</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1812</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1814</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1819</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1160</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461" t="s">
        <v>989</v>
      </c>
      <c r="B343" s="2462"/>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451" t="s">
        <v>960</v>
      </c>
      <c r="B345" s="245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1820</v>
      </c>
      <c r="B354" s="557" t="s">
        <v>1812</v>
      </c>
      <c r="C354" s="1672"/>
      <c r="D354" s="1672"/>
      <c r="E354" s="1672"/>
      <c r="F354" s="1672"/>
      <c r="G354" s="1672"/>
      <c r="H354" s="1578">
        <v>0</v>
      </c>
      <c r="I354" s="1715"/>
      <c r="J354" s="1672"/>
      <c r="K354" s="1712">
        <f>H354</f>
        <v>0</v>
      </c>
      <c r="L354" s="1576">
        <v>0</v>
      </c>
    </row>
    <row r="355" spans="1:14" ht="12.75" customHeight="1" x14ac:dyDescent="0.2">
      <c r="A355" s="1282" t="s">
        <v>1821</v>
      </c>
      <c r="B355" s="562" t="s">
        <v>1814</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475" t="s">
        <v>989</v>
      </c>
      <c r="B368" s="2476"/>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purl.org/dc/dcmitype/"/>
    <ds:schemaRef ds:uri="http://www.w3.org/XML/1998/namespace"/>
    <ds:schemaRef ds:uri="http://schemas.microsoft.com/office/2006/documentManagement/types"/>
    <ds:schemaRef ds:uri="http://schemas.microsoft.com/sharepoint/v3"/>
    <ds:schemaRef ds:uri="d21dc803-237d-4c68-8692-8d731fd29118"/>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SF&amp;QC Sec-3</vt:lpstr>
      <vt:lpstr>Finding 2020-001</vt:lpstr>
      <vt:lpstr>SSPAF</vt:lpstr>
      <vt:lpstr>CAP 2020-001</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2020-11-16T16:42:58Z</cp:lastPrinted>
  <dcterms:created xsi:type="dcterms:W3CDTF">2003-10-29T19:06:34Z</dcterms:created>
  <dcterms:modified xsi:type="dcterms:W3CDTF">2020-12-03T00:43:43Z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