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73BCFF90-9EBD-4929-9CC7-B2BCDBCB71BA}"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4" l="1"/>
  <c r="I12" i="11"/>
  <c r="F37" i="183" l="1"/>
  <c r="F36" i="183"/>
  <c r="F35" i="183"/>
  <c r="F34" i="183"/>
  <c r="F33" i="183"/>
  <c r="F32" i="183"/>
  <c r="F31" i="183"/>
  <c r="F30" i="183"/>
  <c r="F29" i="183"/>
  <c r="F28" i="183"/>
  <c r="F27" i="183"/>
  <c r="F26" i="183"/>
  <c r="F25" i="183"/>
  <c r="F24" i="183"/>
  <c r="F23" i="183"/>
  <c r="F22" i="183"/>
  <c r="F20" i="183"/>
  <c r="F19" i="183"/>
  <c r="E37" i="183"/>
  <c r="E36" i="183"/>
  <c r="E35" i="183"/>
  <c r="E34" i="183"/>
  <c r="E33" i="183"/>
  <c r="E32" i="183"/>
  <c r="E31" i="183"/>
  <c r="E30" i="183"/>
  <c r="E29" i="183"/>
  <c r="E28" i="183"/>
  <c r="E27" i="183"/>
  <c r="E26" i="183"/>
  <c r="E25" i="183"/>
  <c r="E24" i="183"/>
  <c r="E23" i="183"/>
  <c r="E22" i="183"/>
  <c r="E20" i="183"/>
  <c r="E19" i="183"/>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l="1"/>
  <c r="B7819" i="106"/>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F56" i="34" s="1"/>
  <c r="B7832" i="106" s="1"/>
  <c r="D7832"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F72" i="34" l="1"/>
  <c r="F52" i="34"/>
  <c r="B7831" i="106" s="1"/>
  <c r="D7831" i="106" s="1"/>
  <c r="B6289" i="106"/>
  <c r="D6289" i="106" s="1"/>
  <c r="D36" i="108"/>
  <c r="F70" i="34"/>
  <c r="F36" i="108"/>
  <c r="D69" i="36"/>
  <c r="B6995" i="106"/>
  <c r="D6995" i="106" s="1"/>
  <c r="D22" i="37"/>
  <c r="G30" i="108"/>
  <c r="F37" i="34"/>
  <c r="B7829" i="106" s="1"/>
  <c r="D7829" i="106" s="1"/>
  <c r="F77" i="4"/>
  <c r="B3255" i="106" s="1"/>
  <c r="D3255" i="106" s="1"/>
  <c r="C342" i="29"/>
  <c r="B7216" i="106" s="1"/>
  <c r="D7216" i="106" s="1"/>
  <c r="B7076" i="106"/>
  <c r="D7076" i="106" s="1"/>
  <c r="F34" i="34"/>
  <c r="B7826" i="106" s="1"/>
  <c r="D7826" i="106" s="1"/>
  <c r="F71" i="34"/>
  <c r="H342" i="29"/>
  <c r="B7221" i="106" s="1"/>
  <c r="D7221" i="106" s="1"/>
  <c r="C352" i="29"/>
  <c r="B3621" i="106" s="1"/>
  <c r="D3621" i="106" s="1"/>
  <c r="H76" i="4"/>
  <c r="B3298" i="106" s="1"/>
  <c r="D3298" i="106" s="1"/>
  <c r="D14" i="4"/>
  <c r="B2570" i="106" s="1"/>
  <c r="D2570" i="106" s="1"/>
  <c r="J210" i="29"/>
  <c r="B7072" i="106" s="1"/>
  <c r="D7072" i="106" s="1"/>
  <c r="B2805" i="106"/>
  <c r="D2805" i="106" s="1"/>
  <c r="J129" i="29"/>
  <c r="B7038" i="106" s="1"/>
  <c r="D7038" i="106" s="1"/>
  <c r="G14" i="4"/>
  <c r="B2609" i="106" s="1"/>
  <c r="D2609" i="106" s="1"/>
  <c r="I129" i="29"/>
  <c r="B7037" i="106" s="1"/>
  <c r="D7037" i="106" s="1"/>
  <c r="F50" i="34"/>
  <c r="E34" i="108"/>
  <c r="F42" i="34"/>
  <c r="H28" i="118"/>
  <c r="I210" i="29"/>
  <c r="B7071" i="106" s="1"/>
  <c r="D7071" i="106" s="1"/>
  <c r="B7047" i="106"/>
  <c r="D7047" i="106" s="1"/>
  <c r="G35" i="108"/>
  <c r="B7078" i="106"/>
  <c r="D7078" i="106" s="1"/>
  <c r="G39" i="108"/>
  <c r="G26" i="108"/>
  <c r="B2724" i="106"/>
  <c r="D2724" i="106" s="1"/>
  <c r="C129" i="29"/>
  <c r="B1225" i="106" s="1"/>
  <c r="D1225" i="106" s="1"/>
  <c r="F67" i="34"/>
  <c r="D24" i="37"/>
  <c r="B4270" i="106" s="1"/>
  <c r="D4270" i="106" s="1"/>
  <c r="L22" i="37"/>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H77" i="4" l="1"/>
  <c r="B3299" i="106" s="1"/>
  <c r="D3299" i="106" s="1"/>
  <c r="J151" i="29"/>
  <c r="B7052" i="106" s="1"/>
  <c r="D7052" i="106" s="1"/>
  <c r="F66" i="34"/>
  <c r="K365" i="29"/>
  <c r="K16" i="4" s="1"/>
  <c r="B7215" i="106"/>
  <c r="D7215" i="106" s="1"/>
  <c r="C151" i="29"/>
  <c r="B1226" i="106" s="1"/>
  <c r="D1226" i="106" s="1"/>
  <c r="C367" i="29"/>
  <c r="B3622" i="106" s="1"/>
  <c r="D3622" i="106" s="1"/>
  <c r="L114" i="29"/>
  <c r="D44" i="36"/>
  <c r="K77" i="4"/>
  <c r="B3587" i="106" s="1"/>
  <c r="D3587" i="106" s="1"/>
  <c r="B7235" i="106"/>
  <c r="D7235" i="106" s="1"/>
  <c r="F41" i="108"/>
  <c r="G43" i="108" s="1"/>
  <c r="I151" i="29"/>
  <c r="F59" i="34" s="1"/>
  <c r="B6216" i="106"/>
  <c r="D6216" i="106" s="1"/>
  <c r="L16" i="11"/>
  <c r="B2061" i="106" s="1"/>
  <c r="D2061" i="106" s="1"/>
  <c r="N23" i="3"/>
  <c r="B284" i="106" s="1"/>
  <c r="D284" i="106" s="1"/>
  <c r="E367" i="29"/>
  <c r="B3636" i="106" s="1"/>
  <c r="D3636" i="106" s="1"/>
  <c r="B3635" i="106"/>
  <c r="B7222" i="106"/>
  <c r="D7222" i="106" s="1"/>
  <c r="F76" i="34"/>
  <c r="B7887" i="106" s="1"/>
  <c r="D7887" i="106" s="1"/>
  <c r="B1328" i="106"/>
  <c r="D1328" i="106" s="1"/>
  <c r="B1381" i="106"/>
  <c r="D1381" i="106" s="1"/>
  <c r="K342" i="29"/>
  <c r="F13" i="34" s="1"/>
  <c r="B7220" i="106"/>
  <c r="D7220" i="106" s="1"/>
  <c r="F75" i="34"/>
  <c r="B7886" i="106" s="1"/>
  <c r="D788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43" i="106" l="1"/>
  <c r="D7243" i="106" s="1"/>
  <c r="B1145" i="106"/>
  <c r="D1145" i="106" s="1"/>
  <c r="B7224" i="106"/>
  <c r="D7224"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3" i="106" l="1"/>
  <c r="D6223" i="106" s="1"/>
  <c r="F77" i="34"/>
  <c r="B7834" i="106" s="1"/>
  <c r="D7834" i="106" s="1"/>
  <c r="J19" i="4"/>
  <c r="B6229" i="106" s="1"/>
  <c r="D6229" i="106" s="1"/>
  <c r="J20" i="4"/>
  <c r="J78" i="4" s="1"/>
  <c r="K17" i="4"/>
  <c r="B3575" i="106" s="1"/>
  <c r="D3575" i="106" s="1"/>
  <c r="F8" i="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10" i="146"/>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<sst xmlns="http://schemas.openxmlformats.org/spreadsheetml/2006/main" count="5122" uniqueCount="2050">
  <si>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</si>
  <si>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</si>
  <si>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</si>
  <si>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</si>
  <si>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</si>
  <si>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</si>
  <si>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</si>
  <si>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</si>
  <si>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</si>
  <si>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</si>
  <si>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</si>
  <si>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</si>
  <si>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</si>
  <si>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</si>
  <si>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</si>
  <si>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</si>
  <si>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</si>
  <si>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</si>
  <si>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</si>
  <si>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</si>
  <si>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</si>
  <si>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</si>
  <si>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</si>
  <si>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</si>
  <si>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</si>
  <si>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</si>
  <si>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</si>
  <si>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</si>
  <si>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</si>
  <si>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</si>
  <si>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</si>
  <si>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</si>
  <si>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</si>
  <si>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</si>
  <si>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</si>
  <si>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</si>
  <si>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</si>
  <si>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</si>
  <si>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</si>
  <si>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</si>
  <si>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</si>
  <si>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</si>
  <si>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</si>
  <si>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</si>
  <si>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</si>
  <si>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</si>
  <si>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</si>
  <si>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</si>
  <si>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</si>
  <si>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</si>
  <si>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</si>
  <si>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</si>
  <si>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</si>
  <si>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</si>
  <si>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</si>
  <si>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</si>
  <si>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</si>
  <si>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</si>
  <si>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</si>
  <si>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</si>
  <si>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</si>
  <si>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</si>
  <si>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</si>
  <si>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</si>
  <si>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</si>
  <si>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</si>
  <si>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</si>
  <si>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</si>
  <si>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</si>
  <si>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</si>
  <si>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</si>
  <si>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</si>
  <si>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</si>
  <si>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</si>
  <si>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</si>
  <si>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</si>
  <si>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</si>
  <si>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</si>
  <si>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</si>
  <si>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</si>
  <si>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</si>
  <si>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</si>
  <si>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</si>
  <si>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</si>
  <si>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</si>
  <si>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</si>
  <si>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</si>
  <si>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</si>
  <si>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</si>
  <si>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</si>
  <si>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</si>
  <si>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</si>
  <si>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</si>
  <si>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</si>
  <si>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</si>
  <si>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</si>
  <si>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</si>
  <si>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</si>
  <si>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</si>
  <si>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</si>
  <si>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</si>
  <si>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</si>
  <si>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</si>
  <si>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</si>
  <si>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</si>
  <si>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</si>
  <si>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</si>
  <si>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</si>
  <si>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</si>
  <si>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</si>
  <si>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</si>
  <si>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</si>
  <si>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</si>
  <si>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</si>
  <si>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</si>
  <si>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</si>
  <si>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</si>
  <si>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</si>
  <si>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</si>
  <si>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</si>
  <si>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</si>
  <si>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</si>
  <si>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</si>
  <si>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</si>
  <si>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</si>
  <si>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</si>
  <si>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</si>
  <si>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</si>
  <si>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</si>
  <si>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</si>
  <si>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</si>
  <si>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</si>
  <si>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</si>
  <si>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</si>
  <si>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</si>
  <si>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</si>
  <si>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</si>
  <si>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</si>
  <si>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</si>
  <si>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</si>
  <si>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</si>
  <si>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</si>
  <si>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</si>
  <si>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</si>
  <si>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</si>
  <si>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</si>
  <si>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</si>
  <si>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</si>
  <si>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</si>
  <si>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</si>
  <si>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</si>
  <si>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</si>
  <si>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</si>
  <si>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</si>
  <si>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</si>
  <si>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</si>
  <si>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</si>
  <si>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</si>
  <si>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</si>
  <si>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</si>
  <si>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</si>
  <si>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</si>
  <si>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</si>
  <si>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</si>
  <si>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</si>
  <si>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</si>
  <si>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</si>
  <si>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</si>
  <si>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</si>
  <si>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</si>
  <si>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</si>
  <si>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</si>
  <si>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</si>
  <si>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</si>
  <si>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</si>
  <si>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</si>
  <si>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</si>
  <si>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</si>
  <si>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</si>
  <si>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</si>
  <si>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</si>
  <si>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</si>
  <si>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</si>
  <si>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</si>
  <si>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</si>
  <si>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</si>
  <si>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</si>
  <si>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</si>
  <si>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</si>
  <si>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</si>
  <si>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</si>
  <si>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</si>
  <si>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</si>
  <si>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</si>
  <si>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</si>
  <si>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</si>
  <si>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</si>
  <si>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</si>
  <si>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</si>
  <si>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</si>
  <si>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</si>
  <si>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</si>
  <si>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</si>
  <si>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</si>
  <si>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</si>
  <si>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</si>
  <si>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</si>
  <si>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</si>
  <si>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</si>
  <si>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</si>
  <si>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</si>
  <si>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</si>
  <si>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</si>
  <si>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</si>
  <si>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</si>
  <si>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</si>
  <si>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</si>
  <si>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</si>
  <si>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</si>
  <si>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</si>
  <si>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</si>
  <si>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</si>
  <si>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</si>
  <si>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</si>
  <si>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</si>
  <si>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</si>
  <si>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</si>
  <si>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</si>
  <si>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</si>
  <si>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</si>
  <si>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</si>
  <si>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</si>
  <si>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</si>
  <si>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</si>
  <si>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</si>
  <si>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</si>
  <si>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</si>
  <si>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</si>
  <si>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</si>
  <si>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</si>
  <si>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</si>
  <si>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</si>
  <si>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</si>
  <si>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</si>
  <si>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</si>
  <si>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</si>
  <si>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</si>
  <si>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</si>
  <si>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</si>
  <si>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</si>
  <si>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</si>
  <si>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</si>
  <si>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</si>
  <si>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</si>
  <si>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</si>
  <si>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</si>
  <si>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</si>
  <si>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</si>
  <si>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</si>
  <si>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</si>
  <si>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</si>
  <si>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</si>
  <si>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</si>
  <si>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</si>
  <si>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</si>
  <si>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</si>
  <si>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</si>
  <si>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</si>
  <si>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</si>
  <si>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</si>
  <si>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</si>
  <si>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</si>
  <si>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</si>
  <si>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</si>
  <si>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</si>
  <si>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</si>
  <si>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</si>
  <si>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</si>
  <si>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</si>
  <si>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</si>
  <si>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</si>
  <si>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</si>
  <si>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</si>
  <si>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</si>
  <si>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</si>
  <si>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</si>
  <si>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</si>
  <si>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</si>
  <si>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</si>
  <si>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</si>
  <si>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</si>
  <si>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</si>
  <si>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</si>
  <si>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</si>
  <si>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</si>
  <si>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</si>
  <si>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</si>
  <si>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</si>
  <si>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</si>
  <si>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</si>
  <si>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</si>
  <si>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</si>
  <si>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</si>
  <si>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</si>
  <si>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</si>
  <si>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</si>
  <si>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</si>
  <si>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</si>
  <si>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</si>
  <si>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</si>
  <si>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</si>
  <si>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</si>
  <si>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</si>
  <si>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</si>
  <si>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</si>
  <si>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</si>
  <si>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</si>
  <si>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</si>
  <si>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</si>
  <si>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</si>
  <si>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</si>
  <si>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</si>
  <si>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</si>
  <si>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</si>
  <si>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</si>
  <si>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</si>
  <si>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</si>
  <si>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</si>
  <si>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</si>
  <si>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</si>
  <si>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</si>
  <si>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</si>
  <si>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</si>
  <si>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</si>
  <si>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</si>
  <si>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</si>
  <si>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</si>
  <si>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</si>
  <si>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</si>
  <si>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</si>
  <si>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</si>
  <si>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</si>
  <si>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</si>
  <si>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</si>
  <si>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</si>
  <si>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</si>
  <si>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</si>
  <si>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</si>
  <si>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</si>
  <si>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</si>
  <si>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</si>
  <si>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</si>
  <si>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</si>
  <si>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</si>
  <si>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</si>
  <si>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</si>
  <si>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</si>
  <si>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</si>
  <si>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</si>
  <si>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</si>
  <si>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</si>
  <si>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</si>
  <si>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</si>
  <si>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</si>
  <si>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</si>
  <si>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</si>
  <si>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</si>
  <si>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</si>
  <si>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</si>
  <si>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</si>
  <si>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</si>
  <si>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</si>
  <si>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</si>
  <si>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</si>
  <si>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</si>
  <si>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</si>
  <si>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</si>
  <si>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</si>
  <si>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</si>
  <si>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</si>
  <si>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</si>
  <si>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</si>
  <si>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</si>
  <si>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</si>
  <si>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</si>
  <si>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</si>
  <si>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</si>
  <si>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</si>
  <si>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</si>
  <si>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</si>
  <si>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</si>
  <si>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</si>
  <si>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</si>
  <si>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</si>
  <si>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</si>
  <si>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</si>
  <si>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</si>
  <si>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</si>
  <si>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</si>
  <si>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</si>
  <si>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</si>
  <si>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</si>
  <si>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</si>
  <si>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</si>
  <si>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</si>
  <si>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</si>
  <si>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</si>
  <si>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</si>
  <si>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</si>
  <si>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</si>
  <si>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</si>
  <si>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</si>
  <si>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</si>
  <si>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</si>
  <si>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</si>
  <si>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</si>
  <si>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</si>
  <si>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</si>
  <si>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</si>
  <si>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</si>
  <si>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</si>
  <si>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</si>
  <si>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</si>
  <si>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</si>
  <si>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</si>
  <si>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</si>
  <si>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</si>
  <si>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</si>
  <si>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</si>
  <si>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</si>
  <si>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</si>
  <si>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</si>
  <si>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</si>
  <si>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</si>
  <si>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</si>
  <si>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</si>
  <si>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</si>
  <si>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</si>
  <si>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</si>
  <si>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</si>
  <si>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</si>
  <si>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</si>
  <si>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</si>
  <si>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</si>
  <si>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</si>
  <si>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</si>
  <si>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</si>
  <si>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</si>
  <si>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</si>
  <si>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</si>
  <si>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</si>
  <si>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</si>
  <si>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</si>
  <si>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</si>
  <si>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</si>
  <si>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</si>
  <si>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</si>
  <si>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</si>
  <si>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</si>
  <si>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</si>
  <si>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</si>
  <si>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</si>
  <si>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</si>
  <si>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</si>
  <si>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</si>
  <si>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</si>
  <si>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</si>
  <si>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</si>
  <si>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</si>
  <si>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</si>
  <si>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</si>
  <si>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</si>
  <si>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</si>
  <si>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</si>
  <si>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</si>
  <si>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</si>
  <si>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</si>
  <si>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</si>
  <si>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</si>
  <si>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</si>
  <si>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</si>
  <si>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</si>
  <si>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</si>
  <si>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</si>
  <si>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</si>
  <si>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</si>
  <si>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</si>
  <si>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</si>
  <si>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</si>
  <si>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</si>
  <si>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</si>
  <si>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</si>
  <si>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</si>
  <si>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</si>
  <si>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</si>
  <si>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</si>
  <si>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</si>
  <si>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</si>
  <si>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</si>
  <si>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</si>
  <si>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</si>
  <si>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</si>
  <si>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</si>
  <si>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</si>
  <si>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</si>
  <si>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</si>
  <si>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</si>
  <si>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</si>
  <si>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</si>
  <si>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</si>
  <si>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</si>
  <si>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</si>
  <si>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</si>
  <si>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</si>
  <si>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</si>
  <si>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</si>
  <si>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</si>
  <si>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</si>
  <si>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</si>
  <si>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</si>
  <si>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</si>
  <si>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</si>
  <si>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</si>
  <si>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</si>
  <si>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</si>
  <si>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</si>
  <si>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</si>
  <si>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</si>
  <si>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</si>
  <si>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</si>
  <si>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</si>
  <si>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</si>
  <si>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</si>
  <si>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</si>
  <si>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</si>
  <si>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</si>
  <si>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</si>
  <si>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</si>
  <si>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</si>
  <si>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</si>
  <si>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</si>
  <si>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</si>
  <si>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</si>
  <si>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</si>
  <si>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</si>
  <si>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</si>
  <si>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</si>
  <si>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</si>
  <si>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</si>
  <si>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</si>
  <si>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</si>
  <si>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</si>
  <si>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</si>
  <si>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</si>
  <si>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</si>
  <si>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</si>
  <si>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</si>
  <si>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</si>
  <si>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</si>
  <si>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</si>
  <si>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</si>
  <si>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</si>
  <si>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</si>
  <si>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</si>
  <si>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</si>
  <si>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</si>
  <si>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</si>
  <si>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</si>
  <si>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</si>
  <si>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</si>
  <si>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</si>
  <si>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</si>
  <si>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</si>
  <si>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</si>
  <si>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</si>
  <si>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</si>
  <si>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</si>
  <si>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</si>
  <si>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</si>
  <si>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</si>
  <si>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</si>
  <si>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</si>
  <si>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</si>
  <si>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</si>
  <si>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</si>
  <si>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</si>
  <si>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</si>
  <si>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</si>
  <si>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</si>
  <si>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</si>
  <si>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</si>
  <si>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</si>
  <si>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</si>
  <si>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</si>
  <si>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</si>
  <si>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</si>
  <si>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</si>
  <si>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</si>
  <si>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</si>
  <si>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</si>
  <si>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</si>
  <si>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</si>
  <si>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</si>
  <si>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</si>
  <si>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</si>
  <si>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</si>
  <si>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</si>
  <si>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</si>
  <si>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</si>
  <si>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</si>
  <si>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</si>
  <si>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</si>
  <si>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</si>
  <si>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</si>
  <si>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</si>
  <si>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</si>
  <si>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</si>
  <si>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</si>
  <si>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</si>
  <si>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</si>
  <si>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</si>
  <si>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</si>
  <si>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</si>
  <si>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</si>
  <si>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</si>
  <si>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</si>
  <si>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</si>
  <si>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</si>
  <si>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</si>
  <si>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</si>
  <si>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</si>
  <si>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</si>
  <si>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</si>
  <si>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</si>
  <si>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</si>
  <si>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</si>
  <si>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</si>
  <si>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</si>
  <si>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</si>
  <si>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</si>
  <si>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</si>
  <si>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</si>
  <si>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</si>
  <si>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</si>
  <si>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</si>
  <si>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</si>
  <si>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</si>
  <si>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</si>
  <si>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</si>
  <si>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</si>
  <si>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</si>
  <si>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</si>
  <si>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</si>
  <si>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</si>
  <si>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</si>
  <si>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</si>
  <si>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</si>
  <si>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</si>
  <si>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</si>
  <si>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</si>
  <si>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</si>
  <si>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</si>
  <si>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</si>
  <si>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</si>
  <si>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</si>
  <si>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</si>
  <si>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</si>
  <si>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</si>
  <si>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</si>
  <si>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</si>
  <si>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</si>
  <si>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</si>
  <si>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</si>
  <si>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</si>
  <si>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</si>
  <si>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</si>
  <si>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</si>
  <si>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</si>
  <si>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</si>
  <si>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</si>
  <si>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</si>
  <si>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</si>
  <si>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</si>
  <si>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</si>
  <si>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</si>
  <si>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</si>
  <si>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</si>
  <si>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</si>
  <si>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</si>
  <si>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</si>
  <si>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</si>
  <si>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</si>
  <si>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</si>
  <si>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</si>
  <si>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</si>
  <si>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</si>
  <si>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</si>
  <si>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</si>
  <si>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</si>
  <si>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</si>
  <si>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</si>
  <si>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</si>
  <si>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</si>
  <si>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</si>
  <si>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</si>
  <si>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</si>
  <si>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</si>
  <si>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</si>
  <si>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</si>
  <si>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</si>
  <si>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</si>
  <si>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</si>
  <si>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</si>
  <si>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</si>
  <si>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</si>
  <si>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</si>
  <si>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</si>
  <si>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</si>
  <si>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</si>
  <si>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</si>
  <si>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</si>
  <si>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</si>
  <si>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</si>
  <si>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</si>
  <si>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</si>
  <si>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</si>
  <si>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</si>
  <si>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</si>
  <si>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</si>
  <si>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</si>
  <si>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</si>
  <si>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</si>
  <si>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</si>
  <si>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</si>
  <si>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</si>
  <si>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</si>
  <si>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</si>
  <si>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</si>
  <si>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</si>
  <si>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</si>
  <si>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</si>
  <si>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</si>
  <si>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</si>
  <si>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</si>
  <si>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</si>
  <si>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</si>
  <si>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</si>
  <si>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</si>
  <si>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</si>
  <si>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</si>
  <si>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</si>
  <si>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</si>
  <si>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</si>
  <si>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</si>
  <si>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</si>
  <si>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</si>
  <si>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</si>
  <si>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</si>
  <si>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</si>
  <si>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</si>
  <si>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</si>
  <si>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</si>
  <si>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</si>
  <si>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</si>
  <si>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</si>
  <si>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</si>
  <si>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</si>
  <si>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</si>
  <si>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</si>
  <si>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</si>
  <si>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</si>
  <si>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</si>
  <si>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</si>
  <si>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</si>
  <si>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</si>
  <si>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</si>
  <si>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</si>
  <si>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</si>
  <si>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</si>
  <si>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</si>
  <si>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</si>
  <si>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</si>
  <si>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</si>
  <si>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</si>
  <si>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</si>
  <si>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</si>
  <si>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</si>
  <si>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</si>
  <si>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</si>
  <si>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</si>
  <si>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</si>
  <si>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</si>
  <si>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</si>
  <si>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</si>
  <si>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</si>
  <si>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</si>
  <si>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</si>
  <si>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</si>
  <si>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</si>
  <si>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</si>
  <si>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</si>
  <si>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</si>
  <si>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</si>
  <si>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</si>
  <si>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</si>
  <si>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</si>
  <si>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</si>
  <si>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</si>
  <si>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</si>
  <si>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</si>
  <si>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</si>
  <si>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</si>
  <si>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</si>
  <si>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</si>
  <si>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</si>
  <si>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</si>
  <si>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</si>
  <si>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</si>
  <si>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</si>
  <si>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</si>
  <si>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</si>
  <si>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</si>
  <si>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</si>
  <si>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</si>
  <si>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</si>
  <si>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</si>
  <si>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</si>
  <si>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</si>
  <si>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</si>
  <si>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</si>
  <si>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</si>
  <si>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</si>
  <si>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</si>
  <si>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</si>
  <si>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</si>
  <si>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</si>
  <si>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</si>
  <si>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</si>
  <si>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</si>
  <si>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</si>
  <si>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</si>
  <si>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</si>
  <si>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</si>
  <si>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</si>
  <si>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</si>
  <si>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</si>
  <si>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</si>
  <si>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</si>
  <si>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</si>
  <si>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</si>
  <si>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</si>
  <si>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</si>
  <si>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</si>
  <si>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</si>
  <si>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</si>
  <si>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</si>
  <si>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</si>
  <si>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</si>
  <si>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</si>
  <si>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</si>
  <si>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</si>
  <si>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</si>
  <si>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</si>
  <si>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</si>
  <si>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</si>
  <si>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</si>
  <si>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</si>
  <si>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</si>
  <si>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</si>
  <si>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</si>
  <si>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</si>
  <si>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</si>
  <si>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</si>
  <si>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</si>
  <si>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</si>
  <si>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</si>
  <si>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</si>
  <si>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</si>
  <si>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</si>
  <si>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</si>
  <si>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</si>
  <si>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</si>
  <si>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</si>
  <si>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</si>
  <si>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</si>
  <si>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</si>
  <si>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</si>
  <si>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</si>
  <si>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</si>
  <si>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</si>
  <si>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</si>
  <si>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</si>
  <si>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</si>
  <si>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</si>
  <si>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</si>
  <si>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</si>
  <si>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</si>
  <si>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</si>
  <si>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</si>
  <si>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</si>
  <si>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</si>
  <si>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</si>
  <si>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</si>
  <si>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</si>
  <si>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</si>
  <si>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</si>
  <si>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</si>
  <si>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</si>
  <si>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</si>
  <si>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</si>
  <si>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</si>
  <si>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</si>
  <si>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</si>
  <si>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</si>
  <si>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</si>
  <si>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</si>
  <si>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</si>
  <si>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</si>
  <si>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</si>
  <si>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</si>
  <si>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</si>
  <si>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</si>
  <si>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</si>
  <si>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</si>
  <si>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</si>
  <si>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</si>
  <si>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</si>
  <si>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</si>
  <si>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</si>
  <si>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</si>
  <si>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</si>
  <si>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</si>
  <si>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</si>
  <si>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</si>
  <si>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</si>
  <si>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</si>
  <si>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</si>
  <si>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</si>
  <si>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</si>
  <si>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</si>
  <si>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</si>
  <si>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</si>
  <si>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</si>
  <si>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</si>
  <si>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</si>
  <si>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</si>
  <si>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</si>
  <si>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</si>
  <si>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</si>
  <si>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</si>
  <si>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</si>
  <si>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</si>
  <si>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</si>
  <si>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</si>
  <si>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</si>
  <si>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</si>
  <si>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</si>
  <si>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</si>
  <si>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</si>
  <si>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</si>
  <si>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</si>
  <si>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</si>
  <si>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</si>
  <si>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</si>
  <si>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</si>
  <si>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</si>
  <si>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</si>
  <si>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</si>
  <si>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</si>
  <si>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</si>
  <si>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</si>
  <si>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</si>
  <si>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</si>
  <si>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</si>
  <si>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</si>
  <si>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</si>
  <si>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</si>
  <si>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</si>
  <si>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</si>
  <si>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</si>
  <si>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</si>
  <si>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</si>
  <si>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</si>
  <si>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</si>
  <si>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</si>
  <si>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</si>
  <si>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</si>
  <si>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</si>
  <si>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</si>
  <si>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</si>
  <si>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</si>
  <si>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</si>
  <si>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</si>
  <si>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</si>
  <si>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</si>
  <si>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</si>
  <si>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</si>
  <si>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</si>
  <si>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</si>
  <si>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</si>
  <si>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</si>
  <si>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</si>
  <si>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</si>
  <si>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</si>
  <si>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</si>
  <si>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</si>
  <si>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</si>
  <si>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</si>
  <si>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</si>
  <si>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</si>
  <si>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</si>
  <si>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</si>
  <si>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</si>
  <si>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</si>
  <si>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</si>
  <si>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</si>
  <si>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</si>
  <si>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</si>
  <si>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</si>
  <si>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</si>
  <si>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</si>
  <si>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</si>
  <si>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</si>
  <si>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</si>
  <si>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</si>
  <si>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</si>
  <si>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</si>
  <si>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</si>
  <si>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</si>
  <si>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</si>
  <si>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</si>
  <si>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</si>
  <si>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</si>
  <si>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</si>
  <si>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</si>
  <si>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</si>
  <si>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</si>
  <si>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</si>
  <si>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</si>
  <si>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</si>
  <si>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</si>
  <si>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</si>
  <si>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</si>
  <si>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</si>
  <si>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</si>
  <si>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</si>
  <si>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</si>
  <si>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</si>
  <si>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</si>
  <si>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</si>
  <si>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</si>
  <si>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</si>
  <si>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</si>
  <si>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</si>
  <si>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</si>
  <si>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</si>
  <si>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</si>
  <si>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</si>
  <si>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</si>
  <si>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</si>
  <si>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</si>
  <si>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</si>
  <si>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</si>
  <si>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</si>
  <si>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</si>
  <si>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</si>
  <si>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</si>
  <si>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</si>
  <si>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</si>
  <si>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</si>
  <si>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</si>
  <si>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</si>
  <si>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</si>
  <si>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</si>
  <si>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</si>
  <si>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</si>
  <si>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</si>
  <si>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</si>
  <si>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</si>
  <si>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</si>
  <si>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</si>
  <si>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</si>
  <si>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</si>
  <si>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</si>
  <si>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</si>
  <si>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</si>
  <si>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</si>
  <si>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</si>
  <si>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</si>
  <si>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</si>
  <si>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</si>
  <si>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</si>
  <si>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</si>
  <si>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</si>
  <si>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</si>
  <si>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</si>
  <si>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</si>
  <si>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</si>
  <si>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</si>
  <si>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</si>
  <si>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</si>
  <si>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</si>
  <si>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</si>
  <si>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</si>
  <si>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</si>
  <si>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</si>
  <si>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</si>
  <si>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</si>
  <si>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</si>
  <si>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</si>
  <si>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</si>
  <si>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</si>
  <si>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</si>
  <si>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</si>
  <si>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</si>
  <si>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</si>
  <si>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</si>
  <si>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</si>
  <si>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</si>
  <si>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</si>
  <si>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</si>
  <si>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</si>
  <si>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</si>
  <si>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</si>
  <si>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</si>
  <si>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</si>
  <si>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</si>
  <si>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</si>
  <si>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</si>
  <si>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</si>
  <si>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</si>
  <si>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</si>
  <si>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</si>
  <si>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</si>
  <si>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</si>
  <si>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</si>
  <si>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</si>
  <si>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</si>
  <si>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</si>
  <si>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</si>
  <si>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</si>
  <si>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</si>
  <si>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</si>
  <si>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</si>
  <si>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</si>
  <si>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</si>
  <si>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</si>
  <si>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</si>
  <si>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</si>
  <si>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</si>
  <si>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</si>
  <si>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</si>
  <si>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</si>
  <si>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</si>
  <si>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</si>
  <si>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</si>
  <si>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</si>
  <si>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</si>
  <si>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</si>
  <si>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</si>
  <si>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</si>
  <si>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</si>
  <si>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</si>
  <si>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</si>
  <si>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</si>
  <si>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</si>
  <si>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</si>
  <si>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</si>
  <si>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</si>
  <si>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</si>
  <si>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</si>
  <si>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</si>
  <si>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</si>
  <si>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</si>
  <si>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</si>
  <si>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</si>
  <si>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</si>
  <si>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</si>
  <si>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</si>
  <si>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</si>
  <si>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</si>
  <si>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</si>
  <si>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</si>
  <si>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</si>
  <si>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</si>
  <si>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</si>
  <si>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</si>
  <si>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</si>
  <si>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</si>
  <si>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</si>
  <si>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</si>
  <si>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</si>
  <si>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</si>
  <si>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</si>
  <si>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</si>
  <si>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</si>
  <si>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</si>
  <si>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</si>
  <si>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</si>
  <si>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</si>
  <si>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</si>
  <si>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</si>
  <si>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</si>
  <si>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</si>
  <si>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</si>
  <si>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</si>
  <si>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</si>
  <si>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</si>
  <si>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</si>
  <si>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</si>
  <si>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</si>
  <si>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</si>
  <si>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</si>
  <si>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</si>
  <si>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</si>
  <si>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</si>
  <si>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</si>
  <si>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</si>
  <si>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</si>
  <si>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</si>
  <si>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</si>
  <si>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</si>
  <si>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</si>
  <si>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</si>
  <si>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</si>
  <si>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</si>
  <si>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</si>
  <si>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</si>
  <si>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</si>
  <si>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</si>
  <si>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</si>
  <si>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</si>
  <si>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</si>
  <si>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</si>
  <si>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</si>
  <si>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</si>
  <si>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</si>
  <si>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</si>
  <si>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</si>
  <si>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</si>
  <si>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</si>
  <si>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</si>
  <si>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</si>
  <si>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</si>
  <si>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</si>
  <si>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</si>
  <si>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</si>
  <si>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</si>
  <si>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</si>
  <si>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</si>
  <si>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</si>
  <si>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</si>
  <si>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</si>
  <si>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</si>
  <si>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</si>
  <si>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</si>
  <si>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</si>
  <si>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</si>
  <si>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</si>
  <si>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</si>
  <si>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</si>
  <si>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</si>
  <si>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</si>
  <si>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</si>
  <si>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</si>
  <si>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</si>
  <si>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</si>
  <si>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</si>
  <si>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</si>
  <si>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</si>
  <si>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</si>
  <si>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</si>
  <si>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</si>
  <si>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</si>
  <si>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</si>
  <si>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</si>
  <si>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</si>
  <si>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</si>
  <si>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</si>
  <si>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</si>
  <si>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</si>
  <si>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</si>
  <si>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</si>
  <si>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</si>
  <si>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</si>
  <si>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</si>
  <si>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</si>
  <si>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</si>
  <si>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</si>
  <si>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</si>
  <si>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</si>
  <si>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</si>
  <si>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</si>
  <si>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</si>
  <si>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</si>
  <si>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</si>
  <si>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</si>
  <si>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</si>
  <si>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</si>
  <si>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</si>
  <si>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</si>
  <si>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</si>
  <si>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</si>
  <si>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</si>
  <si>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</si>
  <si>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</si>
  <si>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</si>
  <si>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</si>
  <si>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</si>
  <si>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</si>
  <si>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</si>
  <si>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</si>
  <si>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</si>
  <si>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</si>
  <si>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</si>
  <si>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</si>
  <si>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</si>
  <si>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</si>
  <si>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</si>
  <si>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</si>
  <si>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</si>
  <si>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</si>
  <si>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</si>
  <si>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</si>
  <si>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</si>
  <si>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</si>
  <si>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</si>
  <si>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</si>
  <si>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</si>
  <si>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</si>
  <si>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</si>
  <si>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</si>
  <si>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</si>
  <si>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</si>
  <si>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</si>
  <si>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</si>
  <si>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</si>
  <si>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</si>
  <si>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</si>
  <si>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</si>
  <si>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</si>
  <si>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</si>
  <si>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</si>
  <si>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</si>
  <si>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</si>
  <si>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</si>
  <si>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</si>
  <si>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</si>
  <si>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</si>
  <si>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</si>
  <si>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</si>
  <si>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</si>
  <si>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</si>
  <si>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</si>
  <si>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</si>
  <si>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</si>
  <si>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</si>
  <si>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</si>
  <si>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</si>
  <si>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</si>
  <si>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</si>
  <si>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</si>
  <si>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</si>
  <si>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</si>
  <si>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</si>
  <si>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</si>
  <si>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</si>
  <si>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</si>
  <si>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</si>
  <si>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</si>
  <si>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</si>
  <si>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</si>
  <si>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</si>
  <si>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</si>
  <si>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</si>
  <si>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</si>
  <si>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</si>
  <si>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</si>
  <si>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</si>
  <si>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</si>
  <si>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</si>
  <si>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</si>
  <si>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</si>
  <si>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</si>
  <si>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</si>
  <si>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</si>
  <si>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</si>
  <si>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</si>
  <si>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</si>
  <si>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</si>
  <si>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</si>
  <si>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</si>
  <si>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</si>
  <si>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</si>
  <si>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</si>
  <si>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</si>
  <si>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</si>
  <si>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</si>
  <si>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</si>
  <si>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</si>
  <si>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</si>
  <si>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</si>
  <si>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</si>
  <si>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</si>
  <si>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</si>
  <si>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</si>
  <si>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</si>
  <si>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</si>
  <si>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</si>
  <si>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</si>
  <si>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</si>
  <si>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</si>
  <si>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</si>
  <si>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</si>
  <si>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</si>
  <si>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</si>
  <si>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</si>
  <si>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</si>
  <si>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</si>
  <si>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</si>
  <si>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</si>
  <si>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</si>
  <si>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</si>
  <si>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</si>
  <si>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</si>
  <si>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</si>
  <si>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</si>
  <si>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</si>
  <si>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</si>
  <si>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</si>
  <si>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</si>
  <si>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</si>
  <si>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</si>
  <si>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</si>
  <si>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</si>
  <si>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</si>
  <si>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</si>
  <si>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</si>
  <si>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</si>
  <si>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</si>
  <si>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</si>
  <si>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</si>
  <si>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</si>
  <si>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</si>
  <si>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</si>
  <si>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</si>
  <si>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</si>
  <si>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</si>
  <si>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</si>
  <si>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</si>
  <si>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</si>
  <si>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</si>
  <si>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</si>
  <si>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</si>
  <si>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</si>
  <si>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</si>
  <si>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</si>
  <si>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</si>
  <si>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</si>
  <si>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</si>
  <si>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</si>
  <si>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</si>
  <si>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</si>
  <si>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</si>
  <si>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</si>
  <si>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</si>
  <si>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</si>
  <si>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</si>
  <si>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</si>
  <si>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</si>
  <si>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</si>
  <si>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</si>
  <si>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</si>
  <si>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</si>
  <si>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</si>
  <si>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</si>
  <si>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</si>
  <si>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</si>
  <si>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</si>
  <si>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</si>
  <si>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</si>
  <si>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</si>
  <si>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</si>
  <si>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</si>
  <si>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</si>
  <si>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</si>
  <si>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</si>
  <si>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</si>
  <si>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</si>
  <si>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</si>
  <si>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</si>
  <si>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</si>
  <si>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</si>
  <si>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</si>
  <si>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</si>
  <si>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</si>
  <si>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</si>
  <si>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</si>
  <si>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</si>
  <si>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</si>
  <si>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</si>
  <si>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</si>
  <si>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</si>
  <si>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</si>
  <si>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</si>
  <si>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</si>
  <si>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</si>
  <si>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</si>
  <si>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</si>
  <si>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</si>
  <si>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</si>
  <si>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</si>
  <si>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</si>
  <si>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</si>
  <si>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</si>
  <si>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</si>
  <si>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</si>
  <si>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</si>
  <si>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</si>
  <si>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</si>
  <si>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</si>
  <si>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</si>
  <si>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</si>
  <si>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</si>
  <si>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</si>
  <si>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</si>
  <si>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</si>
  <si>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</si>
  <si>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</si>
  <si>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</si>
  <si>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</si>
  <si>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</si>
  <si>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</si>
  <si>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</si>
  <si>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</si>
  <si>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</si>
  <si>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</si>
  <si>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</si>
  <si>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</si>
  <si>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</si>
  <si>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</si>
  <si>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</si>
  <si>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</si>
  <si>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</si>
  <si>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</si>
  <si>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</si>
  <si>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</si>
  <si>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</si>
  <si>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</si>
  <si>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</si>
  <si>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</si>
  <si>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</si>
  <si>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</si>
  <si>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</si>
  <si>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</si>
  <si>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</si>
  <si>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</si>
  <si>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</si>
  <si>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</si>
  <si>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</si>
  <si>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</si>
  <si>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</si>
  <si>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</si>
  <si>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</si>
  <si>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</si>
  <si>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</si>
  <si>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</si>
  <si>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</si>
  <si>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</si>
  <si>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</si>
  <si>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</si>
  <si>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</si>
  <si>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</si>
  <si>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</si>
  <si>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</si>
  <si>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</si>
  <si>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</si>
  <si>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</si>
  <si>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</si>
  <si>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</si>
  <si>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</si>
  <si>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</si>
  <si>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</si>
  <si>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</si>
  <si>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</si>
  <si>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</si>
  <si>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</si>
  <si>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</si>
  <si>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</si>
  <si>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</si>
  <si>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</si>
  <si>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</si>
  <si>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</si>
  <si>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</si>
  <si>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</si>
  <si>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</si>
  <si>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</si>
  <si>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</si>
  <si>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</si>
  <si>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</si>
  <si>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</si>
  <si>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</si>
  <si>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</si>
  <si>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</si>
  <si>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</si>
  <si>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</si>
  <si>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</si>
  <si>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</si>
  <si>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</si>
  <si>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</si>
  <si>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</si>
  <si>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</si>
  <si>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</si>
  <si>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</si>
  <si>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</si>
  <si>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</si>
  <si>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</si>
  <si>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</si>
  <si>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</si>
  <si>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</si>
  <si>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</si>
  <si>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</si>
  <si>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</si>
  <si>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</si>
  <si>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</si>
  <si>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</si>
  <si>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</si>
  <si>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</si>
  <si>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</si>
  <si>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</si>
  <si>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</si>
  <si>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</si>
  <si>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</si>
  <si>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</si>
  <si>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</si>
  <si>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</si>
  <si>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</si>
  <si>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</si>
  <si>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</si>
  <si>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</si>
  <si>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</si>
  <si>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</si>
  <si>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</si>
  <si>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</si>
  <si>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</si>
  <si>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</si>
  <si>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</si>
  <si>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</si>
  <si>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</si>
  <si>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</si>
  <si>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</si>
  <si>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</si>
  <si>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</si>
  <si>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</si>
  <si>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</si>
  <si>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</si>
  <si>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</si>
  <si>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</si>
  <si>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</si>
  <si>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</si>
  <si>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</si>
  <si>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</si>
  <si>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</si>
  <si>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</si>
  <si>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</si>
  <si>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</si>
  <si>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</si>
  <si>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</si>
  <si>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</si>
  <si>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</si>
  <si>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</si>
  <si>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</si>
  <si>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</si>
  <si>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</si>
  <si>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</si>
  <si>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</si>
  <si>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</si>
  <si>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</si>
  <si>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</si>
  <si>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</si>
  <si>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</si>
  <si>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</si>
  <si>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</si>
  <si>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</si>
  <si>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</si>
  <si>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</si>
  <si>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</si>
  <si>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</si>
  <si>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</si>
  <si>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</si>
  <si>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</si>
  <si>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</si>
  <si>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</si>
  <si>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</si>
  <si>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</si>
  <si>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</si>
  <si>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</si>
  <si>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</si>
  <si>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</si>
  <si>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</si>
  <si>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</si>
  <si>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</si>
  <si>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</si>
  <si>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</si>
  <si>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</si>
  <si>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</si>
  <si>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</si>
  <si>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</si>
  <si>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</si>
  <si>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</si>
  <si>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</si>
  <si>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</si>
  <si>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</si>
  <si>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</si>
  <si>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</si>
  <si>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</si>
  <si>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</si>
  <si>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</si>
  <si>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</si>
  <si>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</si>
  <si>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</si>
  <si>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</si>
  <si>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</si>
  <si>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</si>
  <si>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</si>
  <si>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</si>
  <si>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</si>
  <si>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</si>
  <si>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</si>
  <si>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</si>
  <si>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</si>
  <si>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</si>
  <si>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</si>
  <si>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</si>
  <si>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</si>
  <si>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</si>
  <si>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</si>
  <si>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</si>
  <si>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</si>
  <si>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</si>
  <si>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</si>
  <si>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</si>
  <si>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</si>
  <si>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</si>
  <si>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</si>
  <si>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</si>
  <si>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</si>
  <si>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</si>
  <si>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</si>
  <si>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</si>
  <si>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</si>
  <si>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</si>
  <si>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</si>
  <si>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</si>
  <si>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</si>
  <si>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</si>
  <si>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</si>
  <si>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</si>
  <si>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</si>
  <si>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</si>
  <si>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</si>
  <si>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</si>
  <si>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</si>
  <si>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</si>
  <si>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</si>
  <si>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</si>
  <si>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</si>
  <si>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</si>
  <si>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</si>
  <si>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</si>
  <si>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</si>
  <si>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</si>
  <si>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</si>
  <si>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</si>
  <si>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</si>
  <si>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</si>
  <si>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</si>
  <si>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</si>
  <si>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</si>
  <si>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</si>
  <si>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</si>
  <si>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</si>
  <si>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</si>
  <si>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</si>
  <si>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</si>
  <si>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</si>
  <si>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</si>
  <si>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</si>
  <si>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</si>
  <si>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</si>
  <si>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</si>
  <si>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</si>
  <si>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</si>
  <si>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</si>
  <si>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</si>
  <si>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</si>
  <si>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</si>
  <si>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</si>
  <si>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</si>
  <si>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</si>
  <si>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</si>
  <si>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</si>
  <si>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</si>
  <si>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</si>
  <si>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</si>
  <si>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</si>
  <si>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</si>
  <si>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</si>
  <si>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</si>
  <si>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</si>
  <si>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</si>
  <si>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</si>
  <si>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</si>
  <si>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</si>
  <si>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</si>
  <si>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</si>
  <si>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</si>
  <si>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</si>
  <si>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</si>
  <si>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</si>
  <si>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</si>
  <si>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</si>
  <si>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</si>
  <si>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</si>
  <si>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</si>
  <si>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</si>
  <si>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</si>
  <si>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</si>
  <si>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</si>
  <si>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</si>
  <si>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</si>
  <si>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</si>
  <si>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</si>
  <si>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</si>
  <si>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</si>
  <si>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</si>
  <si>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</si>
  <si>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</si>
  <si>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</si>
  <si>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</si>
  <si>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</si>
  <si>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</si>
  <si>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</si>
  <si>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</si>
  <si>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</si>
  <si>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</si>
  <si>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</si>
  <si>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</si>
  <si>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</si>
  <si>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</si>
  <si>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</si>
  <si>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</si>
  <si>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</si>
  <si>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</si>
  <si>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</si>
  <si>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</si>
  <si>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</si>
  <si>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</si>
  <si>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</si>
  <si>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</si>
  <si>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</si>
  <si>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</si>
  <si>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</si>
  <si>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</si>
  <si>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</si>
  <si>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</si>
  <si>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</si>
  <si>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</si>
  <si>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</si>
  <si>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</si>
  <si>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</si>
  <si>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</si>
  <si>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</si>
  <si>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</si>
  <si>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</si>
  <si>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</si>
  <si>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</si>
  <si>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</si>
  <si>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</si>
  <si>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</si>
  <si>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</si>
  <si>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</si>
  <si>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</si>
  <si>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</si>
  <si>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</si>
  <si>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</si>
  <si>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</si>
  <si>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</si>
  <si>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</si>
  <si>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</si>
  <si>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</si>
  <si>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</si>
  <si>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</si>
  <si>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</si>
  <si>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</si>
  <si>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</si>
  <si>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</si>
  <si>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</si>
  <si>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</si>
  <si>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</si>
  <si>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</si>
  <si>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</si>
  <si>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</si>
  <si>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</si>
  <si>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</si>
  <si>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</si>
  <si>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</si>
  <si>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</si>
  <si>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</si>
  <si>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</si>
  <si>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</si>
  <si>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</si>
  <si>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</si>
  <si>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</si>
  <si>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</si>
  <si>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</si>
  <si>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</si>
  <si>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</si>
  <si>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</si>
  <si>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</si>
  <si>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</si>
  <si>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</si>
  <si>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</si>
  <si>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</si>
  <si>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</si>
  <si>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</si>
  <si>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</si>
  <si>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</si>
  <si>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</si>
  <si>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</si>
  <si>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</si>
  <si>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</si>
  <si>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</si>
  <si>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</si>
  <si>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</si>
  <si>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</si>
  <si>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</si>
  <si>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</si>
  <si>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</si>
  <si>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</si>
  <si>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</si>
  <si>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</si>
  <si>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</si>
  <si>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</si>
  <si>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</si>
  <si>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</si>
  <si>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</si>
  <si>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</si>
  <si>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</si>
  <si>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</si>
  <si>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</si>
  <si>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</si>
  <si>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</si>
  <si>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</si>
  <si>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</si>
  <si>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</si>
  <si>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</si>
  <si>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</si>
  <si>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</si>
  <si>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</si>
  <si>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</si>
  <si>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</si>
  <si>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</si>
  <si>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</si>
  <si>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</si>
  <si>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</si>
  <si>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</si>
  <si>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</si>
  <si>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</si>
  <si>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</si>
  <si>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</si>
  <si>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</si>
  <si>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</si>
  <si>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</si>
  <si>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</si>
  <si>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</si>
  <si>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</si>
  <si>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</si>
  <si>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</si>
  <si>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</si>
  <si>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</si>
  <si>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</si>
  <si>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</si>
  <si>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</si>
  <si>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</si>
  <si>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</si>
  <si>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</si>
  <si>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</si>
  <si>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</si>
  <si>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</si>
  <si>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</si>
  <si>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</si>
  <si>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</si>
  <si>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</si>
  <si>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</si>
  <si>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</si>
  <si>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</si>
  <si>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</si>
  <si>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</si>
  <si>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</si>
  <si>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</si>
  <si>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</si>
  <si>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</si>
  <si>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</si>
  <si>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</si>
  <si>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</si>
  <si>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</si>
  <si>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</si>
  <si>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</si>
  <si>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</si>
  <si>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</si>
  <si>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</si>
  <si>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</si>
  <si>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</si>
  <si>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</si>
  <si>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</si>
  <si>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</si>
  <si>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</si>
  <si>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</si>
  <si>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</si>
  <si>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</si>
  <si>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</si>
  <si>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Monroe, Randolph, and St. Clair</t>
  </si>
  <si>
    <t>#1 Taylor Street, Room 101</t>
  </si>
  <si>
    <t>Chester</t>
  </si>
  <si>
    <t>Dr. Thomas Springborn</t>
  </si>
  <si>
    <t>tspringborn@roe45.net</t>
  </si>
  <si>
    <t>618-826-5471</t>
  </si>
  <si>
    <t>618-826-5474</t>
  </si>
  <si>
    <t>Scheffel Boyle CPA's</t>
  </si>
  <si>
    <t>Dale Holtmann, CPA</t>
  </si>
  <si>
    <t>222 E Main Street</t>
  </si>
  <si>
    <t>Belleville</t>
  </si>
  <si>
    <t>IL</t>
  </si>
  <si>
    <t>618-277-8100</t>
  </si>
  <si>
    <t>618-277-9307</t>
  </si>
  <si>
    <t>065-026956</t>
  </si>
  <si>
    <t>Mr. Kelton Davis</t>
  </si>
  <si>
    <t>kdavis@roe45.org</t>
  </si>
  <si>
    <t>618-939-5650</t>
  </si>
  <si>
    <t>618-939-5332</t>
  </si>
  <si>
    <t>4799 - Revenue - Perkins V Funding (4745)</t>
  </si>
  <si>
    <t>ED-Support Services-General Administration</t>
  </si>
  <si>
    <t>Scheffel Boyle</t>
  </si>
  <si>
    <t>St. Clair and Madison Counties EFE's</t>
  </si>
  <si>
    <t>Monroe-Randolph ROE</t>
  </si>
  <si>
    <t>St. Clair and Madison Counties EFE's and Monroe-Randolph ROE</t>
  </si>
  <si>
    <t>x</t>
  </si>
  <si>
    <t>SCHEFFEL BOYLE</t>
  </si>
  <si>
    <t>Okaw Area Vocational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</si>
</sst>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55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49" fontId="130" fillId="0" borderId="105" xfId="24" applyNumberFormat="1" applyFont="1" applyBorder="1" applyAlignment="1" applyProtection="1">
      <alignment horizontal="center" vertical="center"/>
      <protection locked="0"/>
    </xf>
    <xf numFmtId="0" fontId="99" fillId="0" borderId="105" xfId="24" applyFont="1" applyBorder="1" applyProtection="1">
      <protection locked="0"/>
    </xf>
    <xf numFmtId="49" fontId="130" fillId="0" borderId="107" xfId="24" applyNumberFormat="1" applyFont="1" applyFill="1" applyBorder="1" applyAlignment="1" applyProtection="1">
      <alignment horizontal="center"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00000000-0005-0000-0000-000008000000}"/>
    <cellStyle name="Normal 3 2 3" xfId="21" xr:uid="{00000000-0005-0000-0000-000009000000}"/>
    <cellStyle name="Normal 3 3" xfId="20" xr:uid="{00000000-0005-0000-0000-00000A000000}"/>
    <cellStyle name="Normal 4" xfId="16" xr:uid="{00000000-0005-0000-0000-00000B000000}"/>
    <cellStyle name="Normal 4 2" xfId="22" xr:uid="{00000000-0005-0000-0000-00000C000000}"/>
    <cellStyle name="Normal 5" xfId="17" xr:uid="{00000000-0005-0000-0000-00000D000000}"/>
    <cellStyle name="Normal 5 2" xfId="19" xr:uid="{00000000-0005-0000-0000-00000E000000}"/>
    <cellStyle name="Normal 5 3" xfId="23"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523875</xdr:colOff>
          <xdr:row>3</xdr:row>
          <xdr:rowOff>0</xdr:rowOff>
        </xdr:from>
        <xdr:to>
          <xdr:col>1</xdr:col>
          <xdr:colOff>1438275</xdr:colOff>
          <xdr:row>7</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2">
        <f>+'AFR20'!E4</f>
        <v>44119</v>
      </c>
      <c r="C1" s="1992"/>
      <c r="D1" s="1993"/>
      <c r="I1" s="2071" t="s">
        <v>402</v>
      </c>
      <c r="J1" s="2072"/>
      <c r="K1" s="2072"/>
      <c r="L1" s="2072"/>
      <c r="M1" s="2072"/>
      <c r="N1" s="2072"/>
      <c r="O1" s="2072"/>
      <c r="P1" s="2072"/>
      <c r="Q1" s="2072"/>
      <c r="R1" s="2072"/>
      <c r="S1" s="2072"/>
    </row>
    <row r="2" spans="1:32" ht="12" customHeight="1" x14ac:dyDescent="0.2">
      <c r="A2" s="1889" t="str">
        <f>"Due to ISBE on "</f>
        <v xml:space="preserve">Due to ISBE on </v>
      </c>
      <c r="B2" s="1994">
        <f>+'AFR20'!F4</f>
        <v>44151</v>
      </c>
      <c r="C2" s="1994"/>
      <c r="D2" s="1995"/>
      <c r="I2" s="2073" t="s">
        <v>2006</v>
      </c>
      <c r="J2" s="2072"/>
      <c r="K2" s="2072"/>
      <c r="L2" s="2072"/>
      <c r="M2" s="2072"/>
      <c r="N2" s="2072"/>
      <c r="O2" s="2072"/>
      <c r="P2" s="2072"/>
      <c r="Q2" s="2072"/>
      <c r="R2" s="2072"/>
      <c r="S2" s="2072"/>
    </row>
    <row r="3" spans="1:32" ht="12" customHeight="1" x14ac:dyDescent="0.2">
      <c r="A3" s="1892" t="str">
        <f>"SD/JA"&amp;MID('AFR20'!E2,3,2)</f>
        <v>SD/JA20</v>
      </c>
      <c r="B3" s="151"/>
      <c r="C3" s="151"/>
      <c r="D3" s="152"/>
      <c r="I3" s="2073" t="s">
        <v>52</v>
      </c>
      <c r="J3" s="2072"/>
      <c r="K3" s="2072"/>
      <c r="L3" s="2072"/>
      <c r="M3" s="2072"/>
      <c r="N3" s="2072"/>
      <c r="O3" s="2072"/>
      <c r="P3" s="2072"/>
      <c r="Q3" s="2072"/>
      <c r="R3" s="2072"/>
      <c r="S3" s="2072"/>
    </row>
    <row r="4" spans="1:32" ht="12" customHeight="1" x14ac:dyDescent="0.2">
      <c r="A4" s="37"/>
      <c r="I4" s="2073" t="s">
        <v>521</v>
      </c>
      <c r="J4" s="2072"/>
      <c r="K4" s="2072"/>
      <c r="L4" s="2072"/>
      <c r="M4" s="2072"/>
      <c r="N4" s="2072"/>
      <c r="O4" s="2072"/>
      <c r="P4" s="2072"/>
      <c r="Q4" s="2072"/>
      <c r="R4" s="2072"/>
      <c r="S4" s="2072"/>
    </row>
    <row r="5" spans="1:32" ht="14.1" customHeight="1" x14ac:dyDescent="0.2">
      <c r="B5" s="101"/>
      <c r="C5" s="26" t="s">
        <v>904</v>
      </c>
      <c r="D5" s="81"/>
      <c r="E5" s="81"/>
      <c r="H5" s="38"/>
      <c r="I5" s="2080" t="s">
        <v>675</v>
      </c>
      <c r="J5" s="2025"/>
      <c r="K5" s="2025"/>
      <c r="L5" s="2025"/>
      <c r="M5" s="2025"/>
      <c r="N5" s="2025"/>
      <c r="O5" s="2025"/>
      <c r="P5" s="2025"/>
      <c r="Q5" s="2025"/>
      <c r="R5" s="2025"/>
      <c r="S5" s="2025"/>
      <c r="AF5" s="1885"/>
    </row>
    <row r="6" spans="1:32" ht="14.1" customHeight="1" x14ac:dyDescent="0.2">
      <c r="B6" s="101" t="s">
        <v>2021</v>
      </c>
      <c r="C6" s="26" t="s">
        <v>905</v>
      </c>
      <c r="D6" s="81"/>
      <c r="E6" s="81"/>
      <c r="I6" s="2079" t="s">
        <v>877</v>
      </c>
      <c r="J6" s="2025"/>
      <c r="K6" s="2025"/>
      <c r="L6" s="2025"/>
      <c r="M6" s="2025"/>
      <c r="N6" s="2025"/>
      <c r="O6" s="2025"/>
      <c r="P6" s="2025"/>
      <c r="Q6" s="2025"/>
      <c r="R6" s="2025"/>
      <c r="S6" s="2025"/>
    </row>
    <row r="7" spans="1:32" ht="12.2" customHeight="1" x14ac:dyDescent="0.2">
      <c r="I7" s="2074" t="str">
        <f>"June 30, "&amp;'AFR20'!E2</f>
        <v>June 30, 2020</v>
      </c>
      <c r="J7" s="2075"/>
      <c r="K7" s="2075"/>
      <c r="L7" s="2075"/>
      <c r="M7" s="2075"/>
      <c r="N7" s="2075"/>
      <c r="O7" s="2075"/>
      <c r="P7" s="2075"/>
      <c r="Q7" s="2075"/>
      <c r="R7" s="2075"/>
      <c r="S7" s="207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6" t="s">
        <v>669</v>
      </c>
      <c r="J9" s="2077"/>
      <c r="K9" s="2077"/>
      <c r="L9" s="2077"/>
      <c r="M9" s="2077"/>
      <c r="N9" s="2077"/>
      <c r="O9" s="2077"/>
      <c r="P9" s="2077"/>
      <c r="Q9" s="2077"/>
      <c r="R9" s="2077"/>
      <c r="S9" s="2078"/>
      <c r="T9" s="2021" t="s">
        <v>530</v>
      </c>
      <c r="U9" s="2022"/>
      <c r="V9" s="2022"/>
      <c r="W9" s="2022"/>
      <c r="X9" s="2022"/>
      <c r="Y9" s="2022"/>
      <c r="Z9" s="2022"/>
      <c r="AA9" s="2023"/>
    </row>
    <row r="10" spans="1:32" ht="13.5" customHeight="1" x14ac:dyDescent="0.2">
      <c r="A10" s="2030" t="s">
        <v>670</v>
      </c>
      <c r="B10" s="2031"/>
      <c r="C10" s="2031"/>
      <c r="D10" s="2031"/>
      <c r="E10" s="2031"/>
      <c r="F10" s="2031"/>
      <c r="G10" s="2031"/>
      <c r="H10" s="2032"/>
      <c r="I10" s="29"/>
      <c r="J10" s="30"/>
      <c r="K10" s="28"/>
      <c r="R10" s="30"/>
      <c r="S10" s="30"/>
      <c r="T10" s="2024"/>
      <c r="U10" s="2025"/>
      <c r="V10" s="2025"/>
      <c r="W10" s="2025"/>
      <c r="X10" s="2025"/>
      <c r="Y10" s="2025"/>
      <c r="Z10" s="2025"/>
      <c r="AA10" s="2026"/>
    </row>
    <row r="11" spans="1:32" ht="14.25" customHeight="1" x14ac:dyDescent="0.2">
      <c r="A11" s="2033" t="s">
        <v>949</v>
      </c>
      <c r="B11" s="2034"/>
      <c r="C11" s="2034"/>
      <c r="D11" s="2034"/>
      <c r="E11" s="2034"/>
      <c r="F11" s="2034"/>
      <c r="G11" s="2034"/>
      <c r="H11" s="2035"/>
      <c r="I11" s="27"/>
      <c r="J11" s="71"/>
      <c r="K11" s="27"/>
      <c r="O11" s="144" t="s">
        <v>2021</v>
      </c>
      <c r="P11" s="97" t="s">
        <v>199</v>
      </c>
      <c r="Q11" s="30"/>
      <c r="R11" s="28"/>
      <c r="S11" s="27"/>
      <c r="T11" s="2027"/>
      <c r="U11" s="2028"/>
      <c r="V11" s="2028"/>
      <c r="W11" s="2028"/>
      <c r="X11" s="2028"/>
      <c r="Y11" s="2028"/>
      <c r="Z11" s="2028"/>
      <c r="AA11" s="202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41">
        <v>45000000046</v>
      </c>
      <c r="B13" s="2042"/>
      <c r="C13" s="2042"/>
      <c r="D13" s="2042"/>
      <c r="E13" s="2042"/>
      <c r="F13" s="2042"/>
      <c r="G13" s="2042"/>
      <c r="H13" s="2043"/>
      <c r="I13" s="31"/>
      <c r="J13" s="30"/>
      <c r="K13" s="28"/>
      <c r="L13" s="30"/>
      <c r="M13" s="30"/>
      <c r="N13" s="30"/>
      <c r="O13" s="30"/>
      <c r="P13" s="30"/>
      <c r="Q13" s="30"/>
      <c r="R13" s="30"/>
      <c r="S13" s="30"/>
      <c r="T13" s="2046" t="s">
        <v>2029</v>
      </c>
      <c r="U13" s="2047"/>
      <c r="V13" s="2047"/>
      <c r="W13" s="2047"/>
      <c r="X13" s="2047"/>
      <c r="Y13" s="2048"/>
      <c r="Z13" s="2048"/>
      <c r="AA13" s="204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9" t="s">
        <v>2022</v>
      </c>
      <c r="B15" s="2044"/>
      <c r="C15" s="2044"/>
      <c r="D15" s="2044"/>
      <c r="E15" s="2044"/>
      <c r="F15" s="2044"/>
      <c r="G15" s="2044"/>
      <c r="H15" s="2045"/>
      <c r="T15" s="2007" t="s">
        <v>2030</v>
      </c>
      <c r="U15" s="2008"/>
      <c r="V15" s="2008"/>
      <c r="W15" s="2008"/>
      <c r="X15" s="2008"/>
      <c r="Y15" s="2050"/>
      <c r="Z15" s="2050"/>
      <c r="AA15" s="205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9" t="s">
        <v>2049</v>
      </c>
      <c r="B17" s="2069"/>
      <c r="C17" s="2069"/>
      <c r="D17" s="2069"/>
      <c r="E17" s="2069"/>
      <c r="F17" s="2069"/>
      <c r="G17" s="2069"/>
      <c r="H17" s="2070"/>
      <c r="T17" s="2056" t="s">
        <v>2031</v>
      </c>
      <c r="U17" s="2057"/>
      <c r="V17" s="2057"/>
      <c r="W17" s="2057"/>
      <c r="X17" s="2057"/>
      <c r="Y17" s="2057"/>
      <c r="Z17" s="2057"/>
      <c r="AA17" s="2058"/>
    </row>
    <row r="18" spans="1:27" ht="13.5" customHeight="1" x14ac:dyDescent="0.2">
      <c r="A18" s="82" t="s">
        <v>527</v>
      </c>
      <c r="B18" s="73"/>
      <c r="C18" s="69"/>
      <c r="D18" s="73"/>
      <c r="E18" s="73"/>
      <c r="F18" s="73"/>
      <c r="G18" s="73"/>
      <c r="H18" s="53"/>
      <c r="I18" s="2066" t="s">
        <v>671</v>
      </c>
      <c r="J18" s="2067"/>
      <c r="K18" s="2067"/>
      <c r="L18" s="2067"/>
      <c r="M18" s="2067"/>
      <c r="N18" s="2067"/>
      <c r="O18" s="2067"/>
      <c r="P18" s="2067"/>
      <c r="Q18" s="2067"/>
      <c r="R18" s="2067"/>
      <c r="S18" s="2068"/>
      <c r="T18" s="82" t="s">
        <v>706</v>
      </c>
      <c r="U18" s="48"/>
      <c r="V18" s="69"/>
      <c r="W18" s="47"/>
      <c r="X18" s="82" t="s">
        <v>264</v>
      </c>
      <c r="Y18" s="78"/>
      <c r="Z18" s="154" t="s">
        <v>672</v>
      </c>
      <c r="AA18" s="44"/>
    </row>
    <row r="19" spans="1:27" ht="13.5" customHeight="1" x14ac:dyDescent="0.2">
      <c r="A19" s="2039" t="s">
        <v>2023</v>
      </c>
      <c r="B19" s="2040"/>
      <c r="C19" s="2040"/>
      <c r="D19" s="2040"/>
      <c r="E19" s="2040"/>
      <c r="F19" s="2040"/>
      <c r="G19" s="2040"/>
      <c r="H19" s="2038"/>
      <c r="I19" s="30"/>
      <c r="J19" s="96"/>
      <c r="K19" s="40"/>
      <c r="L19" s="38"/>
      <c r="M19" s="109" t="s">
        <v>312</v>
      </c>
      <c r="P19" s="27"/>
      <c r="Q19" s="27"/>
      <c r="R19" s="27"/>
      <c r="S19" s="31"/>
      <c r="T19" s="2039" t="s">
        <v>2032</v>
      </c>
      <c r="U19" s="2037"/>
      <c r="V19" s="2037"/>
      <c r="W19" s="2038"/>
      <c r="X19" s="2054" t="s">
        <v>2033</v>
      </c>
      <c r="Y19" s="2055"/>
      <c r="Z19" s="2052">
        <v>62220</v>
      </c>
      <c r="AA19" s="205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6" t="s">
        <v>2024</v>
      </c>
      <c r="B21" s="2037"/>
      <c r="C21" s="2037"/>
      <c r="D21" s="2037"/>
      <c r="E21" s="2037"/>
      <c r="F21" s="2037"/>
      <c r="G21" s="2037"/>
      <c r="H21" s="2038"/>
      <c r="I21" s="2062" t="s">
        <v>673</v>
      </c>
      <c r="J21" s="2025"/>
      <c r="K21" s="2025"/>
      <c r="L21" s="2025"/>
      <c r="M21" s="2025"/>
      <c r="N21" s="2025"/>
      <c r="O21" s="2025"/>
      <c r="P21" s="2025"/>
      <c r="Q21" s="2025"/>
      <c r="R21" s="2025"/>
      <c r="S21" s="2026"/>
      <c r="T21" s="2004" t="s">
        <v>2034</v>
      </c>
      <c r="U21" s="2005"/>
      <c r="V21" s="2005"/>
      <c r="W21" s="2005"/>
      <c r="X21" s="2018" t="s">
        <v>2035</v>
      </c>
      <c r="Y21" s="2019"/>
      <c r="Z21" s="2019"/>
      <c r="AA21" s="2020"/>
    </row>
    <row r="22" spans="1:27" ht="13.5" customHeight="1" x14ac:dyDescent="0.2">
      <c r="A22" s="84" t="s">
        <v>528</v>
      </c>
      <c r="B22" s="56"/>
      <c r="C22" s="56"/>
      <c r="D22" s="56"/>
      <c r="E22" s="56"/>
      <c r="F22" s="56"/>
      <c r="G22" s="56"/>
      <c r="H22" s="57"/>
      <c r="I22" s="2063" t="s">
        <v>1415</v>
      </c>
      <c r="J22" s="2064"/>
      <c r="K22" s="2064"/>
      <c r="L22" s="2064"/>
      <c r="M22" s="2064"/>
      <c r="N22" s="2064"/>
      <c r="O22" s="2064"/>
      <c r="P22" s="2064"/>
      <c r="Q22" s="2064"/>
      <c r="R22" s="2064"/>
      <c r="S22" s="2065"/>
      <c r="T22" s="82" t="s">
        <v>1502</v>
      </c>
      <c r="U22" s="48"/>
      <c r="V22" s="69"/>
      <c r="W22" s="48"/>
      <c r="X22" s="155" t="s">
        <v>1309</v>
      </c>
      <c r="Z22" s="43"/>
      <c r="AA22" s="44"/>
    </row>
    <row r="23" spans="1:27" ht="13.5" customHeight="1" x14ac:dyDescent="0.2">
      <c r="A23" s="2059"/>
      <c r="B23" s="2060"/>
      <c r="C23" s="2060"/>
      <c r="D23" s="2060"/>
      <c r="E23" s="2060"/>
      <c r="F23" s="2060"/>
      <c r="G23" s="2060"/>
      <c r="H23" s="2061"/>
      <c r="T23" s="1999" t="s">
        <v>2036</v>
      </c>
      <c r="U23" s="2000"/>
      <c r="V23" s="2000"/>
      <c r="W23" s="2000"/>
      <c r="X23" s="2015">
        <v>44469</v>
      </c>
      <c r="Y23" s="2016"/>
      <c r="Z23" s="2016"/>
      <c r="AA23" s="2017"/>
    </row>
    <row r="24" spans="1:27" ht="14.1" customHeight="1" x14ac:dyDescent="0.2">
      <c r="A24" s="85" t="s">
        <v>672</v>
      </c>
      <c r="B24" s="46"/>
      <c r="C24" s="46"/>
      <c r="D24" s="46"/>
      <c r="E24" s="46"/>
      <c r="F24" s="46"/>
      <c r="G24" s="46"/>
      <c r="H24" s="58"/>
      <c r="J24" s="2101" t="str">
        <f>IF(B5="x",IF(AUDITCHECK!D29="AFR form Incomplete.","",IF(AUDITCHECK!D29="Deficit reduction plan is required.","School District must complete a deficit reduction plan in the 2019-2020 Budget",)),"")</f>
        <v/>
      </c>
      <c r="K24" s="2101"/>
      <c r="L24" s="2101"/>
      <c r="M24" s="2101"/>
      <c r="N24" s="2101"/>
      <c r="O24" s="2101"/>
      <c r="P24" s="2101"/>
      <c r="Q24" s="2101"/>
      <c r="R24" s="2101"/>
      <c r="S24" s="2102"/>
      <c r="T24" s="102" t="s">
        <v>528</v>
      </c>
      <c r="U24" s="103"/>
      <c r="V24" s="103"/>
      <c r="W24" s="103"/>
      <c r="X24" s="104"/>
      <c r="Y24" s="104"/>
      <c r="Z24" s="104"/>
      <c r="AA24" s="105"/>
    </row>
    <row r="25" spans="1:27" ht="14.1" customHeight="1" x14ac:dyDescent="0.2">
      <c r="A25" s="2036">
        <v>62223</v>
      </c>
      <c r="B25" s="2037"/>
      <c r="C25" s="2037"/>
      <c r="D25" s="2037"/>
      <c r="E25" s="2037"/>
      <c r="F25" s="2037"/>
      <c r="G25" s="2037"/>
      <c r="H25" s="2038"/>
      <c r="I25" s="110"/>
      <c r="J25" s="2103"/>
      <c r="K25" s="2103"/>
      <c r="L25" s="2103"/>
      <c r="M25" s="2103"/>
      <c r="N25" s="2103"/>
      <c r="O25" s="2103"/>
      <c r="P25" s="2103"/>
      <c r="Q25" s="2103"/>
      <c r="R25" s="2103"/>
      <c r="S25" s="2104"/>
      <c r="T25" s="1996"/>
      <c r="U25" s="1997"/>
      <c r="V25" s="1997"/>
      <c r="W25" s="1997"/>
      <c r="X25" s="1997"/>
      <c r="Y25" s="1997"/>
      <c r="Z25" s="1997"/>
      <c r="AA25" s="199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4" t="s">
        <v>1497</v>
      </c>
      <c r="J27" s="2067"/>
      <c r="K27" s="2067"/>
      <c r="L27" s="2067"/>
      <c r="M27" s="2067"/>
      <c r="N27" s="2067"/>
      <c r="O27" s="2067"/>
      <c r="P27" s="2067"/>
      <c r="Q27" s="2067"/>
      <c r="R27" s="2067"/>
      <c r="S27" s="206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40"/>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9" t="s">
        <v>2025</v>
      </c>
      <c r="B38" s="2069"/>
      <c r="C38" s="2069"/>
      <c r="D38" s="2069"/>
      <c r="E38" s="2069"/>
      <c r="F38" s="2037"/>
      <c r="G38" s="2037"/>
      <c r="H38" s="2038"/>
      <c r="I38" s="2088"/>
      <c r="J38" s="2008"/>
      <c r="K38" s="2008"/>
      <c r="L38" s="2008"/>
      <c r="M38" s="2008"/>
      <c r="N38" s="2008"/>
      <c r="O38" s="2008"/>
      <c r="P38" s="2009"/>
      <c r="Q38" s="2009"/>
      <c r="R38" s="2009"/>
      <c r="S38" s="2010"/>
      <c r="T38" s="2007" t="s">
        <v>2037</v>
      </c>
      <c r="U38" s="2008"/>
      <c r="V38" s="2008"/>
      <c r="W38" s="2008"/>
      <c r="X38" s="2009"/>
      <c r="Y38" s="2009"/>
      <c r="Z38" s="2009"/>
      <c r="AA38" s="2010"/>
    </row>
    <row r="39" spans="1:27" ht="12" customHeight="1" x14ac:dyDescent="0.2">
      <c r="A39" s="2092" t="s">
        <v>528</v>
      </c>
      <c r="B39" s="2093"/>
      <c r="C39" s="69"/>
      <c r="D39" s="66"/>
      <c r="E39" s="66"/>
      <c r="F39" s="76"/>
      <c r="G39" s="66"/>
      <c r="H39" s="53"/>
      <c r="I39" s="2092" t="s">
        <v>528</v>
      </c>
      <c r="J39" s="2093"/>
      <c r="K39" s="2093"/>
      <c r="L39" s="2093"/>
      <c r="M39" s="2093"/>
      <c r="N39" s="64"/>
      <c r="O39" s="69"/>
      <c r="P39" s="69"/>
      <c r="Q39" s="75"/>
      <c r="R39" s="69"/>
      <c r="S39" s="53"/>
      <c r="T39" s="69" t="s">
        <v>528</v>
      </c>
      <c r="U39" s="48"/>
      <c r="V39" s="69"/>
      <c r="W39" s="47"/>
      <c r="X39" s="75"/>
      <c r="Y39" s="43"/>
      <c r="Z39" s="43"/>
      <c r="AA39" s="44"/>
    </row>
    <row r="40" spans="1:27" ht="13.5" customHeight="1" x14ac:dyDescent="0.2">
      <c r="A40" s="2095" t="s">
        <v>2026</v>
      </c>
      <c r="B40" s="2096"/>
      <c r="C40" s="2097"/>
      <c r="D40" s="2097"/>
      <c r="E40" s="2097"/>
      <c r="F40" s="2098"/>
      <c r="G40" s="2098"/>
      <c r="H40" s="2099"/>
      <c r="I40" s="2011"/>
      <c r="J40" s="2013"/>
      <c r="K40" s="2013"/>
      <c r="L40" s="2013"/>
      <c r="M40" s="2013"/>
      <c r="N40" s="2013"/>
      <c r="O40" s="2013"/>
      <c r="P40" s="2013"/>
      <c r="Q40" s="2013"/>
      <c r="R40" s="2013"/>
      <c r="S40" s="2014"/>
      <c r="T40" s="2011" t="s">
        <v>2038</v>
      </c>
      <c r="U40" s="2012"/>
      <c r="V40" s="2013"/>
      <c r="W40" s="2013"/>
      <c r="X40" s="2013"/>
      <c r="Y40" s="2013"/>
      <c r="Z40" s="2013"/>
      <c r="AA40" s="201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5" t="s">
        <v>2027</v>
      </c>
      <c r="B42" s="2086"/>
      <c r="C42" s="2087"/>
      <c r="D42" s="2100" t="s">
        <v>2028</v>
      </c>
      <c r="E42" s="2086"/>
      <c r="F42" s="2086"/>
      <c r="G42" s="2086"/>
      <c r="H42" s="2087"/>
      <c r="I42" s="2006"/>
      <c r="J42" s="2002"/>
      <c r="K42" s="2002"/>
      <c r="L42" s="2002"/>
      <c r="M42" s="2002"/>
      <c r="N42" s="2002"/>
      <c r="O42" s="2003"/>
      <c r="P42" s="2001"/>
      <c r="Q42" s="2002"/>
      <c r="R42" s="2002"/>
      <c r="S42" s="2003"/>
      <c r="T42" s="2006" t="s">
        <v>2039</v>
      </c>
      <c r="U42" s="2002"/>
      <c r="V42" s="2002"/>
      <c r="W42" s="2003"/>
      <c r="X42" s="2001" t="s">
        <v>2040</v>
      </c>
      <c r="Y42" s="2002"/>
      <c r="Z42" s="2002"/>
      <c r="AA42" s="200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9"/>
      <c r="B44" s="2090"/>
      <c r="C44" s="2090"/>
      <c r="D44" s="2090"/>
      <c r="E44" s="2090"/>
      <c r="F44" s="2090"/>
      <c r="G44" s="2090"/>
      <c r="H44" s="2091"/>
      <c r="I44" s="2081"/>
      <c r="J44" s="2083"/>
      <c r="K44" s="2083"/>
      <c r="L44" s="2083"/>
      <c r="M44" s="2083"/>
      <c r="N44" s="2083"/>
      <c r="O44" s="2083"/>
      <c r="P44" s="2083"/>
      <c r="Q44" s="2083"/>
      <c r="R44" s="2083"/>
      <c r="S44" s="2084"/>
      <c r="T44" s="2081"/>
      <c r="U44" s="2082"/>
      <c r="V44" s="2082"/>
      <c r="W44" s="2082"/>
      <c r="X44" s="2082"/>
      <c r="Y44" s="2082"/>
      <c r="Z44" s="2083"/>
      <c r="AA44" s="208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25" right="0.2" top="0.75" bottom="0.52" header="0.19" footer="0.25"/>
  <pageSetup scale="75" orientation="landscape" r:id="rId3"/>
  <headerFooter scaleWithDoc="0">
    <oddFooter>&amp;L&amp;8See notes to financial statements.&amp;C4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T37" sqref="T3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3"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4"/>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25"/>
  <pageSetup firstPageNumber="23" orientation="landscape" useFirstPageNumber="1" r:id="rId1"/>
  <headerFooter alignWithMargins="0">
    <oddFooter>&amp;L&amp;8See notes to financial statements.&amp;C28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view="pageLayout" topLeftCell="A37" colorId="8" zoomScaleNormal="110" workbookViewId="0">
      <selection activeCell="T37" sqref="T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9" t="s">
        <v>625</v>
      </c>
      <c r="B1" s="2250"/>
      <c r="C1" s="585"/>
    </row>
    <row r="2" spans="1:7" ht="33.75" x14ac:dyDescent="0.2">
      <c r="A2" s="2258" t="s">
        <v>1782</v>
      </c>
      <c r="B2" s="225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2" t="s">
        <v>1106</v>
      </c>
      <c r="B3" s="2263"/>
      <c r="C3" s="2251"/>
      <c r="D3" s="2252"/>
      <c r="E3" s="2252"/>
      <c r="F3" s="2253"/>
    </row>
    <row r="4" spans="1:7" ht="12.75" customHeight="1" thickBot="1" x14ac:dyDescent="0.25">
      <c r="A4" s="2260" t="s">
        <v>626</v>
      </c>
      <c r="B4" s="2261"/>
      <c r="C4" s="1706"/>
      <c r="D4" s="1706"/>
      <c r="E4" s="1706"/>
      <c r="F4" s="1782">
        <f>SUM(C4+D4)-E4</f>
        <v>0</v>
      </c>
    </row>
    <row r="5" spans="1:7" ht="15.75" customHeight="1" thickTop="1" x14ac:dyDescent="0.2">
      <c r="A5" s="2245" t="s">
        <v>1103</v>
      </c>
      <c r="B5" s="2246"/>
      <c r="C5" s="2254"/>
      <c r="D5" s="2255"/>
      <c r="E5" s="2255"/>
      <c r="F5" s="2256"/>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7" t="s">
        <v>627</v>
      </c>
      <c r="B15" s="2248"/>
      <c r="C15" s="1782">
        <f>SUM(C6:C14)</f>
        <v>0</v>
      </c>
      <c r="D15" s="1782">
        <f>SUM(D6:D14)</f>
        <v>0</v>
      </c>
      <c r="E15" s="1782">
        <f>SUM(E6:E14)</f>
        <v>0</v>
      </c>
      <c r="F15" s="1782">
        <f>SUM(F6:F14)</f>
        <v>0</v>
      </c>
      <c r="G15" s="473"/>
    </row>
    <row r="16" spans="1:7" s="197" customFormat="1" ht="15.75" customHeight="1" thickTop="1" x14ac:dyDescent="0.2">
      <c r="A16" s="2257" t="s">
        <v>1104</v>
      </c>
      <c r="B16" s="2246"/>
      <c r="C16" s="2254"/>
      <c r="D16" s="2255"/>
      <c r="E16" s="2255"/>
      <c r="F16" s="2256"/>
    </row>
    <row r="17" spans="1:11" ht="12.75" customHeight="1" thickBot="1" x14ac:dyDescent="0.25">
      <c r="A17" s="2270" t="s">
        <v>64</v>
      </c>
      <c r="B17" s="2271"/>
      <c r="C17" s="1783"/>
      <c r="D17" s="1714"/>
      <c r="E17" s="1783"/>
      <c r="F17" s="1782">
        <f>SUM(C17+D17)-E17</f>
        <v>0</v>
      </c>
    </row>
    <row r="18" spans="1:11" ht="12.75" customHeight="1" thickTop="1" thickBot="1" x14ac:dyDescent="0.25">
      <c r="A18" s="2270" t="s">
        <v>6</v>
      </c>
      <c r="B18" s="2271"/>
      <c r="C18" s="1783"/>
      <c r="D18" s="1714"/>
      <c r="E18" s="1783"/>
      <c r="F18" s="1782">
        <f>SUM(C18+D18)-E18</f>
        <v>0</v>
      </c>
    </row>
    <row r="19" spans="1:11" ht="12.75" customHeight="1" thickTop="1" thickBot="1" x14ac:dyDescent="0.25">
      <c r="A19" s="2270" t="s">
        <v>385</v>
      </c>
      <c r="B19" s="2271"/>
      <c r="C19" s="1783"/>
      <c r="D19" s="1714"/>
      <c r="E19" s="1783"/>
      <c r="F19" s="1782">
        <f>SUM(C19+D19)-E19</f>
        <v>0</v>
      </c>
    </row>
    <row r="20" spans="1:11" ht="12.75" customHeight="1" thickTop="1" thickBot="1" x14ac:dyDescent="0.25">
      <c r="A20" s="2270" t="s">
        <v>445</v>
      </c>
      <c r="B20" s="2271"/>
      <c r="C20" s="1783"/>
      <c r="D20" s="1714"/>
      <c r="E20" s="1783"/>
      <c r="F20" s="1782">
        <f>SUM(C20+D20)-E20</f>
        <v>0</v>
      </c>
    </row>
    <row r="21" spans="1:11" ht="14.25" thickTop="1" thickBot="1" x14ac:dyDescent="0.25">
      <c r="A21" s="2247" t="s">
        <v>628</v>
      </c>
      <c r="B21" s="2248"/>
      <c r="C21" s="1782">
        <f>SUM(C17:C20)</f>
        <v>0</v>
      </c>
      <c r="D21" s="1782">
        <f>SUM(D17:D20)</f>
        <v>0</v>
      </c>
      <c r="E21" s="1782">
        <f>SUM(E17:E20)</f>
        <v>0</v>
      </c>
      <c r="F21" s="1782">
        <f>SUM(F17:F20)</f>
        <v>0</v>
      </c>
      <c r="G21" s="473"/>
    </row>
    <row r="22" spans="1:11" ht="15.75" customHeight="1" thickTop="1" x14ac:dyDescent="0.2">
      <c r="A22" s="2272" t="s">
        <v>1105</v>
      </c>
      <c r="B22" s="2246"/>
      <c r="C22" s="2254"/>
      <c r="D22" s="2255"/>
      <c r="E22" s="2255"/>
      <c r="F22" s="2256"/>
    </row>
    <row r="23" spans="1:11" ht="13.5" thickBot="1" x14ac:dyDescent="0.25">
      <c r="A23" s="2260" t="s">
        <v>629</v>
      </c>
      <c r="B23" s="2261"/>
      <c r="C23" s="1706"/>
      <c r="D23" s="1706"/>
      <c r="E23" s="1706"/>
      <c r="F23" s="1782">
        <f>SUM(C23+D23)-E23</f>
        <v>0</v>
      </c>
      <c r="G23" s="473"/>
    </row>
    <row r="24" spans="1:11" ht="15.75" customHeight="1" thickTop="1" x14ac:dyDescent="0.2">
      <c r="A24" s="2272" t="s">
        <v>2009</v>
      </c>
      <c r="B24" s="2246"/>
      <c r="C24" s="2254"/>
      <c r="D24" s="2255"/>
      <c r="E24" s="2255"/>
      <c r="F24" s="2256"/>
    </row>
    <row r="25" spans="1:11" ht="13.5" thickBot="1" x14ac:dyDescent="0.25">
      <c r="A25" s="2260" t="s">
        <v>2010</v>
      </c>
      <c r="B25" s="2261"/>
      <c r="C25" s="1706"/>
      <c r="D25" s="1706"/>
      <c r="E25" s="1706"/>
      <c r="F25" s="1782">
        <f>SUM(C25+D25)-E25</f>
        <v>0</v>
      </c>
      <c r="G25" s="473"/>
    </row>
    <row r="26" spans="1:11" ht="15.75" customHeight="1" thickTop="1" x14ac:dyDescent="0.2">
      <c r="A26" s="2245" t="s">
        <v>652</v>
      </c>
      <c r="B26" s="2246"/>
      <c r="C26" s="589"/>
      <c r="D26" s="589"/>
      <c r="E26" s="589"/>
      <c r="F26" s="590"/>
    </row>
    <row r="27" spans="1:11" ht="13.5" thickBot="1" x14ac:dyDescent="0.25">
      <c r="A27" s="2247" t="s">
        <v>1063</v>
      </c>
      <c r="B27" s="2248"/>
      <c r="C27" s="1714"/>
      <c r="D27" s="1714"/>
      <c r="E27" s="1714"/>
      <c r="F27" s="1782">
        <f>SUM(C27+D27)-E27</f>
        <v>0</v>
      </c>
      <c r="G27" s="473"/>
    </row>
    <row r="28" spans="1:11" ht="7.5" customHeight="1" thickTop="1" x14ac:dyDescent="0.2">
      <c r="A28" s="489"/>
    </row>
    <row r="29" spans="1:11" ht="23.25" customHeight="1" x14ac:dyDescent="0.2">
      <c r="A29" s="2273" t="s">
        <v>578</v>
      </c>
      <c r="B29" s="2250"/>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64" t="s">
        <v>580</v>
      </c>
      <c r="C52" s="2265"/>
      <c r="D52" s="2265"/>
      <c r="E52" s="603" t="s">
        <v>840</v>
      </c>
      <c r="F52" s="2266"/>
      <c r="G52" s="2267"/>
      <c r="H52" s="596"/>
      <c r="I52" s="596"/>
      <c r="J52" s="600"/>
    </row>
    <row r="53" spans="1:11" ht="11.25" customHeight="1" x14ac:dyDescent="0.2">
      <c r="A53" s="604" t="s">
        <v>907</v>
      </c>
      <c r="B53" s="605" t="s">
        <v>945</v>
      </c>
      <c r="C53" s="600"/>
      <c r="D53" s="597"/>
      <c r="E53" s="603" t="s">
        <v>494</v>
      </c>
      <c r="F53" s="2268"/>
      <c r="G53" s="2269"/>
      <c r="H53" s="596"/>
      <c r="I53" s="596"/>
      <c r="J53" s="600"/>
    </row>
    <row r="54" spans="1:11" ht="11.25" customHeight="1" x14ac:dyDescent="0.2">
      <c r="A54" s="606" t="s">
        <v>908</v>
      </c>
      <c r="B54" s="601" t="s">
        <v>946</v>
      </c>
      <c r="C54" s="600"/>
      <c r="D54" s="597"/>
      <c r="E54" s="603" t="s">
        <v>495</v>
      </c>
      <c r="F54" s="2268"/>
      <c r="G54" s="226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scaleWithDoc="0">
    <oddFooter>&amp;L&amp;8See notes to financial statements.&amp;C29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view="pageLayout" colorId="8" zoomScaleNormal="110" workbookViewId="0">
      <selection activeCell="P6" sqref="P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0" t="s">
        <v>851</v>
      </c>
      <c r="B1" s="2301"/>
      <c r="C1" s="2301"/>
      <c r="D1" s="2301"/>
      <c r="E1" s="2301"/>
      <c r="F1" s="2301"/>
      <c r="G1" s="2302"/>
      <c r="H1" s="1343"/>
      <c r="I1" s="614"/>
      <c r="J1" s="400"/>
    </row>
    <row r="2" spans="1:11" ht="26.25" x14ac:dyDescent="0.2">
      <c r="A2" s="2277" t="s">
        <v>1661</v>
      </c>
      <c r="B2" s="2278"/>
      <c r="C2" s="2278"/>
      <c r="D2" s="2278"/>
      <c r="E2" s="2279"/>
      <c r="F2" s="615" t="s">
        <v>898</v>
      </c>
      <c r="G2" s="616" t="s">
        <v>1658</v>
      </c>
      <c r="H2" s="616" t="s">
        <v>407</v>
      </c>
      <c r="I2" s="616" t="s">
        <v>1150</v>
      </c>
      <c r="J2" s="616" t="s">
        <v>1792</v>
      </c>
      <c r="K2" s="616" t="s">
        <v>137</v>
      </c>
    </row>
    <row r="3" spans="1:11" x14ac:dyDescent="0.2">
      <c r="A3" s="2280" t="str">
        <f>"Cash Basis Fund Balance as of July 1, "&amp;'AFR20'!E2-1</f>
        <v>Cash Basis Fund Balance as of July 1, 2019</v>
      </c>
      <c r="B3" s="2281"/>
      <c r="C3" s="2281"/>
      <c r="D3" s="2281"/>
      <c r="E3" s="2282"/>
      <c r="F3" s="617"/>
      <c r="G3" s="1794"/>
      <c r="H3" s="1794"/>
      <c r="I3" s="1794"/>
      <c r="J3" s="1795"/>
      <c r="K3" s="1795"/>
    </row>
    <row r="4" spans="1:11" x14ac:dyDescent="0.2">
      <c r="A4" s="2283" t="s">
        <v>366</v>
      </c>
      <c r="B4" s="2284"/>
      <c r="C4" s="2284"/>
      <c r="D4" s="2284"/>
      <c r="E4" s="2265"/>
      <c r="F4" s="620"/>
      <c r="G4" s="1796"/>
      <c r="H4" s="1797"/>
      <c r="I4" s="1796"/>
      <c r="J4" s="1798"/>
      <c r="K4" s="1798"/>
    </row>
    <row r="5" spans="1:11" x14ac:dyDescent="0.2">
      <c r="A5" s="2303" t="s">
        <v>1062</v>
      </c>
      <c r="B5" s="2274"/>
      <c r="C5" s="2274"/>
      <c r="D5" s="2274"/>
      <c r="E5" s="2304"/>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3" t="s">
        <v>1793</v>
      </c>
      <c r="B10" s="2274"/>
      <c r="C10" s="2274"/>
      <c r="D10" s="2274"/>
      <c r="E10" s="2305"/>
      <c r="F10" s="633" t="s">
        <v>857</v>
      </c>
      <c r="G10" s="1803"/>
      <c r="H10" s="1804"/>
      <c r="I10" s="1794"/>
      <c r="J10" s="1795"/>
      <c r="K10" s="1795"/>
    </row>
    <row r="11" spans="1:11" x14ac:dyDescent="0.2">
      <c r="A11" s="2303" t="s">
        <v>159</v>
      </c>
      <c r="B11" s="2274"/>
      <c r="C11" s="2274"/>
      <c r="D11" s="2274"/>
      <c r="E11" s="2304"/>
      <c r="F11" s="622" t="s">
        <v>847</v>
      </c>
      <c r="G11" s="1799"/>
      <c r="H11" s="1794"/>
      <c r="I11" s="1794"/>
      <c r="J11" s="1795"/>
      <c r="K11" s="1801"/>
    </row>
    <row r="12" spans="1:11" ht="13.5" thickBot="1" x14ac:dyDescent="0.25">
      <c r="A12" s="2291" t="s">
        <v>899</v>
      </c>
      <c r="B12" s="2292"/>
      <c r="C12" s="2292"/>
      <c r="D12" s="2292"/>
      <c r="E12" s="2293"/>
      <c r="F12" s="1482"/>
      <c r="G12" s="1805">
        <f>SUM(G5:G11)</f>
        <v>0</v>
      </c>
      <c r="H12" s="1805">
        <f>SUM(H5:H11)</f>
        <v>0</v>
      </c>
      <c r="I12" s="1805">
        <f>SUM(I5:I11)</f>
        <v>0</v>
      </c>
      <c r="J12" s="1805">
        <f>SUM(J5:J11)</f>
        <v>0</v>
      </c>
      <c r="K12" s="1805">
        <f>SUM(K5:K11)</f>
        <v>0</v>
      </c>
    </row>
    <row r="13" spans="1:11" ht="13.5" thickTop="1" x14ac:dyDescent="0.2">
      <c r="A13" s="2285" t="s">
        <v>367</v>
      </c>
      <c r="B13" s="2286"/>
      <c r="C13" s="2286"/>
      <c r="D13" s="2286"/>
      <c r="E13" s="2287"/>
      <c r="F13" s="634"/>
      <c r="G13" s="1806"/>
      <c r="H13" s="1807"/>
      <c r="I13" s="1808"/>
      <c r="J13" s="1808"/>
      <c r="K13" s="1808"/>
    </row>
    <row r="14" spans="1:11" x14ac:dyDescent="0.2">
      <c r="A14" s="2309" t="s">
        <v>453</v>
      </c>
      <c r="B14" s="2309"/>
      <c r="C14" s="2309"/>
      <c r="D14" s="2309"/>
      <c r="E14" s="2310"/>
      <c r="F14" s="635" t="s">
        <v>849</v>
      </c>
      <c r="G14" s="1803"/>
      <c r="H14" s="1794"/>
      <c r="I14" s="1799"/>
      <c r="J14" s="1801"/>
      <c r="K14" s="1795"/>
    </row>
    <row r="15" spans="1:11" x14ac:dyDescent="0.2">
      <c r="A15" s="2274" t="s">
        <v>4</v>
      </c>
      <c r="B15" s="2274"/>
      <c r="C15" s="2274"/>
      <c r="D15" s="2274"/>
      <c r="E15" s="2304"/>
      <c r="F15" s="635" t="s">
        <v>850</v>
      </c>
      <c r="G15" s="1799"/>
      <c r="H15" s="1794"/>
      <c r="I15" s="1794"/>
      <c r="J15" s="1795"/>
      <c r="K15" s="1795"/>
    </row>
    <row r="16" spans="1:11" x14ac:dyDescent="0.2">
      <c r="A16" s="2274" t="s">
        <v>295</v>
      </c>
      <c r="B16" s="2274"/>
      <c r="C16" s="2274"/>
      <c r="D16" s="2274"/>
      <c r="E16" s="2304"/>
      <c r="F16" s="635" t="s">
        <v>917</v>
      </c>
      <c r="G16" s="1800"/>
      <c r="H16" s="1796"/>
      <c r="I16" s="1796"/>
      <c r="J16" s="1798"/>
      <c r="K16" s="1798"/>
    </row>
    <row r="17" spans="1:15" x14ac:dyDescent="0.2">
      <c r="A17" s="2298" t="s">
        <v>929</v>
      </c>
      <c r="B17" s="2298"/>
      <c r="C17" s="2298"/>
      <c r="D17" s="2298"/>
      <c r="E17" s="2299"/>
      <c r="F17" s="636"/>
      <c r="G17" s="1809"/>
      <c r="H17" s="1810"/>
      <c r="I17" s="1810"/>
      <c r="J17" s="1811"/>
      <c r="K17" s="1812"/>
    </row>
    <row r="18" spans="1:15" x14ac:dyDescent="0.2">
      <c r="A18" s="2288" t="s">
        <v>365</v>
      </c>
      <c r="B18" s="2289"/>
      <c r="C18" s="2289"/>
      <c r="D18" s="2289"/>
      <c r="E18" s="2290"/>
      <c r="F18" s="635" t="s">
        <v>926</v>
      </c>
      <c r="G18" s="1803"/>
      <c r="H18" s="1803"/>
      <c r="I18" s="1803"/>
      <c r="J18" s="1795"/>
      <c r="K18" s="1813"/>
    </row>
    <row r="19" spans="1:15" ht="21.75" customHeight="1" x14ac:dyDescent="0.2">
      <c r="A19" s="2311" t="s">
        <v>1789</v>
      </c>
      <c r="B19" s="2311"/>
      <c r="C19" s="2311"/>
      <c r="D19" s="2311"/>
      <c r="E19" s="2312"/>
      <c r="F19" s="635" t="s">
        <v>927</v>
      </c>
      <c r="G19" s="1803"/>
      <c r="H19" s="1803"/>
      <c r="I19" s="1803"/>
      <c r="J19" s="1795"/>
      <c r="K19" s="1813"/>
    </row>
    <row r="20" spans="1:15" x14ac:dyDescent="0.2">
      <c r="A20" s="2288" t="s">
        <v>1794</v>
      </c>
      <c r="B20" s="2289"/>
      <c r="C20" s="2289"/>
      <c r="D20" s="2289"/>
      <c r="E20" s="2290"/>
      <c r="F20" s="635" t="s">
        <v>928</v>
      </c>
      <c r="G20" s="1803"/>
      <c r="H20" s="1803"/>
      <c r="I20" s="1803"/>
      <c r="J20" s="1795"/>
      <c r="K20" s="1813"/>
    </row>
    <row r="21" spans="1:15" ht="13.5" thickBot="1" x14ac:dyDescent="0.25">
      <c r="A21" s="2294" t="s">
        <v>633</v>
      </c>
      <c r="B21" s="2294"/>
      <c r="C21" s="2294"/>
      <c r="D21" s="2294"/>
      <c r="E21" s="2294"/>
      <c r="F21" s="1483"/>
      <c r="G21" s="1810"/>
      <c r="H21" s="1814"/>
      <c r="I21" s="1814"/>
      <c r="J21" s="1815">
        <f>SUM(J18:J20)</f>
        <v>0</v>
      </c>
      <c r="K21" s="1811"/>
    </row>
    <row r="22" spans="1:15" ht="13.5" thickTop="1" x14ac:dyDescent="0.2">
      <c r="A22" s="2274" t="s">
        <v>1795</v>
      </c>
      <c r="B22" s="2274"/>
      <c r="C22" s="2274"/>
      <c r="D22" s="2274"/>
      <c r="E22" s="2304"/>
      <c r="F22" s="635" t="s">
        <v>857</v>
      </c>
      <c r="G22" s="1803"/>
      <c r="H22" s="1794"/>
      <c r="I22" s="1794"/>
      <c r="J22" s="1816"/>
      <c r="K22" s="1795"/>
    </row>
    <row r="23" spans="1:15" ht="13.5" thickBot="1" x14ac:dyDescent="0.25">
      <c r="A23" s="2295" t="s">
        <v>900</v>
      </c>
      <c r="B23" s="2294"/>
      <c r="C23" s="2294"/>
      <c r="D23" s="2294"/>
      <c r="E23" s="2294"/>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296" t="str">
        <f>"Ending Cash Basis Fund Balance as of June 30, "&amp;'AFR20'!E2</f>
        <v>Ending Cash Basis Fund Balance as of June 30, 2020</v>
      </c>
      <c r="B24" s="2297"/>
      <c r="C24" s="2297"/>
      <c r="D24" s="2297"/>
      <c r="E24" s="2297"/>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306"/>
      <c r="I31" s="2307"/>
      <c r="J31" s="2307"/>
      <c r="K31" s="2307"/>
    </row>
    <row r="32" spans="1:15" x14ac:dyDescent="0.2">
      <c r="A32" s="649"/>
      <c r="B32" s="232"/>
      <c r="C32" s="232"/>
      <c r="D32" s="232"/>
      <c r="E32" s="645"/>
      <c r="F32" s="651" t="s">
        <v>537</v>
      </c>
      <c r="G32" s="618"/>
      <c r="H32" s="2308"/>
      <c r="I32" s="2307"/>
      <c r="J32" s="2307"/>
      <c r="K32" s="2307"/>
    </row>
    <row r="33" spans="1:11" ht="1.5" customHeight="1" x14ac:dyDescent="0.2">
      <c r="A33" s="652" t="s">
        <v>1161</v>
      </c>
      <c r="B33" s="341"/>
      <c r="C33" s="341"/>
      <c r="D33" s="341"/>
      <c r="E33" s="341"/>
      <c r="F33" s="341"/>
      <c r="G33" s="653"/>
      <c r="H33" s="2308"/>
      <c r="I33" s="2307"/>
      <c r="J33" s="2307"/>
      <c r="K33" s="230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4" t="s">
        <v>538</v>
      </c>
      <c r="B41" s="2275"/>
      <c r="C41" s="2275"/>
      <c r="D41" s="2275"/>
      <c r="E41" s="2275"/>
      <c r="F41" s="227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 bottom="0.25" header="0.21" footer="0.25"/>
  <pageSetup scale="83" firstPageNumber="25" orientation="landscape" useFirstPageNumber="1" r:id="rId1"/>
  <headerFooter scaleWithDoc="0">
    <oddHeader xml:space="preserve">&amp;C&amp;"Arial,Bold"Schedule of Restricted Local Tax Levies and Selected Revenues Sources 
Schedule of Tort Immunity Expenditures </oddHeader>
    <oddFooter>&amp;L&amp;8See notes to financial statements.&amp;C30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Q27" sqref="Q2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5" t="s">
        <v>1878</v>
      </c>
      <c r="B1" s="2316"/>
      <c r="C1" s="2317"/>
      <c r="D1" s="666"/>
      <c r="E1" s="667"/>
      <c r="F1" s="667"/>
      <c r="G1" s="668"/>
      <c r="H1" s="669"/>
      <c r="I1" s="670"/>
      <c r="J1" s="2313"/>
      <c r="K1" s="2314"/>
      <c r="L1" s="2314"/>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c r="D8" s="1821"/>
      <c r="E8" s="1821"/>
      <c r="F8" s="1815">
        <f>(C8+D8)-E8</f>
        <v>0</v>
      </c>
      <c r="G8" s="681">
        <v>50</v>
      </c>
      <c r="H8" s="619"/>
      <c r="I8" s="619"/>
      <c r="J8" s="619"/>
      <c r="K8" s="1491">
        <f>(H8+I8)-J8</f>
        <v>0</v>
      </c>
      <c r="L8" s="1491">
        <f>F8-K8</f>
        <v>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2925</v>
      </c>
      <c r="D10" s="1822"/>
      <c r="E10" s="1822"/>
      <c r="F10" s="1823">
        <f>(C10+D10)-E10</f>
        <v>2925</v>
      </c>
      <c r="G10" s="681">
        <v>20</v>
      </c>
      <c r="H10" s="683">
        <v>390</v>
      </c>
      <c r="I10" s="683">
        <v>585</v>
      </c>
      <c r="J10" s="683"/>
      <c r="K10" s="1491">
        <f>(H10+I10)-J10</f>
        <v>975</v>
      </c>
      <c r="L10" s="1491">
        <f>F10-K10</f>
        <v>1950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1034541</v>
      </c>
      <c r="D12" s="1821"/>
      <c r="E12" s="1821"/>
      <c r="F12" s="1815">
        <f>(C12+D12)-E12</f>
        <v>1034541</v>
      </c>
      <c r="G12" s="681">
        <v>10</v>
      </c>
      <c r="H12" s="619">
        <v>867651</v>
      </c>
      <c r="I12" s="619">
        <f>2036+5932+19784</f>
        <v>27752</v>
      </c>
      <c r="J12" s="619"/>
      <c r="K12" s="1491">
        <f>(H12+I12)-J12</f>
        <v>895403</v>
      </c>
      <c r="L12" s="1491">
        <f>F12-K12</f>
        <v>139138</v>
      </c>
    </row>
    <row r="13" spans="1:14" ht="14.25" thickTop="1" thickBot="1" x14ac:dyDescent="0.25">
      <c r="A13" s="684" t="s">
        <v>1114</v>
      </c>
      <c r="B13" s="679">
        <v>252</v>
      </c>
      <c r="C13" s="1821">
        <v>1008905</v>
      </c>
      <c r="D13" s="1821">
        <v>94869</v>
      </c>
      <c r="E13" s="1821"/>
      <c r="F13" s="1815">
        <f>(C13+D13)-E13</f>
        <v>1103774</v>
      </c>
      <c r="G13" s="681">
        <v>5</v>
      </c>
      <c r="H13" s="619">
        <v>799338</v>
      </c>
      <c r="I13" s="619">
        <v>82794</v>
      </c>
      <c r="J13" s="619"/>
      <c r="K13" s="1491">
        <f>(H13+I13)-J13</f>
        <v>882132</v>
      </c>
      <c r="L13" s="1491">
        <f>F13-K13</f>
        <v>221642</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2046371</v>
      </c>
      <c r="D16" s="1815">
        <f>SUM(D3,D5:D6,D8:D10,D12:D15)</f>
        <v>94869</v>
      </c>
      <c r="E16" s="1815">
        <f>SUM(E3,E5:E6,E8:E10,E12:E15)</f>
        <v>0</v>
      </c>
      <c r="F16" s="1815">
        <f>SUM(F3,F5:F6,F8:F10,F12:F15)</f>
        <v>2141240</v>
      </c>
      <c r="G16" s="681"/>
      <c r="H16" s="1484">
        <f>SUM(H3,H6,H8:H10,H12:H14,)</f>
        <v>1667379</v>
      </c>
      <c r="I16" s="1484">
        <f>SUM(I3,I6,I8:I10,I12:I14,)</f>
        <v>111131</v>
      </c>
      <c r="J16" s="1484">
        <f>SUM(J3,J6,J8:J10,J12:J14,)</f>
        <v>0</v>
      </c>
      <c r="K16" s="1484">
        <f>(H16+I16)-J16</f>
        <v>1778510</v>
      </c>
      <c r="L16" s="1484">
        <f>F16-K16</f>
        <v>362730</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111131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25" header="0.39" footer="0.17"/>
  <pageSetup scale="80" firstPageNumber="26" orientation="landscape" useFirstPageNumber="1" r:id="rId1"/>
  <headerFooter scaleWithDoc="0">
    <oddHeader xml:space="preserve">&amp;C </oddHeader>
    <oddFooter>&amp;L&amp;8See notes to financial statements.&amp;C31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topLeftCell="A127" colorId="8" zoomScale="110" zoomScaleNormal="110" workbookViewId="0">
      <selection activeCell="F173" sqref="F17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1" t="str">
        <f>"ESTIMATED OPERATING EXPENSE PER PUPIL (OEPP)/PER CAPITA TUITION CHARGE (PCTC) COMPUTATIONS ("&amp;'AFR20'!E2-1&amp;" - "&amp;'AFR20'!E2&amp;")"</f>
        <v>ESTIMATED OPERATING EXPENSE PER PUPIL (OEPP)/PER CAPITA TUITION CHARGE (PCTC) COMPUTATIONS (2019 - 2020)</v>
      </c>
      <c r="B1" s="2322"/>
      <c r="C1" s="2322"/>
      <c r="D1" s="2322"/>
      <c r="E1" s="2322"/>
      <c r="F1" s="2323"/>
      <c r="G1" s="691"/>
      <c r="I1" s="701"/>
    </row>
    <row r="2" spans="1:9" ht="15" customHeight="1" thickBot="1" x14ac:dyDescent="0.25">
      <c r="A2" s="2324" t="s">
        <v>474</v>
      </c>
      <c r="B2" s="2325"/>
      <c r="C2" s="2325"/>
      <c r="D2" s="2325"/>
      <c r="E2" s="2325"/>
      <c r="F2" s="232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7"/>
      <c r="B5" s="2328"/>
      <c r="C5" s="2328"/>
      <c r="D5" s="2328"/>
      <c r="E5" s="2328"/>
      <c r="F5" s="2328"/>
    </row>
    <row r="6" spans="1:9" ht="13.5" customHeight="1" thickBot="1" x14ac:dyDescent="0.25">
      <c r="A6" s="2318" t="s">
        <v>1097</v>
      </c>
      <c r="B6" s="2319"/>
      <c r="C6" s="2319"/>
      <c r="D6" s="2319"/>
      <c r="E6" s="2319"/>
      <c r="F6" s="232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481566</v>
      </c>
      <c r="G8" s="701"/>
    </row>
    <row r="9" spans="1:9" x14ac:dyDescent="0.2">
      <c r="A9" s="705" t="s">
        <v>457</v>
      </c>
      <c r="B9" s="706" t="s">
        <v>1851</v>
      </c>
      <c r="C9" s="707"/>
      <c r="D9" s="705" t="s">
        <v>498</v>
      </c>
      <c r="E9" s="704"/>
      <c r="F9" s="1825">
        <f>'Expenditures 15-22'!K151</f>
        <v>0</v>
      </c>
      <c r="G9" s="708"/>
    </row>
    <row r="10" spans="1:9" x14ac:dyDescent="0.2">
      <c r="A10" s="705" t="s">
        <v>496</v>
      </c>
      <c r="B10" s="706" t="s">
        <v>1852</v>
      </c>
      <c r="C10" s="707"/>
      <c r="D10" s="705" t="s">
        <v>498</v>
      </c>
      <c r="E10" s="704"/>
      <c r="F10" s="1825">
        <f>'Expenditures 15-22'!K174</f>
        <v>0</v>
      </c>
      <c r="G10" s="708"/>
    </row>
    <row r="11" spans="1:9" x14ac:dyDescent="0.2">
      <c r="A11" s="705" t="s">
        <v>458</v>
      </c>
      <c r="B11" s="706" t="s">
        <v>1853</v>
      </c>
      <c r="C11" s="707"/>
      <c r="D11" s="705" t="s">
        <v>498</v>
      </c>
      <c r="E11" s="704"/>
      <c r="F11" s="1825">
        <f>'Expenditures 15-22'!K210</f>
        <v>0</v>
      </c>
      <c r="G11" s="708"/>
    </row>
    <row r="12" spans="1:9" x14ac:dyDescent="0.2">
      <c r="A12" s="705" t="s">
        <v>459</v>
      </c>
      <c r="B12" s="706" t="s">
        <v>1854</v>
      </c>
      <c r="C12" s="707"/>
      <c r="D12" s="705" t="s">
        <v>498</v>
      </c>
      <c r="E12" s="704"/>
      <c r="F12" s="1825">
        <f>'Expenditures 15-22'!K295</f>
        <v>0</v>
      </c>
      <c r="G12" s="708"/>
    </row>
    <row r="13" spans="1:9" x14ac:dyDescent="0.2">
      <c r="A13" s="705" t="s">
        <v>106</v>
      </c>
      <c r="B13" s="706" t="s">
        <v>1855</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481566</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198081</v>
      </c>
      <c r="G53" s="701"/>
    </row>
    <row r="54" spans="1:7" x14ac:dyDescent="0.2">
      <c r="A54" s="705" t="s">
        <v>456</v>
      </c>
      <c r="B54" s="705" t="s">
        <v>1462</v>
      </c>
      <c r="C54" s="724" t="s">
        <v>975</v>
      </c>
      <c r="D54" s="720" t="s">
        <v>1088</v>
      </c>
      <c r="E54" s="704"/>
      <c r="F54" s="1832">
        <f>'Expenditures 15-22'!G114</f>
        <v>94288</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0</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292369</v>
      </c>
      <c r="G77" s="701"/>
    </row>
    <row r="78" spans="1:9" s="728" customFormat="1" ht="12" customHeight="1" thickTop="1" thickBot="1" x14ac:dyDescent="0.25">
      <c r="A78" s="1499"/>
      <c r="B78" s="1497"/>
      <c r="C78" s="1494"/>
      <c r="D78" s="1498" t="s">
        <v>2015</v>
      </c>
      <c r="E78" s="1496"/>
      <c r="F78" s="1838">
        <f>(F14-F77)</f>
        <v>189197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2016</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8" t="s">
        <v>1098</v>
      </c>
      <c r="B82" s="2319"/>
      <c r="C82" s="2319"/>
      <c r="D82" s="2319"/>
      <c r="E82" s="2319"/>
      <c r="F82" s="232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413449</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98965</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154190</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666604</v>
      </c>
    </row>
    <row r="176" spans="1:7" ht="12" customHeight="1" x14ac:dyDescent="0.2">
      <c r="A176" s="1492"/>
      <c r="B176" s="1502"/>
      <c r="C176" s="1503"/>
      <c r="D176" s="1504" t="s">
        <v>2017</v>
      </c>
      <c r="E176" s="1505"/>
      <c r="F176" s="1843">
        <f>'PCTC-OEPP 27-28'!F78-F175</f>
        <v>-477407</v>
      </c>
    </row>
    <row r="177" spans="1:9" ht="12" customHeight="1" x14ac:dyDescent="0.2">
      <c r="A177" s="1492"/>
      <c r="B177" s="1502"/>
      <c r="C177" s="1503"/>
      <c r="D177" s="1504" t="s">
        <v>1797</v>
      </c>
      <c r="E177" s="1505"/>
      <c r="F177" s="1843">
        <f>'Cap Outlay Deprec 26'!I18</f>
        <v>111131</v>
      </c>
    </row>
    <row r="178" spans="1:9" ht="12" customHeight="1" x14ac:dyDescent="0.2">
      <c r="A178" s="1492"/>
      <c r="B178" s="1502"/>
      <c r="C178" s="1503"/>
      <c r="D178" s="1504" t="s">
        <v>2018</v>
      </c>
      <c r="E178" s="1505"/>
      <c r="F178" s="1843">
        <f>F176+F177</f>
        <v>-366276</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2020</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25" header="0.19" footer="0.17"/>
  <pageSetup scale="70" firstPageNumber="32" orientation="portrait" useFirstPageNumber="1" r:id="rId2"/>
  <headerFooter differentFirst="1" scaleWithDoc="0">
    <oddHeader xml:space="preserve">&amp;C </oddHeader>
    <oddFooter>&amp;L&amp;8See notes to financial statements.&amp;C&amp;P</oddFooter>
    <firstFooter>&amp;LSee notes to financial statements.&amp;C&amp;P</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8"/>
  <sheetViews>
    <sheetView showGridLines="0" topLeftCell="A3" zoomScaleNormal="100" workbookViewId="0">
      <selection activeCell="C19" sqref="C19"/>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1810</v>
      </c>
      <c r="B1" s="1923"/>
      <c r="C1" s="1924"/>
      <c r="D1" s="1924"/>
      <c r="E1" s="1924"/>
      <c r="F1" s="1924"/>
    </row>
    <row r="2" spans="1:6" x14ac:dyDescent="0.25">
      <c r="A2" s="1926"/>
      <c r="B2" s="1927"/>
      <c r="C2" s="1980" t="s">
        <v>2006</v>
      </c>
      <c r="D2" s="1926"/>
      <c r="E2" s="1926"/>
      <c r="F2" s="1926"/>
    </row>
    <row r="3" spans="1:6" ht="5.25" customHeight="1" x14ac:dyDescent="0.25">
      <c r="A3" s="1928"/>
      <c r="B3" s="1929"/>
      <c r="C3" s="1928"/>
      <c r="D3" s="1928"/>
      <c r="E3" s="1928"/>
      <c r="F3" s="1928"/>
    </row>
    <row r="4" spans="1:6" ht="18.75" customHeight="1" x14ac:dyDescent="0.25">
      <c r="A4" s="2332" t="s">
        <v>1798</v>
      </c>
      <c r="B4" s="2333"/>
      <c r="C4" s="2333"/>
      <c r="D4" s="2333"/>
      <c r="E4" s="2333"/>
      <c r="F4" s="2334"/>
    </row>
    <row r="5" spans="1:6" x14ac:dyDescent="0.25">
      <c r="A5" s="2335"/>
      <c r="B5" s="2336"/>
      <c r="C5" s="2336"/>
      <c r="D5" s="2336"/>
      <c r="E5" s="2336"/>
      <c r="F5" s="2337"/>
    </row>
    <row r="6" spans="1:6" ht="18.75" x14ac:dyDescent="0.25">
      <c r="A6" s="1930" t="s">
        <v>1799</v>
      </c>
      <c r="B6" s="1931"/>
      <c r="C6" s="1932"/>
      <c r="D6" s="1932"/>
      <c r="E6" s="1932"/>
      <c r="F6" s="1933"/>
    </row>
    <row r="7" spans="1:6" ht="47.25" customHeight="1" x14ac:dyDescent="0.25">
      <c r="A7" s="2338" t="s">
        <v>1988</v>
      </c>
      <c r="B7" s="2339"/>
      <c r="C7" s="2339"/>
      <c r="D7" s="2339"/>
      <c r="E7" s="2339"/>
      <c r="F7" s="2340"/>
    </row>
    <row r="8" spans="1:6" ht="20.25" customHeight="1" x14ac:dyDescent="0.25">
      <c r="A8" s="1964" t="s">
        <v>1990</v>
      </c>
      <c r="B8" s="1965"/>
      <c r="C8" s="1965"/>
      <c r="D8" s="1965"/>
      <c r="E8" s="1934"/>
      <c r="F8" s="1935"/>
    </row>
    <row r="9" spans="1:6" ht="18" customHeight="1" x14ac:dyDescent="0.25">
      <c r="A9" s="1936" t="s">
        <v>1987</v>
      </c>
      <c r="B9" s="1938"/>
      <c r="C9" s="1938"/>
      <c r="D9" s="1938"/>
      <c r="E9" s="1934"/>
      <c r="F9" s="1935"/>
    </row>
    <row r="10" spans="1:6" ht="15.75" customHeight="1" x14ac:dyDescent="0.25">
      <c r="A10" s="2341" t="s">
        <v>1984</v>
      </c>
      <c r="B10" s="2342"/>
      <c r="C10" s="2342"/>
      <c r="D10" s="2342"/>
      <c r="E10" s="2342"/>
      <c r="F10" s="2343"/>
    </row>
    <row r="11" spans="1:6" ht="33" customHeight="1" x14ac:dyDescent="0.25">
      <c r="A11" s="2338" t="s">
        <v>1989</v>
      </c>
      <c r="B11" s="2339"/>
      <c r="C11" s="2339"/>
      <c r="D11" s="2339"/>
      <c r="E11" s="2339"/>
      <c r="F11" s="2340"/>
    </row>
    <row r="12" spans="1:6" ht="15" customHeight="1" x14ac:dyDescent="0.25">
      <c r="A12" s="1936" t="s">
        <v>1985</v>
      </c>
      <c r="B12" s="1937"/>
      <c r="C12" s="1938"/>
      <c r="D12" s="1938"/>
      <c r="E12" s="1938"/>
      <c r="F12" s="1939"/>
    </row>
    <row r="13" spans="1:6" ht="17.25" customHeight="1" x14ac:dyDescent="0.25">
      <c r="A13" s="2338" t="s">
        <v>1986</v>
      </c>
      <c r="B13" s="2339"/>
      <c r="C13" s="2339"/>
      <c r="D13" s="2339"/>
      <c r="E13" s="2339"/>
      <c r="F13" s="2340"/>
    </row>
    <row r="14" spans="1:6" ht="15" customHeight="1" x14ac:dyDescent="0.25">
      <c r="A14" s="1936" t="s">
        <v>1803</v>
      </c>
      <c r="B14" s="1937"/>
      <c r="C14" s="1938"/>
      <c r="D14" s="1938"/>
      <c r="E14" s="1938"/>
      <c r="F14" s="1939"/>
    </row>
    <row r="15" spans="1:6" ht="32.25" customHeight="1" x14ac:dyDescent="0.25">
      <c r="A15" s="232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0"/>
      <c r="C15" s="2330"/>
      <c r="D15" s="2330"/>
      <c r="E15" s="2330"/>
      <c r="F15" s="2331"/>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69" t="s">
        <v>1802</v>
      </c>
      <c r="C17" s="1944" t="s">
        <v>1800</v>
      </c>
      <c r="D17" s="1945">
        <v>500000</v>
      </c>
      <c r="E17" s="1945" t="str">
        <f>IF(D17&lt;25000,D17,"25,000")</f>
        <v>25,000</v>
      </c>
      <c r="F17" s="1946">
        <f>IF(D17&gt;=25000,(D17-E17),"0")</f>
        <v>475000</v>
      </c>
    </row>
    <row r="18" spans="1:7" x14ac:dyDescent="0.25">
      <c r="A18" s="1987" t="s">
        <v>2042</v>
      </c>
      <c r="B18" s="1970">
        <v>102300300</v>
      </c>
      <c r="C18" s="1988" t="s">
        <v>2043</v>
      </c>
      <c r="D18" s="1948">
        <v>3000</v>
      </c>
      <c r="E18" s="1968">
        <f t="shared" ref="E18:E36" si="0">IF(D18&lt;25000,D18,"25,000")</f>
        <v>3000</v>
      </c>
      <c r="F18" s="1968" t="str">
        <f t="shared" ref="F18:F36" si="1">IF(D18&gt;=25000,(D18-E18),"0")</f>
        <v>0</v>
      </c>
      <c r="G18" s="1949"/>
    </row>
    <row r="19" spans="1:7" x14ac:dyDescent="0.25">
      <c r="A19" s="1950"/>
      <c r="B19" s="1970"/>
      <c r="C19" s="1947"/>
      <c r="D19" s="1948"/>
      <c r="E19" s="1968">
        <f t="shared" si="0"/>
        <v>0</v>
      </c>
      <c r="F19" s="1968" t="str">
        <f t="shared" si="1"/>
        <v>0</v>
      </c>
    </row>
    <row r="20" spans="1:7" x14ac:dyDescent="0.25">
      <c r="A20" s="1950"/>
      <c r="B20" s="1970"/>
      <c r="C20" s="1947"/>
      <c r="D20" s="1948"/>
      <c r="E20" s="1968">
        <f t="shared" si="0"/>
        <v>0</v>
      </c>
      <c r="F20" s="1968" t="str">
        <f t="shared" si="1"/>
        <v>0</v>
      </c>
    </row>
    <row r="21" spans="1:7" x14ac:dyDescent="0.25">
      <c r="A21" s="1950"/>
      <c r="B21" s="1970"/>
      <c r="C21" s="1947"/>
      <c r="D21" s="1948"/>
      <c r="E21" s="1968"/>
      <c r="F21" s="1968"/>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1"/>
      <c r="C34" s="1951"/>
      <c r="D34" s="1948"/>
      <c r="E34" s="1968">
        <f t="shared" si="0"/>
        <v>0</v>
      </c>
      <c r="F34" s="1968" t="str">
        <f t="shared" si="1"/>
        <v>0</v>
      </c>
    </row>
    <row r="35" spans="1:6" x14ac:dyDescent="0.25">
      <c r="A35" s="1950"/>
      <c r="B35" s="1971"/>
      <c r="C35" s="1951"/>
      <c r="D35" s="1948"/>
      <c r="E35" s="1968">
        <f t="shared" si="0"/>
        <v>0</v>
      </c>
      <c r="F35" s="1968" t="str">
        <f t="shared" si="1"/>
        <v>0</v>
      </c>
    </row>
    <row r="36" spans="1:6" x14ac:dyDescent="0.25">
      <c r="A36" s="1950"/>
      <c r="B36" s="1971"/>
      <c r="C36" s="1951"/>
      <c r="D36" s="1948"/>
      <c r="E36" s="1968">
        <f t="shared" si="0"/>
        <v>0</v>
      </c>
      <c r="F36" s="1968" t="str">
        <f t="shared" si="1"/>
        <v>0</v>
      </c>
    </row>
    <row r="37" spans="1:6" x14ac:dyDescent="0.25">
      <c r="A37" s="1950"/>
      <c r="B37" s="1972"/>
      <c r="C37" s="1951"/>
      <c r="D37" s="1948"/>
      <c r="E37" s="1968">
        <f t="shared" ref="E37" si="2">IF(D37&lt;25000,D37,"25,000")</f>
        <v>0</v>
      </c>
      <c r="F37" s="1968" t="str">
        <f t="shared" ref="F37" si="3">IF(D37&gt;=25000,(D37-E37),"0")</f>
        <v>0</v>
      </c>
    </row>
    <row r="38" spans="1:6" x14ac:dyDescent="0.25">
      <c r="A38" s="1952" t="s">
        <v>155</v>
      </c>
      <c r="B38" s="1973"/>
      <c r="C38" s="1953"/>
      <c r="D38" s="1954">
        <f>SUM(D18:D37)</f>
        <v>3000</v>
      </c>
      <c r="E38" s="1955">
        <f>SUM(E18:E37)</f>
        <v>3000</v>
      </c>
      <c r="F38" s="1956">
        <f>SUM(F18:F37)</f>
        <v>0</v>
      </c>
    </row>
  </sheetData>
  <sheetProtection selectLockedCells="1"/>
  <mergeCells count="6">
    <mergeCell ref="A15:F15"/>
    <mergeCell ref="A4:F5"/>
    <mergeCell ref="A7:F7"/>
    <mergeCell ref="A10:F10"/>
    <mergeCell ref="A11:F11"/>
    <mergeCell ref="A13:F13"/>
  </mergeCells>
  <pageMargins left="0.2" right="0.2" top="0.25" bottom="0.35" header="0.3" footer="0.25"/>
  <pageSetup scale="83" firstPageNumber="30" fitToHeight="0" orientation="landscape" r:id="rId1"/>
  <headerFooter scaleWithDoc="0">
    <oddFooter>&amp;LSee notes to financial statements.&amp;C34</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E8" sqref="E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4" t="s">
        <v>1663</v>
      </c>
      <c r="B5" s="2345"/>
      <c r="C5" s="2345"/>
      <c r="D5" s="2345"/>
      <c r="E5" s="2345"/>
      <c r="F5" s="2345"/>
      <c r="G5" s="2346"/>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c r="F10" s="805"/>
      <c r="G10" s="806"/>
      <c r="H10" s="157"/>
      <c r="I10" s="157"/>
    </row>
    <row r="11" spans="1:13" s="542" customFormat="1" ht="22.5" customHeight="1" x14ac:dyDescent="0.2">
      <c r="A11" s="234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0"/>
      <c r="C11" s="2350"/>
      <c r="D11" s="2351"/>
      <c r="E11" s="1851">
        <v>15451</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126441</v>
      </c>
      <c r="F19" s="1852"/>
      <c r="G19" s="1854">
        <f>'Expenditures 15-22'!K33-SUM('Expenditures 15-22'!G33,'Expenditures 15-22'!I33)+'Expenditures 15-22'!D229</f>
        <v>126441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0</v>
      </c>
      <c r="F21" s="1855"/>
      <c r="G21" s="1858">
        <f>'Expenditures 15-22'!K42-SUM('Expenditures 15-22'!G42,'Expenditures 15-22'!I42)+'Expenditures 15-22'!K120-SUM('Expenditures 15-22'!G120,'Expenditures 15-22'!I120)+'Expenditures 15-22'!K180-SUM('Expenditures 15-22'!G180,'Expenditures 15-22'!I180)+'Expenditures 15-22'!D238</f>
        <v>0</v>
      </c>
      <c r="H21" s="817"/>
      <c r="I21" s="157"/>
    </row>
    <row r="22" spans="1:9" s="542" customFormat="1" ht="12" customHeight="1" x14ac:dyDescent="0.2">
      <c r="A22" s="824" t="s">
        <v>560</v>
      </c>
      <c r="B22" s="825"/>
      <c r="C22" s="823">
        <v>2200</v>
      </c>
      <c r="D22" s="1855"/>
      <c r="E22" s="1857">
        <f>'Expenditures 15-22'!K47-SUM('Expenditures 15-22'!G47,'Expenditures 15-22'!I47)+'Expenditures 15-22'!D243</f>
        <v>1159</v>
      </c>
      <c r="F22" s="1855"/>
      <c r="G22" s="1858">
        <f>'Expenditures 15-22'!K47-SUM('Expenditures 15-22'!G47,'Expenditures 15-22'!I47)+'Expenditures 15-22'!D243</f>
        <v>1159</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36148</v>
      </c>
      <c r="F23" s="1855"/>
      <c r="G23" s="1857">
        <f>'Expenditures 15-22'!K53-SUM('Expenditures 15-22'!G53,'Expenditures 15-22'!I53)+'Expenditures 15-22'!D257+'Expenditures 15-22'!K330-SUM('Expenditures 15-22'!G330,'Expenditures 15-22'!I330)</f>
        <v>36148</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25449</v>
      </c>
      <c r="E27" s="1857">
        <f>E8</f>
        <v>0</v>
      </c>
      <c r="F27" s="1857">
        <f>'Expenditures 15-22'!K60-SUM('Expenditures 15-22'!G60,'Expenditures 15-22'!I60)+'Expenditures 15-22'!D264-E8</f>
        <v>25449</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0</v>
      </c>
      <c r="F28" s="1859">
        <f>'Expenditures 15-22'!K61-SUM('Expenditures 15-22'!G61,'Expenditures 15-22'!I61)+'Expenditures 15-22'!K124-SUM('Expenditures 15-22'!G124,'Expenditures 15-22'!I124)+'Expenditures 15-22'!D266-E9</f>
        <v>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29'!F38</f>
        <v>0</v>
      </c>
      <c r="F40" s="1855"/>
      <c r="G40" s="1859">
        <f>-'Contracts Paid in CY 29'!F38</f>
        <v>0</v>
      </c>
    </row>
    <row r="41" spans="1:7" ht="12" customHeight="1" x14ac:dyDescent="0.2">
      <c r="A41" s="828" t="s">
        <v>155</v>
      </c>
      <c r="B41" s="829"/>
      <c r="C41" s="830"/>
      <c r="D41" s="1859">
        <f>SUM(D19:D39)</f>
        <v>25449</v>
      </c>
      <c r="E41" s="1859">
        <f>SUM(E19:E40)</f>
        <v>163748</v>
      </c>
      <c r="F41" s="1859">
        <f>SUM(F19:F39)</f>
        <v>25449</v>
      </c>
      <c r="G41" s="1859">
        <f>SUM(G19:G40)</f>
        <v>163748</v>
      </c>
    </row>
    <row r="42" spans="1:7" x14ac:dyDescent="0.2">
      <c r="A42" s="817"/>
      <c r="B42" s="157"/>
      <c r="C42" s="831"/>
      <c r="D42" s="2347" t="s">
        <v>519</v>
      </c>
      <c r="E42" s="2348"/>
      <c r="F42" s="832" t="s">
        <v>520</v>
      </c>
      <c r="G42" s="833"/>
    </row>
    <row r="43" spans="1:7" ht="12" customHeight="1" x14ac:dyDescent="0.2">
      <c r="A43" s="817"/>
      <c r="B43" s="157"/>
      <c r="C43" s="831"/>
      <c r="D43" s="1507" t="s">
        <v>470</v>
      </c>
      <c r="E43" s="1860">
        <f>D41</f>
        <v>25449</v>
      </c>
      <c r="F43" s="1507" t="s">
        <v>470</v>
      </c>
      <c r="G43" s="1860">
        <f>F41</f>
        <v>25449</v>
      </c>
    </row>
    <row r="44" spans="1:7" ht="12" customHeight="1" x14ac:dyDescent="0.2">
      <c r="A44" s="817"/>
      <c r="B44" s="157"/>
      <c r="C44" s="831"/>
      <c r="D44" s="1507" t="s">
        <v>471</v>
      </c>
      <c r="E44" s="1860">
        <f>E41</f>
        <v>163748</v>
      </c>
      <c r="F44" s="1507" t="s">
        <v>471</v>
      </c>
      <c r="G44" s="1860">
        <f>G41</f>
        <v>163748</v>
      </c>
    </row>
    <row r="45" spans="1:7" ht="12" customHeight="1" x14ac:dyDescent="0.2">
      <c r="A45" s="817"/>
      <c r="B45" s="157"/>
      <c r="C45" s="157"/>
      <c r="D45" s="1508" t="s">
        <v>999</v>
      </c>
      <c r="E45" s="1861">
        <f>(E43/E44)</f>
        <v>0.15541563866428904</v>
      </c>
      <c r="F45" s="1508" t="s">
        <v>999</v>
      </c>
      <c r="G45" s="1861">
        <f>(G43/G44)</f>
        <v>0.15541563866428904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25" header="0.17" footer="0.25"/>
  <pageSetup scale="85" firstPageNumber="30" orientation="landscape" useFirstPageNumber="1" r:id="rId1"/>
  <headerFooter scaleWithDoc="0">
    <oddHeader>&amp;C&amp;"Arial,Bold"
ESTIMATED INDIRECT COST DATA</oddHeader>
    <oddFooter>&amp;L&amp;8See notes to financial statements.&amp;C35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selection activeCell="M19" sqref="M19"/>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5" t="s">
        <v>1365</v>
      </c>
      <c r="B1" s="2355"/>
      <c r="C1" s="2355"/>
      <c r="D1" s="2355"/>
      <c r="E1" s="2355"/>
      <c r="F1" s="2355"/>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6" t="s">
        <v>1532</v>
      </c>
      <c r="B5" s="2357"/>
      <c r="C5" s="2358"/>
      <c r="D5" s="2358"/>
      <c r="E5" s="2358"/>
      <c r="F5" s="2358"/>
      <c r="G5" s="1556"/>
      <c r="L5" s="1556"/>
      <c r="M5" s="1913"/>
      <c r="N5" s="1913"/>
      <c r="O5" s="1913"/>
    </row>
    <row r="6" spans="1:15" ht="12" customHeight="1" x14ac:dyDescent="0.25">
      <c r="A6" s="1529"/>
      <c r="B6" s="1530"/>
      <c r="C6" s="2359" t="str">
        <f>COVER!A17</f>
        <v>Okaw Area Vocational System</v>
      </c>
      <c r="D6" s="2359"/>
      <c r="E6" s="2359"/>
      <c r="F6" s="1531"/>
      <c r="G6" s="1556"/>
      <c r="L6" s="1556"/>
      <c r="M6" s="1913"/>
      <c r="N6" s="1913"/>
      <c r="O6" s="1913"/>
    </row>
    <row r="7" spans="1:15" ht="11.25" customHeight="1" thickBot="1" x14ac:dyDescent="0.3">
      <c r="A7" s="1529"/>
      <c r="B7" s="1530"/>
      <c r="C7" s="2360">
        <f>COVER!A13</f>
        <v>45000000046</v>
      </c>
      <c r="D7" s="2360"/>
      <c r="E7" s="2360"/>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989" t="s">
        <v>2021</v>
      </c>
      <c r="D13" s="1989" t="s">
        <v>2021</v>
      </c>
      <c r="E13" s="1991" t="s">
        <v>2021</v>
      </c>
      <c r="F13" s="1990" t="s">
        <v>2044</v>
      </c>
      <c r="G13" s="1556"/>
      <c r="H13" s="1556">
        <f t="shared" si="0"/>
        <v>5</v>
      </c>
      <c r="I13" s="1556">
        <f t="shared" si="1"/>
        <v>5</v>
      </c>
      <c r="J13" s="1556">
        <f t="shared" si="2"/>
        <v>5</v>
      </c>
      <c r="L13" s="1556"/>
      <c r="M13" s="1913"/>
      <c r="N13" s="1913"/>
      <c r="O13" s="1913"/>
    </row>
    <row r="14" spans="1:15" ht="12" customHeight="1" x14ac:dyDescent="0.2">
      <c r="A14" s="1542" t="s">
        <v>1372</v>
      </c>
      <c r="B14" s="1543"/>
      <c r="C14" s="1989" t="s">
        <v>2021</v>
      </c>
      <c r="D14" s="1989" t="s">
        <v>2021</v>
      </c>
      <c r="E14" s="1991" t="s">
        <v>2021</v>
      </c>
      <c r="F14" s="1990" t="s">
        <v>2045</v>
      </c>
      <c r="G14" s="1556"/>
      <c r="H14" s="1556">
        <f t="shared" si="0"/>
        <v>5</v>
      </c>
      <c r="I14" s="1556">
        <f t="shared" si="1"/>
        <v>5</v>
      </c>
      <c r="J14" s="1556">
        <f t="shared" si="2"/>
        <v>5</v>
      </c>
      <c r="L14" s="1556"/>
      <c r="M14" s="1913"/>
      <c r="N14" s="1913"/>
      <c r="O14" s="1913"/>
    </row>
    <row r="15" spans="1:15" ht="12" customHeight="1" x14ac:dyDescent="0.2">
      <c r="A15" s="1542" t="s">
        <v>1373</v>
      </c>
      <c r="B15" s="1543"/>
      <c r="C15" s="1989"/>
      <c r="D15" s="1989"/>
      <c r="E15" s="1991"/>
      <c r="F15" s="1990"/>
      <c r="G15" s="1556"/>
      <c r="H15" s="1556">
        <f t="shared" si="0"/>
        <v>0</v>
      </c>
      <c r="I15" s="1556">
        <f t="shared" si="1"/>
        <v>0</v>
      </c>
      <c r="J15" s="1556">
        <f t="shared" si="2"/>
        <v>0</v>
      </c>
      <c r="L15" s="1556"/>
      <c r="M15" s="1913"/>
      <c r="N15" s="1913"/>
      <c r="O15" s="1913"/>
    </row>
    <row r="16" spans="1:15" ht="12" customHeight="1" x14ac:dyDescent="0.2">
      <c r="A16" s="1542" t="s">
        <v>1374</v>
      </c>
      <c r="B16" s="1543"/>
      <c r="C16" s="1989"/>
      <c r="D16" s="1989"/>
      <c r="E16" s="1991"/>
      <c r="F16" s="1990"/>
      <c r="G16" s="1556"/>
      <c r="H16" s="1556">
        <f t="shared" si="0"/>
        <v>0</v>
      </c>
      <c r="I16" s="1556">
        <f t="shared" si="1"/>
        <v>0</v>
      </c>
      <c r="J16" s="1556">
        <f t="shared" si="2"/>
        <v>0</v>
      </c>
      <c r="L16" s="1556"/>
      <c r="M16" s="1913"/>
      <c r="N16" s="1913"/>
      <c r="O16" s="1913"/>
    </row>
    <row r="17" spans="1:15" ht="12" customHeight="1" x14ac:dyDescent="0.2">
      <c r="A17" s="1542" t="s">
        <v>1375</v>
      </c>
      <c r="B17" s="1543"/>
      <c r="C17" s="1989"/>
      <c r="D17" s="1989"/>
      <c r="E17" s="1991"/>
      <c r="F17" s="1990"/>
      <c r="G17" s="1556"/>
      <c r="H17" s="1556">
        <f t="shared" si="0"/>
        <v>0</v>
      </c>
      <c r="I17" s="1556">
        <f t="shared" si="1"/>
        <v>0</v>
      </c>
      <c r="J17" s="1556">
        <f t="shared" si="2"/>
        <v>0</v>
      </c>
      <c r="L17" s="1556"/>
      <c r="M17" s="1913"/>
      <c r="N17" s="1913"/>
      <c r="O17" s="1913"/>
    </row>
    <row r="18" spans="1:15" ht="12" customHeight="1" x14ac:dyDescent="0.2">
      <c r="A18" s="1542" t="s">
        <v>1376</v>
      </c>
      <c r="B18" s="1543"/>
      <c r="C18" s="1989"/>
      <c r="D18" s="1989"/>
      <c r="E18" s="1991"/>
      <c r="F18" s="1990"/>
      <c r="G18" s="1556"/>
      <c r="H18" s="1556">
        <f t="shared" si="0"/>
        <v>0</v>
      </c>
      <c r="I18" s="1556">
        <f t="shared" si="1"/>
        <v>0</v>
      </c>
      <c r="J18" s="1556">
        <f t="shared" si="2"/>
        <v>0</v>
      </c>
      <c r="L18" s="1556"/>
      <c r="M18" s="1913"/>
      <c r="N18" s="1913"/>
      <c r="O18" s="1913"/>
    </row>
    <row r="19" spans="1:15" ht="12" customHeight="1" x14ac:dyDescent="0.2">
      <c r="A19" s="1542" t="s">
        <v>1513</v>
      </c>
      <c r="B19" s="1543"/>
      <c r="C19" s="1989" t="s">
        <v>2021</v>
      </c>
      <c r="D19" s="1989" t="s">
        <v>2021</v>
      </c>
      <c r="E19" s="1991" t="s">
        <v>2021</v>
      </c>
      <c r="F19" s="1990" t="s">
        <v>2045</v>
      </c>
      <c r="G19" s="1556"/>
      <c r="H19" s="1556">
        <f t="shared" si="0"/>
        <v>5</v>
      </c>
      <c r="I19" s="1556">
        <f t="shared" si="1"/>
        <v>5</v>
      </c>
      <c r="J19" s="1556">
        <f t="shared" si="2"/>
        <v>5</v>
      </c>
      <c r="L19" s="1556"/>
      <c r="M19" s="1913"/>
      <c r="N19" s="1913"/>
      <c r="O19" s="1913"/>
    </row>
    <row r="20" spans="1:15" ht="12" customHeight="1" x14ac:dyDescent="0.2">
      <c r="A20" s="1542" t="s">
        <v>1514</v>
      </c>
      <c r="B20" s="1543"/>
      <c r="C20" s="1989"/>
      <c r="D20" s="1989"/>
      <c r="E20" s="1991"/>
      <c r="F20" s="1990"/>
      <c r="G20" s="1556"/>
      <c r="H20" s="1556">
        <f t="shared" si="0"/>
        <v>0</v>
      </c>
      <c r="I20" s="1556">
        <f t="shared" si="1"/>
        <v>0</v>
      </c>
      <c r="J20" s="1556">
        <f t="shared" si="2"/>
        <v>0</v>
      </c>
      <c r="L20" s="1556"/>
      <c r="M20" s="1913"/>
      <c r="N20" s="1913"/>
      <c r="O20" s="1913"/>
    </row>
    <row r="21" spans="1:15" ht="12" customHeight="1" x14ac:dyDescent="0.2">
      <c r="A21" s="1542" t="s">
        <v>1515</v>
      </c>
      <c r="B21" s="1543"/>
      <c r="C21" s="1989"/>
      <c r="D21" s="1989"/>
      <c r="E21" s="1991"/>
      <c r="F21" s="1990"/>
      <c r="G21" s="1556"/>
      <c r="H21" s="1556">
        <f t="shared" si="0"/>
        <v>0</v>
      </c>
      <c r="I21" s="1556">
        <f t="shared" si="1"/>
        <v>0</v>
      </c>
      <c r="J21" s="1556">
        <f t="shared" si="2"/>
        <v>0</v>
      </c>
      <c r="L21" s="1556"/>
      <c r="M21" s="1913"/>
      <c r="N21" s="1913"/>
      <c r="O21" s="1913"/>
    </row>
    <row r="22" spans="1:15" ht="12" customHeight="1" x14ac:dyDescent="0.2">
      <c r="A22" s="1542" t="s">
        <v>1516</v>
      </c>
      <c r="B22" s="1543"/>
      <c r="C22" s="1989" t="s">
        <v>2021</v>
      </c>
      <c r="D22" s="1989" t="s">
        <v>2021</v>
      </c>
      <c r="E22" s="1991" t="s">
        <v>2021</v>
      </c>
      <c r="F22" s="1990" t="s">
        <v>2045</v>
      </c>
      <c r="G22" s="1556"/>
      <c r="H22" s="1556">
        <f t="shared" si="0"/>
        <v>5</v>
      </c>
      <c r="I22" s="1556">
        <f t="shared" si="1"/>
        <v>5</v>
      </c>
      <c r="J22" s="1556">
        <f t="shared" si="2"/>
        <v>5</v>
      </c>
      <c r="L22" s="1556"/>
      <c r="M22" s="1913"/>
      <c r="N22" s="1913"/>
      <c r="O22" s="1913"/>
    </row>
    <row r="23" spans="1:15" ht="12" customHeight="1" x14ac:dyDescent="0.2">
      <c r="A23" s="1542" t="s">
        <v>1517</v>
      </c>
      <c r="B23" s="1543"/>
      <c r="C23" s="1989"/>
      <c r="D23" s="1989"/>
      <c r="E23" s="1991"/>
      <c r="F23" s="1990"/>
      <c r="G23" s="1556"/>
      <c r="H23" s="1556">
        <f t="shared" si="0"/>
        <v>0</v>
      </c>
      <c r="I23" s="1556">
        <f t="shared" si="1"/>
        <v>0</v>
      </c>
      <c r="J23" s="1556">
        <f t="shared" si="2"/>
        <v>0</v>
      </c>
      <c r="L23" s="1556"/>
      <c r="M23" s="1913"/>
      <c r="N23" s="1913"/>
      <c r="O23" s="1913"/>
    </row>
    <row r="24" spans="1:15" ht="12" customHeight="1" x14ac:dyDescent="0.2">
      <c r="A24" s="1542" t="s">
        <v>1518</v>
      </c>
      <c r="B24" s="1543"/>
      <c r="C24" s="1989" t="s">
        <v>2021</v>
      </c>
      <c r="D24" s="1989" t="s">
        <v>2021</v>
      </c>
      <c r="E24" s="1991" t="s">
        <v>2021</v>
      </c>
      <c r="F24" s="1990" t="s">
        <v>2046</v>
      </c>
      <c r="G24" s="1556"/>
      <c r="H24" s="1556">
        <f t="shared" si="0"/>
        <v>5</v>
      </c>
      <c r="I24" s="1556">
        <f t="shared" si="1"/>
        <v>5</v>
      </c>
      <c r="J24" s="1556">
        <f t="shared" si="2"/>
        <v>5</v>
      </c>
      <c r="L24" s="1556"/>
      <c r="M24" s="1913"/>
      <c r="N24" s="1913"/>
      <c r="O24" s="1913"/>
    </row>
    <row r="25" spans="1:15" ht="12" customHeight="1" x14ac:dyDescent="0.2">
      <c r="A25" s="1542" t="s">
        <v>1519</v>
      </c>
      <c r="B25" s="1543"/>
      <c r="C25" s="1989" t="s">
        <v>2021</v>
      </c>
      <c r="D25" s="1989" t="s">
        <v>2021</v>
      </c>
      <c r="E25" s="1991" t="s">
        <v>2021</v>
      </c>
      <c r="F25" s="1990" t="s">
        <v>2045</v>
      </c>
      <c r="G25" s="1556"/>
      <c r="H25" s="1556">
        <f t="shared" si="0"/>
        <v>5</v>
      </c>
      <c r="I25" s="1556">
        <f t="shared" si="1"/>
        <v>5</v>
      </c>
      <c r="J25" s="1556">
        <f t="shared" si="2"/>
        <v>5</v>
      </c>
      <c r="L25" s="1556"/>
      <c r="M25" s="1913"/>
      <c r="N25" s="1913"/>
      <c r="O25" s="1913"/>
    </row>
    <row r="26" spans="1:15" ht="12" customHeight="1" x14ac:dyDescent="0.2">
      <c r="A26" s="1542" t="s">
        <v>1520</v>
      </c>
      <c r="B26" s="1543"/>
      <c r="C26" s="1989"/>
      <c r="D26" s="1989"/>
      <c r="E26" s="1991"/>
      <c r="F26" s="1990"/>
      <c r="G26" s="1556"/>
      <c r="H26" s="1556">
        <f t="shared" si="0"/>
        <v>0</v>
      </c>
      <c r="I26" s="1556">
        <f t="shared" si="1"/>
        <v>0</v>
      </c>
      <c r="J26" s="1556">
        <f t="shared" si="2"/>
        <v>0</v>
      </c>
      <c r="L26" s="1556"/>
      <c r="M26" s="1913"/>
      <c r="N26" s="1913"/>
      <c r="O26" s="1913"/>
    </row>
    <row r="27" spans="1:15" ht="18.75" x14ac:dyDescent="0.2">
      <c r="A27" s="1542" t="s">
        <v>1521</v>
      </c>
      <c r="B27" s="1543"/>
      <c r="C27" s="1989"/>
      <c r="D27" s="1989"/>
      <c r="E27" s="1991"/>
      <c r="F27" s="1990"/>
      <c r="G27" s="1556"/>
      <c r="H27" s="1556">
        <f t="shared" si="0"/>
        <v>0</v>
      </c>
      <c r="I27" s="1556">
        <f t="shared" si="1"/>
        <v>0</v>
      </c>
      <c r="J27" s="1556">
        <f t="shared" si="2"/>
        <v>0</v>
      </c>
      <c r="L27" s="1556"/>
      <c r="M27" s="1913"/>
      <c r="N27" s="1913"/>
      <c r="O27" s="1913"/>
    </row>
    <row r="28" spans="1:15" ht="12" customHeight="1" x14ac:dyDescent="0.2">
      <c r="A28" s="1542" t="s">
        <v>1522</v>
      </c>
      <c r="B28" s="1543"/>
      <c r="C28" s="1989" t="s">
        <v>2021</v>
      </c>
      <c r="D28" s="1989" t="s">
        <v>2021</v>
      </c>
      <c r="E28" s="1991" t="s">
        <v>2021</v>
      </c>
      <c r="F28" s="1990" t="s">
        <v>2045</v>
      </c>
      <c r="G28" s="1556"/>
      <c r="H28" s="1556">
        <f t="shared" si="0"/>
        <v>5</v>
      </c>
      <c r="I28" s="1556">
        <f t="shared" si="1"/>
        <v>5</v>
      </c>
      <c r="J28" s="1556">
        <f t="shared" si="2"/>
        <v>5</v>
      </c>
      <c r="L28" s="1556"/>
      <c r="M28" s="1913"/>
      <c r="N28" s="1913"/>
      <c r="O28" s="1913"/>
    </row>
    <row r="29" spans="1:15" ht="12" customHeight="1" x14ac:dyDescent="0.2">
      <c r="A29" s="1542" t="s">
        <v>1523</v>
      </c>
      <c r="B29" s="1543"/>
      <c r="C29" s="1989" t="s">
        <v>2021</v>
      </c>
      <c r="D29" s="1989" t="s">
        <v>2021</v>
      </c>
      <c r="E29" s="1991" t="s">
        <v>2021</v>
      </c>
      <c r="F29" s="1990" t="s">
        <v>2045</v>
      </c>
      <c r="G29" s="1556"/>
      <c r="H29" s="1556">
        <f t="shared" si="0"/>
        <v>5</v>
      </c>
      <c r="I29" s="1556">
        <f t="shared" si="1"/>
        <v>5</v>
      </c>
      <c r="J29" s="1556">
        <f t="shared" si="2"/>
        <v>5</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40</v>
      </c>
      <c r="I34" s="1556">
        <f>SUM(I11:I32)</f>
        <v>40</v>
      </c>
      <c r="J34" s="1556">
        <f>SUM(J11:J32)</f>
        <v>40</v>
      </c>
      <c r="K34" s="1556">
        <f>SUM(H34:J34)</f>
        <v>120</v>
      </c>
      <c r="L34" s="1556"/>
      <c r="M34" s="1913"/>
      <c r="N34" s="1913"/>
      <c r="O34" s="1913"/>
    </row>
    <row r="35" spans="1:15" ht="12" customHeight="1" x14ac:dyDescent="0.2">
      <c r="A35" s="1549" t="s">
        <v>1378</v>
      </c>
      <c r="B35" s="1550"/>
      <c r="C35" s="2361"/>
      <c r="D35" s="2361"/>
      <c r="E35" s="2361"/>
      <c r="F35" s="2362"/>
    </row>
    <row r="36" spans="1:15" ht="12" customHeight="1" x14ac:dyDescent="0.2">
      <c r="A36" s="2352"/>
      <c r="B36" s="2353"/>
      <c r="C36" s="2353"/>
      <c r="D36" s="2353"/>
      <c r="E36" s="2353"/>
      <c r="F36" s="2354"/>
    </row>
    <row r="37" spans="1:15" ht="12" customHeight="1" x14ac:dyDescent="0.2">
      <c r="A37" s="2352"/>
      <c r="B37" s="2353"/>
      <c r="C37" s="2353"/>
      <c r="D37" s="2353"/>
      <c r="E37" s="2353"/>
      <c r="F37" s="2354"/>
    </row>
    <row r="38" spans="1:15" ht="12" customHeight="1" x14ac:dyDescent="0.2">
      <c r="A38" s="2366"/>
      <c r="B38" s="2367"/>
      <c r="C38" s="2367"/>
      <c r="D38" s="2367"/>
      <c r="E38" s="2367"/>
      <c r="F38" s="2368"/>
    </row>
    <row r="39" spans="1:15" ht="4.5" hidden="1" customHeight="1" x14ac:dyDescent="0.2">
      <c r="A39" s="1551"/>
      <c r="B39" s="1551"/>
      <c r="C39" s="1551"/>
      <c r="D39" s="1551"/>
      <c r="E39" s="1551"/>
      <c r="F39" s="1551"/>
    </row>
    <row r="40" spans="1:15" s="1548" customFormat="1" ht="12" customHeight="1" x14ac:dyDescent="0.25">
      <c r="A40" s="1552" t="s">
        <v>1377</v>
      </c>
      <c r="B40" s="1553"/>
      <c r="C40" s="2369"/>
      <c r="D40" s="2369"/>
      <c r="E40" s="2369"/>
      <c r="F40" s="2370"/>
      <c r="H40" s="1557"/>
      <c r="I40" s="1557"/>
      <c r="J40" s="1557"/>
      <c r="K40" s="1557"/>
    </row>
    <row r="41" spans="1:15" s="1548" customFormat="1" ht="12" customHeight="1" x14ac:dyDescent="0.25">
      <c r="A41" s="2371"/>
      <c r="B41" s="2372"/>
      <c r="C41" s="2372"/>
      <c r="D41" s="2372"/>
      <c r="E41" s="2372"/>
      <c r="F41" s="2373"/>
      <c r="H41" s="1557"/>
      <c r="I41" s="1557"/>
      <c r="J41" s="1557"/>
      <c r="K41" s="1557"/>
    </row>
    <row r="42" spans="1:15" s="1548" customFormat="1" ht="12" customHeight="1" x14ac:dyDescent="0.25">
      <c r="A42" s="2371"/>
      <c r="B42" s="2372"/>
      <c r="C42" s="2372"/>
      <c r="D42" s="2372"/>
      <c r="E42" s="2372"/>
      <c r="F42" s="2373"/>
      <c r="H42" s="1557"/>
      <c r="I42" s="1557"/>
      <c r="J42" s="1557"/>
      <c r="K42" s="1557"/>
    </row>
    <row r="43" spans="1:15" s="1548" customFormat="1" ht="15" x14ac:dyDescent="0.25">
      <c r="A43" s="2363"/>
      <c r="B43" s="2364"/>
      <c r="C43" s="2364"/>
      <c r="D43" s="2364"/>
      <c r="E43" s="2364"/>
      <c r="F43" s="2365"/>
      <c r="H43" s="1557"/>
      <c r="I43" s="1557"/>
      <c r="J43" s="1557"/>
      <c r="K43" s="1557"/>
    </row>
    <row r="44" spans="1:15" s="1548" customFormat="1" ht="12" hidden="1" customHeight="1" x14ac:dyDescent="0.25">
      <c r="A44" s="2363"/>
      <c r="B44" s="2364"/>
      <c r="C44" s="2364"/>
      <c r="D44" s="2364"/>
      <c r="E44" s="2364"/>
      <c r="F44" s="2365"/>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scaleWithDoc="0">
    <oddFooter>&amp;LSee notes to financial statements.&amp;C&amp;8 36</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50"/>
    <pageSetUpPr fitToPage="1"/>
  </sheetPr>
  <dimension ref="A1:R40"/>
  <sheetViews>
    <sheetView showGridLines="0" defaultGridColor="0" colorId="8" zoomScaleNormal="100" workbookViewId="0">
      <selection activeCell="H14" sqref="H1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9" t="str">
        <f>COVER!A17</f>
        <v>Okaw Area Vocational System</v>
      </c>
      <c r="J6" s="2380"/>
      <c r="K6" s="2381"/>
      <c r="R6" s="1427"/>
    </row>
    <row r="7" spans="1:18" x14ac:dyDescent="0.2">
      <c r="A7" s="2382" t="s">
        <v>864</v>
      </c>
      <c r="B7" s="2383"/>
      <c r="C7" s="2383"/>
      <c r="D7" s="2383"/>
      <c r="E7" s="2384"/>
      <c r="F7" s="847"/>
      <c r="G7" s="839"/>
      <c r="H7" s="846" t="s">
        <v>369</v>
      </c>
      <c r="I7" s="2385">
        <f>COVER!A13</f>
        <v>45000000046</v>
      </c>
      <c r="J7" s="2385"/>
      <c r="K7" s="2385"/>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386" t="s">
        <v>478</v>
      </c>
      <c r="B11" s="2387"/>
      <c r="C11" s="2388"/>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3">
        <f>'Expenditures 15-22'!K50</f>
        <v>0</v>
      </c>
      <c r="F12" s="1864"/>
      <c r="G12" s="1863">
        <f t="shared" ref="G12:G18" si="0">SUM(E12:F12)</f>
        <v>0</v>
      </c>
      <c r="H12" s="1865"/>
      <c r="I12" s="1864"/>
      <c r="J12" s="1865"/>
      <c r="K12" s="1863">
        <f t="shared" ref="K12:K18" si="1">SUM(H12:J12)</f>
        <v>0</v>
      </c>
    </row>
    <row r="13" spans="1:18" ht="15" customHeight="1" x14ac:dyDescent="0.2">
      <c r="A13" s="863">
        <v>2</v>
      </c>
      <c r="B13" s="864" t="s">
        <v>42</v>
      </c>
      <c r="C13" s="865"/>
      <c r="D13" s="866">
        <v>2330</v>
      </c>
      <c r="E13" s="1863">
        <f>'Expenditures 15-22'!K51</f>
        <v>36148</v>
      </c>
      <c r="F13" s="1864"/>
      <c r="G13" s="1863">
        <f t="shared" si="0"/>
        <v>36148</v>
      </c>
      <c r="H13" s="1865">
        <v>33454</v>
      </c>
      <c r="I13" s="1864"/>
      <c r="J13" s="1865"/>
      <c r="K13" s="1863">
        <f t="shared" si="1"/>
        <v>33454</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9" t="s">
        <v>7</v>
      </c>
      <c r="C18" s="2390"/>
      <c r="D18" s="2391"/>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36148</v>
      </c>
      <c r="F19" s="1868">
        <f t="shared" si="2"/>
        <v>0</v>
      </c>
      <c r="G19" s="1868">
        <f t="shared" si="2"/>
        <v>36148</v>
      </c>
      <c r="H19" s="1868">
        <f t="shared" si="2"/>
        <v>33454</v>
      </c>
      <c r="I19" s="1868">
        <f t="shared" si="2"/>
        <v>0</v>
      </c>
      <c r="J19" s="1868">
        <f t="shared" si="2"/>
        <v>0</v>
      </c>
      <c r="K19" s="1868">
        <f t="shared" si="2"/>
        <v>33454</v>
      </c>
    </row>
    <row r="20" spans="1:11" ht="13.5" thickTop="1" x14ac:dyDescent="0.2">
      <c r="A20" s="863">
        <v>9</v>
      </c>
      <c r="B20" s="2392" t="str">
        <f>"Percent Increase (Decrease) for FY"&amp;'AFR20'!E2+1&amp;" (Budgeted) over FY"&amp;'AFR20'!E2&amp;" (Actual)"</f>
        <v>Percent Increase (Decrease) for FY2021 (Budgeted) over FY2020 (Actual)</v>
      </c>
      <c r="C20" s="2392"/>
      <c r="D20" s="2393"/>
      <c r="E20" s="1869"/>
      <c r="F20" s="1869"/>
      <c r="G20" s="1869"/>
      <c r="H20" s="1869"/>
      <c r="I20" s="1869"/>
      <c r="J20" s="1977"/>
      <c r="K20" s="1870">
        <f>IF(AND(G19&gt;0,K19&gt;0),(((K19-G19)/G19)),"Enter Budget Data")</f>
        <v>-7.4526944782560584E-2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8"/>
      <c r="D26" s="2398"/>
      <c r="E26" s="874"/>
      <c r="F26" s="2397"/>
      <c r="G26" s="2397"/>
    </row>
    <row r="27" spans="1:11" x14ac:dyDescent="0.2">
      <c r="B27" s="871"/>
      <c r="C27" s="875" t="s">
        <v>1026</v>
      </c>
      <c r="D27" s="876"/>
      <c r="E27" s="877"/>
      <c r="F27" s="2394" t="s">
        <v>1495</v>
      </c>
      <c r="G27" s="2394"/>
    </row>
    <row r="28" spans="1:11" ht="28.5" customHeight="1" x14ac:dyDescent="0.2">
      <c r="B28" s="871"/>
      <c r="C28" s="2396"/>
      <c r="D28" s="2396"/>
      <c r="E28" s="878"/>
      <c r="F28" s="2396"/>
      <c r="G28" s="2396"/>
    </row>
    <row r="29" spans="1:11" x14ac:dyDescent="0.2">
      <c r="B29" s="871"/>
      <c r="C29" s="879" t="s">
        <v>1547</v>
      </c>
      <c r="E29" s="880"/>
      <c r="F29" s="2395" t="s">
        <v>1496</v>
      </c>
      <c r="G29" s="2395"/>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7"/>
      <c r="E33" s="2377"/>
      <c r="F33" s="2377"/>
      <c r="G33" s="2377"/>
      <c r="H33" s="2377"/>
      <c r="I33" s="2377"/>
      <c r="J33" s="1975"/>
    </row>
    <row r="34" spans="1:11" ht="10.35" customHeight="1" x14ac:dyDescent="0.2">
      <c r="C34" s="2377"/>
      <c r="D34" s="2377"/>
      <c r="E34" s="2377"/>
      <c r="F34" s="2377"/>
      <c r="G34" s="2377"/>
      <c r="H34" s="2377"/>
      <c r="I34" s="2377"/>
      <c r="J34" s="1975"/>
    </row>
    <row r="35" spans="1:11" ht="7.5" customHeight="1" x14ac:dyDescent="0.2">
      <c r="C35" s="886"/>
    </row>
    <row r="36" spans="1:11" ht="13.5" customHeight="1" x14ac:dyDescent="0.2">
      <c r="B36" s="885"/>
      <c r="C36" s="237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7"/>
      <c r="E36" s="2377"/>
      <c r="F36" s="2377"/>
      <c r="G36" s="2377"/>
      <c r="H36" s="2377"/>
      <c r="I36" s="2377"/>
      <c r="J36" s="1975"/>
      <c r="K36" s="887"/>
    </row>
    <row r="37" spans="1:11" ht="22.5" customHeight="1" x14ac:dyDescent="0.2">
      <c r="C37" s="2377"/>
      <c r="D37" s="2377"/>
      <c r="E37" s="2377"/>
      <c r="F37" s="2377"/>
      <c r="G37" s="2377"/>
      <c r="H37" s="2377"/>
      <c r="I37" s="2377"/>
      <c r="J37" s="1975"/>
      <c r="K37" s="887"/>
    </row>
    <row r="38" spans="1:11" ht="7.5" customHeight="1" x14ac:dyDescent="0.2">
      <c r="C38" s="886"/>
      <c r="D38" s="888"/>
      <c r="E38" s="889"/>
      <c r="F38" s="890"/>
      <c r="G38" s="889"/>
    </row>
    <row r="39" spans="1:11" ht="13.5" customHeight="1" x14ac:dyDescent="0.2">
      <c r="B39" s="885"/>
      <c r="C39" s="2374" t="str">
        <f>"The district will amend their budget to become in compliance with the limitation."</f>
        <v>The district will amend their budget to become in compliance with the limitation.</v>
      </c>
      <c r="D39" s="2375"/>
      <c r="E39" s="2375"/>
      <c r="F39" s="2375"/>
      <c r="G39" s="2375"/>
      <c r="H39" s="2375"/>
      <c r="I39" s="2375"/>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25" header="0.28000000000000003" footer="0.25"/>
  <pageSetup scale="91" firstPageNumber="31" orientation="landscape" useFirstPageNumber="1" r:id="rId1"/>
  <headerFooter scaleWithDoc="0">
    <oddHeader xml:space="preserve">&amp;C </oddHeader>
    <oddFooter>&amp;LSee notes to financial statements.&amp;C37</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2041</v>
      </c>
    </row>
    <row r="6" spans="1:2" x14ac:dyDescent="0.2">
      <c r="A6" s="892">
        <v>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Okaw Area Vocational System</v>
      </c>
    </row>
    <row r="65" spans="2:2" x14ac:dyDescent="0.2">
      <c r="B65" s="894">
        <f>COVER!A13</f>
        <v>45000000046</v>
      </c>
    </row>
  </sheetData>
  <phoneticPr fontId="14" type="noConversion"/>
  <pageMargins left="0.2" right="0.2" top="1.17" bottom="0.25" header="0.19" footer="0.16"/>
  <pageSetup scale="80" firstPageNumber="32" orientation="portrait" useFirstPageNumber="1" r:id="rId1"/>
  <headerFooter scaleWithDoc="0">
    <oddHeader xml:space="preserve">&amp;C </oddHeader>
    <oddFooter>&amp;LSee notes to financial statements.&amp;C38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T37" sqref="T3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8" t="s">
        <v>1058</v>
      </c>
      <c r="B35" s="2108"/>
      <c r="C35" s="2108"/>
      <c r="D35" s="2108"/>
      <c r="E35" s="210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5" t="s">
        <v>686</v>
      </c>
      <c r="B40" s="2105"/>
      <c r="C40" s="2105"/>
      <c r="D40" s="2105"/>
      <c r="E40" s="2105"/>
    </row>
    <row r="41" spans="1:5" x14ac:dyDescent="0.2">
      <c r="A41" s="2106" t="s">
        <v>1594</v>
      </c>
      <c r="B41" s="2106"/>
      <c r="C41" s="2106"/>
      <c r="D41" s="2106"/>
      <c r="E41" s="2106"/>
    </row>
    <row r="42" spans="1:5" ht="12.75" customHeight="1" x14ac:dyDescent="0.2">
      <c r="A42" s="2107" t="s">
        <v>1015</v>
      </c>
      <c r="B42" s="2107"/>
      <c r="C42" s="2107"/>
      <c r="D42" s="2107"/>
      <c r="E42" s="2107"/>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25"/>
  <pageSetup scale="73" fitToHeight="0" orientation="portrait" r:id="rId5"/>
  <headerFooter>
    <oddFooter>&amp;LSee notes to financial statements.&amp;C5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election activeCell="T37" sqref="T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8" sqref="B8"/>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399" t="s">
        <v>1668</v>
      </c>
      <c r="B18" s="239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523875</xdr:colOff>
                <xdr:row>3</xdr:row>
                <xdr:rowOff>0</xdr:rowOff>
              </from>
              <to>
                <xdr:col>1</xdr:col>
                <xdr:colOff>1438275</xdr:colOff>
                <xdr:row>7</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T37" sqref="T3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00" t="s">
        <v>1672</v>
      </c>
      <c r="B1" s="2401"/>
      <c r="C1" s="2401"/>
      <c r="D1" s="2401"/>
      <c r="E1" s="2401"/>
      <c r="F1" s="2402"/>
    </row>
    <row r="2" spans="1:8" ht="45" customHeight="1" x14ac:dyDescent="0.2">
      <c r="A2" s="241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1"/>
      <c r="C2" s="2411"/>
      <c r="D2" s="2411"/>
      <c r="E2" s="2411"/>
      <c r="F2" s="2412"/>
      <c r="G2" s="898"/>
      <c r="H2" s="898"/>
    </row>
    <row r="3" spans="1:8" ht="57" customHeight="1" x14ac:dyDescent="0.2">
      <c r="A3" s="2413" t="s">
        <v>1975</v>
      </c>
      <c r="B3" s="2414"/>
      <c r="C3" s="2414"/>
      <c r="D3" s="2414"/>
      <c r="E3" s="2414"/>
      <c r="F3" s="2415"/>
      <c r="G3" s="898"/>
      <c r="H3" s="898"/>
    </row>
    <row r="4" spans="1:8" ht="14.25" customHeight="1" x14ac:dyDescent="0.2">
      <c r="A4" s="241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20"/>
      <c r="C4" s="2420"/>
      <c r="D4" s="2420"/>
      <c r="E4" s="2420"/>
      <c r="F4" s="2421"/>
      <c r="G4" s="898"/>
      <c r="H4" s="898"/>
    </row>
    <row r="5" spans="1:8" ht="14.25" customHeight="1" x14ac:dyDescent="0.2">
      <c r="A5" s="242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3"/>
      <c r="C5" s="2423"/>
      <c r="D5" s="2423"/>
      <c r="E5" s="2423"/>
      <c r="F5" s="2424"/>
      <c r="G5" s="898"/>
      <c r="H5" s="898"/>
    </row>
    <row r="6" spans="1:8" s="899" customFormat="1" ht="41.25" customHeight="1" x14ac:dyDescent="0.2">
      <c r="A6" s="2416" t="s">
        <v>1673</v>
      </c>
      <c r="B6" s="2417"/>
      <c r="C6" s="2417"/>
      <c r="D6" s="2417"/>
      <c r="E6" s="2417"/>
      <c r="F6" s="2418"/>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512442</v>
      </c>
      <c r="C8" s="1871">
        <f>'Acct Summary 7-8'!D8</f>
        <v>0</v>
      </c>
      <c r="D8" s="1871">
        <f>'Acct Summary 7-8'!F8</f>
        <v>0</v>
      </c>
      <c r="E8" s="1871">
        <f>'Acct Summary 7-8'!I8</f>
        <v>0</v>
      </c>
      <c r="F8" s="1871">
        <f>SUM(B8:E8)</f>
        <v>512442</v>
      </c>
    </row>
    <row r="9" spans="1:8" s="903" customFormat="1" ht="14.25" customHeight="1" thickBot="1" x14ac:dyDescent="0.25">
      <c r="A9" s="902" t="s">
        <v>1355</v>
      </c>
      <c r="B9" s="1872">
        <f>'Acct Summary 7-8'!C17</f>
        <v>481566</v>
      </c>
      <c r="C9" s="1872">
        <f>'Acct Summary 7-8'!D17</f>
        <v>0</v>
      </c>
      <c r="D9" s="1872">
        <f>'Acct Summary 7-8'!F17</f>
        <v>0</v>
      </c>
      <c r="E9" s="1871"/>
      <c r="F9" s="1871">
        <f>SUM(B9:E9)</f>
        <v>481566</v>
      </c>
    </row>
    <row r="10" spans="1:8" s="903" customFormat="1" ht="14.25" thickTop="1" thickBot="1" x14ac:dyDescent="0.25">
      <c r="A10" s="904" t="s">
        <v>1356</v>
      </c>
      <c r="B10" s="1873">
        <f>(B8-B9)</f>
        <v>30876</v>
      </c>
      <c r="C10" s="1873">
        <f>(C8-C9)</f>
        <v>0</v>
      </c>
      <c r="D10" s="1873">
        <f>(D8-D9)</f>
        <v>0</v>
      </c>
      <c r="E10" s="1872">
        <f>(E8-E9)</f>
        <v>0</v>
      </c>
      <c r="F10" s="1874">
        <f>SUM(F8-F9)</f>
        <v>30876</v>
      </c>
    </row>
    <row r="11" spans="1:8" s="903" customFormat="1" ht="14.25" thickTop="1" thickBot="1" x14ac:dyDescent="0.25">
      <c r="A11" s="905" t="s">
        <v>1906</v>
      </c>
      <c r="B11" s="1875">
        <f>'Acct Summary 7-8'!C81</f>
        <v>33976</v>
      </c>
      <c r="C11" s="1875">
        <f>'Acct Summary 7-8'!D81</f>
        <v>0</v>
      </c>
      <c r="D11" s="1875">
        <f>'Acct Summary 7-8'!F81</f>
        <v>0</v>
      </c>
      <c r="E11" s="1875">
        <f>'Acct Summary 7-8'!I81</f>
        <v>0</v>
      </c>
      <c r="F11" s="1876">
        <f>SUM(B11:E11)</f>
        <v>33976</v>
      </c>
    </row>
    <row r="12" spans="1:8" ht="16.5" customHeight="1" thickTop="1" x14ac:dyDescent="0.2">
      <c r="A12" s="906"/>
      <c r="B12" s="907"/>
      <c r="C12" s="2404" t="str">
        <f>IF(AND(F10&lt;0,F11&gt;=0,ABS(F10*3)&gt;ABS(F11)),A16,IF(AND(F10&lt;0,F11&gt;0,ABS(F10*3)&lt;=ABS(F11)),A17,IF(AND(F10&lt;0,F11&lt;0),A16,IF(F11=0,A19,A18))))</f>
        <v>Balanced - no deficit reduction plan is required.</v>
      </c>
      <c r="D12" s="2405"/>
      <c r="E12" s="2405"/>
      <c r="F12" s="2406"/>
    </row>
    <row r="13" spans="1:8" ht="19.5" customHeight="1" x14ac:dyDescent="0.2">
      <c r="A13" s="908"/>
      <c r="B13" s="909"/>
      <c r="C13" s="2404"/>
      <c r="D13" s="2405"/>
      <c r="E13" s="2405"/>
      <c r="F13" s="2406"/>
      <c r="H13" s="898"/>
    </row>
    <row r="14" spans="1:8" ht="19.5" customHeight="1" x14ac:dyDescent="0.2">
      <c r="A14" s="908"/>
      <c r="B14" s="909"/>
      <c r="C14" s="2404"/>
      <c r="D14" s="2405"/>
      <c r="E14" s="2405"/>
      <c r="F14" s="2406"/>
      <c r="H14" s="898"/>
    </row>
    <row r="15" spans="1:8" ht="17.25" customHeight="1" x14ac:dyDescent="0.2">
      <c r="A15" s="908"/>
      <c r="B15" s="909"/>
      <c r="C15" s="2407"/>
      <c r="D15" s="2408"/>
      <c r="E15" s="2408"/>
      <c r="F15" s="2409"/>
      <c r="H15" s="898"/>
    </row>
    <row r="16" spans="1:8" s="288" customFormat="1" ht="51.75" hidden="1" customHeight="1" x14ac:dyDescent="0.2">
      <c r="A16" s="2403" t="s">
        <v>1669</v>
      </c>
      <c r="B16" s="2403"/>
      <c r="C16" s="2403"/>
      <c r="D16" s="2403"/>
      <c r="E16" s="2403"/>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0.25" header="0.5" footer="0.25"/>
  <pageSetup firstPageNumber="19" fitToHeight="0" orientation="landscape" useFirstPageNumber="1" r:id="rId1"/>
  <headerFooter scaleWithDoc="0">
    <oddFooter>&amp;LSee notes to financial statements.&amp;C39</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55" colorId="8" zoomScale="110" zoomScaleNormal="110" workbookViewId="0">
      <selection activeCell="D32" sqref="D32"/>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5" t="s">
        <v>660</v>
      </c>
      <c r="B3" s="2426"/>
      <c r="C3" s="2426"/>
      <c r="D3" s="2427"/>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6" t="s">
        <v>1490</v>
      </c>
      <c r="D7" s="2437"/>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8" t="s">
        <v>1001</v>
      </c>
      <c r="B15" s="2429"/>
      <c r="C15" s="2429"/>
      <c r="D15" s="2430"/>
    </row>
    <row r="16" spans="1:4" s="542" customFormat="1" ht="24" customHeight="1" x14ac:dyDescent="0.2">
      <c r="A16" s="2431" t="s">
        <v>658</v>
      </c>
      <c r="B16" s="2432"/>
      <c r="C16" s="2432"/>
      <c r="D16" s="2433"/>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40" t="s">
        <v>311</v>
      </c>
      <c r="D21" s="2441"/>
    </row>
    <row r="22" spans="1:10" ht="12.75" x14ac:dyDescent="0.2">
      <c r="A22" s="963"/>
      <c r="B22" s="964">
        <v>2</v>
      </c>
      <c r="C22" s="2438" t="s">
        <v>1510</v>
      </c>
      <c r="D22" s="2439"/>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2" t="s">
        <v>533</v>
      </c>
      <c r="D43" s="2443"/>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4" t="s">
        <v>779</v>
      </c>
      <c r="D56" s="2435"/>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434" t="s">
        <v>1677</v>
      </c>
      <c r="D70" s="2435"/>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3" t="str">
        <f>IF('Contracts Paid in CY 29'!$D$38&gt;0,"OK","PLEASE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 right="0.2" top="0.55000000000000004" bottom="0.25" header="0.25" footer="0.25"/>
  <pageSetup scale="70" firstPageNumber="32" fitToWidth="0" orientation="portrait" r:id="rId1"/>
  <headerFooter scaleWithDoc="0">
    <oddFooter>&amp;L&amp;8See notes to financial statements.&amp;C40</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2" t="s">
        <v>1981</v>
      </c>
    </row>
    <row r="2" spans="1:7" ht="15.75" x14ac:dyDescent="0.25">
      <c r="A2" t="s">
        <v>260</v>
      </c>
      <c r="B2" s="135">
        <f>COVER!A13</f>
        <v>45000000046</v>
      </c>
      <c r="E2" s="1592">
        <v>2020</v>
      </c>
      <c r="F2" s="1592">
        <v>1</v>
      </c>
      <c r="G2" s="1961">
        <v>101000300</v>
      </c>
    </row>
    <row r="3" spans="1:7" ht="15" x14ac:dyDescent="0.25">
      <c r="A3" t="s">
        <v>950</v>
      </c>
      <c r="B3" s="135" t="str">
        <f>COVER!A15</f>
        <v>Monroe, Randolph, and St. Clair</v>
      </c>
      <c r="E3" s="1888" t="s">
        <v>1974</v>
      </c>
      <c r="F3" s="1888" t="s">
        <v>1973</v>
      </c>
      <c r="G3" s="1961">
        <v>101000400</v>
      </c>
    </row>
    <row r="4" spans="1:7" ht="15" x14ac:dyDescent="0.25">
      <c r="A4" t="s">
        <v>1000</v>
      </c>
      <c r="B4" s="135" t="str">
        <f>COVER!A17</f>
        <v>Okaw Area Vocational System</v>
      </c>
      <c r="E4" s="1886">
        <v>44119</v>
      </c>
      <c r="F4" s="1887">
        <v>44151</v>
      </c>
      <c r="G4" s="1961">
        <v>101000600</v>
      </c>
    </row>
    <row r="5" spans="1:7" ht="15" x14ac:dyDescent="0.25">
      <c r="A5" t="s">
        <v>699</v>
      </c>
      <c r="B5" s="135" t="str">
        <f>COVER!A38</f>
        <v>Dr. Thomas Springborn</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t="str">
        <f>COVER!T38</f>
        <v>Mr. Kelton Davis</v>
      </c>
      <c r="G8" s="1961">
        <v>102100600</v>
      </c>
    </row>
    <row r="9" spans="1:7" ht="15" x14ac:dyDescent="0.25">
      <c r="A9" s="3" t="s">
        <v>951</v>
      </c>
      <c r="B9" s="153" t="str">
        <f>AUDITCHECK!D23</f>
        <v>CASH</v>
      </c>
      <c r="G9" s="1961">
        <v>102100800</v>
      </c>
    </row>
    <row r="10" spans="1:7" ht="15" x14ac:dyDescent="0.25">
      <c r="A10" t="s">
        <v>970</v>
      </c>
      <c r="B10" s="135">
        <f>COVER!B5</f>
        <v>0</v>
      </c>
      <c r="G10" s="1961">
        <v>202100300</v>
      </c>
    </row>
    <row r="11" spans="1:7" ht="15" x14ac:dyDescent="0.25">
      <c r="A11" t="s">
        <v>971</v>
      </c>
      <c r="B11" s="135" t="str">
        <f>COVER!B6</f>
        <v>X</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No</v>
      </c>
      <c r="G14" s="1961">
        <v>402100300</v>
      </c>
    </row>
    <row r="15" spans="1:7" ht="15" x14ac:dyDescent="0.25">
      <c r="A15" t="s">
        <v>573</v>
      </c>
      <c r="B15" s="135" t="str">
        <f>COVER!T23</f>
        <v>065-026956</v>
      </c>
      <c r="G15" s="1961">
        <v>402100400</v>
      </c>
    </row>
    <row r="16" spans="1:7" ht="15" x14ac:dyDescent="0.25">
      <c r="A16" t="s">
        <v>419</v>
      </c>
      <c r="B16" s="135" t="str">
        <f>COVER!T13</f>
        <v>Scheffel Boyle CPA's</v>
      </c>
      <c r="G16" s="1961">
        <v>402100600</v>
      </c>
    </row>
    <row r="17" spans="1:7" ht="15" x14ac:dyDescent="0.25">
      <c r="A17" t="s">
        <v>878</v>
      </c>
      <c r="B17" s="135" t="str">
        <f>COVER!T15</f>
        <v>Dale Holtmann, CPA</v>
      </c>
      <c r="G17" s="1961">
        <v>402100800</v>
      </c>
    </row>
    <row r="18" spans="1:7" ht="15" x14ac:dyDescent="0.25">
      <c r="A18" t="s">
        <v>1142</v>
      </c>
      <c r="B18" s="135" t="str">
        <f>COVER!T17</f>
        <v>222 E Main Street</v>
      </c>
      <c r="G18" s="1961">
        <v>102200300</v>
      </c>
    </row>
    <row r="19" spans="1:7" ht="15" x14ac:dyDescent="0.25">
      <c r="A19" t="s">
        <v>880</v>
      </c>
      <c r="B19" s="135">
        <f>COVER!T25</f>
        <v>0</v>
      </c>
      <c r="G19" s="1961">
        <v>102200400</v>
      </c>
    </row>
    <row r="20" spans="1:7" ht="15" x14ac:dyDescent="0.25">
      <c r="A20" t="s">
        <v>881</v>
      </c>
      <c r="B20" s="135" t="str">
        <f>COVER!T19</f>
        <v>Belleville</v>
      </c>
      <c r="G20" s="1961">
        <v>102200600</v>
      </c>
    </row>
    <row r="21" spans="1:7" ht="15" x14ac:dyDescent="0.25">
      <c r="A21" t="s">
        <v>476</v>
      </c>
      <c r="B21" s="135" t="str">
        <f>COVER!X19</f>
        <v>IL</v>
      </c>
      <c r="G21" s="1961">
        <v>102200800</v>
      </c>
    </row>
    <row r="22" spans="1:7" ht="15" x14ac:dyDescent="0.25">
      <c r="A22" t="s">
        <v>882</v>
      </c>
      <c r="B22" s="135">
        <f>COVER!Z19</f>
        <v>62220</v>
      </c>
      <c r="G22" s="1961">
        <v>102300300</v>
      </c>
    </row>
    <row r="23" spans="1:7" ht="15" x14ac:dyDescent="0.25">
      <c r="A23" t="s">
        <v>1144</v>
      </c>
      <c r="B23" s="135" t="str">
        <f>COVER!T21</f>
        <v>618-277-8100</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0</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40113</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0</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6137</v>
      </c>
      <c r="C91" s="2" t="s">
        <v>569</v>
      </c>
      <c r="D91" s="2" t="str">
        <f t="shared" si="0"/>
        <v>Error?</v>
      </c>
      <c r="G91" s="1961">
        <v>102640400</v>
      </c>
    </row>
    <row r="92" spans="1:7" ht="15" x14ac:dyDescent="0.25">
      <c r="A92" s="5">
        <v>31</v>
      </c>
      <c r="B92" s="1890">
        <f>'Assets-Liab 5-6'!C39</f>
        <v>33976</v>
      </c>
      <c r="D92" s="2" t="str">
        <f t="shared" si="0"/>
        <v>Error?</v>
      </c>
      <c r="G92" s="1961">
        <v>102640600</v>
      </c>
    </row>
    <row r="93" spans="1:7" ht="15" x14ac:dyDescent="0.25">
      <c r="A93" s="5">
        <v>32</v>
      </c>
      <c r="B93" s="1890">
        <f>'Assets-Liab 5-6'!C41</f>
        <v>40113</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0</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0</v>
      </c>
      <c r="D123" s="2" t="str">
        <f t="shared" si="0"/>
        <v>Error?</v>
      </c>
      <c r="G123" s="1961">
        <v>203000400</v>
      </c>
    </row>
    <row r="124" spans="1:7" ht="15" x14ac:dyDescent="0.25">
      <c r="A124" s="5">
        <v>63</v>
      </c>
      <c r="B124" s="1890">
        <f>'Assets-Liab 5-6'!D41</f>
        <v>0</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0</v>
      </c>
      <c r="D274" s="2" t="str">
        <f t="shared" si="3"/>
        <v>Error?</v>
      </c>
    </row>
    <row r="275" spans="1:4" x14ac:dyDescent="0.2">
      <c r="A275" s="5">
        <v>214</v>
      </c>
      <c r="B275" s="1890">
        <f>'Assets-Liab 5-6'!M18</f>
        <v>0</v>
      </c>
      <c r="D275" s="2" t="str">
        <f t="shared" si="3"/>
        <v>Error?</v>
      </c>
    </row>
    <row r="276" spans="1:4" x14ac:dyDescent="0.2">
      <c r="A276" s="5">
        <v>215</v>
      </c>
      <c r="B276" s="1890">
        <f>'Assets-Liab 5-6'!M19</f>
        <v>2141240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2141240</v>
      </c>
      <c r="C279" s="2" t="s">
        <v>569</v>
      </c>
      <c r="D279" s="2" t="str">
        <f t="shared" si="3"/>
        <v>Error?</v>
      </c>
    </row>
    <row r="280" spans="1:4" x14ac:dyDescent="0.2">
      <c r="A280" s="5">
        <v>219</v>
      </c>
      <c r="B280" s="1890">
        <f>'Assets-Liab 5-6'!M40</f>
        <v>2141240</v>
      </c>
      <c r="D280" s="2" t="str">
        <f t="shared" si="3"/>
        <v>Error?</v>
      </c>
    </row>
    <row r="281" spans="1:4" x14ac:dyDescent="0.2">
      <c r="A281" s="5">
        <v>220</v>
      </c>
      <c r="B281" s="1890">
        <f>'Assets-Liab 5-6'!M41</f>
        <v>2141240</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0</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0</v>
      </c>
      <c r="D733" s="2" t="str">
        <f t="shared" si="10"/>
        <v>Error?</v>
      </c>
    </row>
    <row r="734" spans="1:4" x14ac:dyDescent="0.2">
      <c r="A734" s="5">
        <v>673</v>
      </c>
      <c r="B734" s="1890">
        <f>'Expenditures 15-22'!C53</f>
        <v>16746</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19732</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19732</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36478</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36478</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0</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0</v>
      </c>
      <c r="D791" s="2" t="str">
        <f t="shared" si="11"/>
        <v>Error?</v>
      </c>
    </row>
    <row r="792" spans="1:4" x14ac:dyDescent="0.2">
      <c r="A792" s="5">
        <v>731</v>
      </c>
      <c r="B792" s="1890">
        <f>'Expenditures 15-22'!D53</f>
        <v>4572</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4488</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4488</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9060</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9060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20754</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20754</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0</v>
      </c>
      <c r="C843" s="2" t="s">
        <v>569</v>
      </c>
      <c r="D843" s="2" t="str">
        <f t="shared" si="12"/>
        <v>Error?</v>
      </c>
    </row>
    <row r="844" spans="1:4" x14ac:dyDescent="0.2">
      <c r="A844" s="5">
        <v>783</v>
      </c>
      <c r="B844" s="1890">
        <f>'Expenditures 15-22'!E44</f>
        <v>1159</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1159</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0</v>
      </c>
      <c r="D849" s="2" t="str">
        <f t="shared" si="12"/>
        <v>Error?</v>
      </c>
    </row>
    <row r="850" spans="1:4" x14ac:dyDescent="0.2">
      <c r="A850" s="5">
        <v>789</v>
      </c>
      <c r="B850" s="1890">
        <f>'Expenditures 15-22'!E53</f>
        <v>14584</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1229</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1229</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16972</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72825</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105667</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105667</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246</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0</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246</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105913</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94288</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94288</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94288</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20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20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162982</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163002</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220709</v>
      </c>
      <c r="C1105" s="2" t="s">
        <v>569</v>
      </c>
      <c r="D1105" s="2" t="str">
        <f t="shared" si="16"/>
        <v>Error?</v>
      </c>
    </row>
    <row r="1106" spans="1:4" x14ac:dyDescent="0.2">
      <c r="A1106" s="5">
        <v>1045</v>
      </c>
      <c r="B1106" s="1890">
        <f>'Expenditures 15-22'!K14</f>
        <v>20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220729</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0</v>
      </c>
      <c r="C1115" s="2" t="s">
        <v>569</v>
      </c>
      <c r="D1115" s="2" t="str">
        <f t="shared" si="16"/>
        <v>Error?</v>
      </c>
    </row>
    <row r="1116" spans="1:4" x14ac:dyDescent="0.2">
      <c r="A1116" s="5">
        <v>1055</v>
      </c>
      <c r="B1116" s="1890">
        <f>'Expenditures 15-22'!K44</f>
        <v>1159</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1159</v>
      </c>
      <c r="C1119" s="2" t="s">
        <v>569</v>
      </c>
      <c r="D1119" s="2" t="str">
        <f t="shared" si="16"/>
        <v>Error?</v>
      </c>
    </row>
    <row r="1120" spans="1:4" x14ac:dyDescent="0.2">
      <c r="A1120" s="5">
        <v>1059</v>
      </c>
      <c r="B1120" s="1890">
        <f>'Expenditures 15-22'!K49</f>
        <v>0</v>
      </c>
      <c r="C1120" s="2" t="s">
        <v>569</v>
      </c>
      <c r="D1120" s="2" t="str">
        <f t="shared" si="16"/>
        <v>Error?</v>
      </c>
    </row>
    <row r="1121" spans="1:4" x14ac:dyDescent="0.2">
      <c r="A1121" s="5">
        <v>1060</v>
      </c>
      <c r="B1121" s="1890">
        <f>'Expenditures 15-22'!K50</f>
        <v>0</v>
      </c>
      <c r="C1121" s="2" t="s">
        <v>569</v>
      </c>
      <c r="D1121" s="2" t="str">
        <f t="shared" si="16"/>
        <v>Error?</v>
      </c>
    </row>
    <row r="1122" spans="1:4" x14ac:dyDescent="0.2">
      <c r="A1122" s="5">
        <v>1061</v>
      </c>
      <c r="B1122" s="1890">
        <f>'Expenditures 15-22'!K53</f>
        <v>36148</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25449</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25449</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62756</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198081</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481566</v>
      </c>
      <c r="C1152" s="2" t="s">
        <v>569</v>
      </c>
      <c r="D1152" s="2" t="str">
        <f t="shared" si="17"/>
        <v>Error?</v>
      </c>
    </row>
    <row r="1153" spans="1:4" x14ac:dyDescent="0.2">
      <c r="A1153" s="5">
        <v>1092</v>
      </c>
      <c r="B1153" s="1890">
        <f>'Expenditures 15-22'!K115</f>
        <v>30876</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3100</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33976</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0</v>
      </c>
      <c r="D2009" s="2" t="str">
        <f t="shared" si="30"/>
        <v>Error?</v>
      </c>
    </row>
    <row r="2010" spans="1:4" x14ac:dyDescent="0.2">
      <c r="A2010" s="5">
        <v>1949</v>
      </c>
      <c r="B2010" s="1890">
        <f>'Cap Outlay Deprec 26'!C10</f>
        <v>2925</v>
      </c>
      <c r="D2010" s="2" t="str">
        <f t="shared" si="30"/>
        <v>Error?</v>
      </c>
    </row>
    <row r="2011" spans="1:4" x14ac:dyDescent="0.2">
      <c r="A2011" s="5">
        <v>1950</v>
      </c>
      <c r="B2011" s="1890">
        <f>'Cap Outlay Deprec 26'!C12</f>
        <v>1034541</v>
      </c>
      <c r="D2011" s="2" t="str">
        <f t="shared" si="30"/>
        <v>Error?</v>
      </c>
    </row>
    <row r="2012" spans="1:4" x14ac:dyDescent="0.2">
      <c r="A2012" s="5">
        <v>1951</v>
      </c>
      <c r="B2012" s="1890">
        <f>'Cap Outlay Deprec 26'!C13</f>
        <v>1008905</v>
      </c>
      <c r="D2012" s="2" t="str">
        <f t="shared" si="30"/>
        <v>Error?</v>
      </c>
    </row>
    <row r="2013" spans="1:4" x14ac:dyDescent="0.2">
      <c r="A2013" s="5">
        <v>1952</v>
      </c>
      <c r="B2013" s="1890">
        <f>'Cap Outlay Deprec 26'!C16</f>
        <v>2046371</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94869</v>
      </c>
      <c r="D2018" s="2" t="str">
        <f t="shared" si="30"/>
        <v>Error?</v>
      </c>
    </row>
    <row r="2019" spans="1:4" x14ac:dyDescent="0.2">
      <c r="A2019" s="5">
        <v>1958</v>
      </c>
      <c r="B2019" s="1890">
        <f>'Cap Outlay Deprec 26'!D16</f>
        <v>94869</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0</v>
      </c>
      <c r="C2027" s="2" t="s">
        <v>569</v>
      </c>
      <c r="D2027" s="2" t="str">
        <f t="shared" si="30"/>
        <v>Error?</v>
      </c>
    </row>
    <row r="2028" spans="1:4" x14ac:dyDescent="0.2">
      <c r="A2028" s="5">
        <v>1967</v>
      </c>
      <c r="B2028" s="1890">
        <f>'Cap Outlay Deprec 26'!F10</f>
        <v>2925</v>
      </c>
      <c r="C2028" s="2" t="s">
        <v>569</v>
      </c>
      <c r="D2028" s="2" t="str">
        <f t="shared" si="30"/>
        <v>Error?</v>
      </c>
    </row>
    <row r="2029" spans="1:4" x14ac:dyDescent="0.2">
      <c r="A2029" s="5">
        <v>1968</v>
      </c>
      <c r="B2029" s="1890">
        <f>'Cap Outlay Deprec 26'!F12</f>
        <v>1034541</v>
      </c>
      <c r="C2029" s="2" t="s">
        <v>569</v>
      </c>
      <c r="D2029" s="2" t="str">
        <f t="shared" si="30"/>
        <v>Error?</v>
      </c>
    </row>
    <row r="2030" spans="1:4" x14ac:dyDescent="0.2">
      <c r="A2030" s="5">
        <v>1969</v>
      </c>
      <c r="B2030" s="1890">
        <f>'Cap Outlay Deprec 26'!F13</f>
        <v>1103774</v>
      </c>
      <c r="C2030" s="2" t="s">
        <v>569</v>
      </c>
      <c r="D2030" s="2" t="str">
        <f t="shared" si="30"/>
        <v>Error?</v>
      </c>
    </row>
    <row r="2031" spans="1:4" x14ac:dyDescent="0.2">
      <c r="A2031" s="5">
        <v>1970</v>
      </c>
      <c r="B2031" s="1890">
        <f>'Cap Outlay Deprec 26'!F16</f>
        <v>2141240</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0</v>
      </c>
      <c r="D2033" s="2" t="str">
        <f t="shared" si="30"/>
        <v>Error?</v>
      </c>
    </row>
    <row r="2034" spans="1:4" x14ac:dyDescent="0.2">
      <c r="A2034" s="5">
        <v>1973</v>
      </c>
      <c r="B2034" s="1890">
        <f>'Cap Outlay Deprec 26'!H10</f>
        <v>390</v>
      </c>
      <c r="D2034" s="2" t="str">
        <f t="shared" si="30"/>
        <v>Error?</v>
      </c>
    </row>
    <row r="2035" spans="1:4" x14ac:dyDescent="0.2">
      <c r="A2035" s="5">
        <v>1974</v>
      </c>
      <c r="B2035" s="1890">
        <f>'Cap Outlay Deprec 26'!H12</f>
        <v>867651</v>
      </c>
      <c r="D2035" s="2" t="str">
        <f t="shared" si="30"/>
        <v>Error?</v>
      </c>
    </row>
    <row r="2036" spans="1:4" x14ac:dyDescent="0.2">
      <c r="A2036" s="5">
        <v>1975</v>
      </c>
      <c r="B2036" s="1890">
        <f>'Cap Outlay Deprec 26'!H13</f>
        <v>799338</v>
      </c>
      <c r="D2036" s="2" t="str">
        <f t="shared" si="30"/>
        <v>Error?</v>
      </c>
    </row>
    <row r="2037" spans="1:4" x14ac:dyDescent="0.2">
      <c r="A2037" s="5">
        <v>1976</v>
      </c>
      <c r="B2037" s="1890">
        <f>'Cap Outlay Deprec 26'!H16</f>
        <v>1667379</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0</v>
      </c>
      <c r="D2039" s="2" t="str">
        <f t="shared" si="30"/>
        <v>Error?</v>
      </c>
    </row>
    <row r="2040" spans="1:4" x14ac:dyDescent="0.2">
      <c r="A2040" s="5">
        <v>1979</v>
      </c>
      <c r="B2040" s="1890">
        <f>'Cap Outlay Deprec 26'!I10</f>
        <v>585</v>
      </c>
      <c r="D2040" s="2" t="str">
        <f t="shared" si="30"/>
        <v>Error?</v>
      </c>
    </row>
    <row r="2041" spans="1:4" x14ac:dyDescent="0.2">
      <c r="A2041" s="5">
        <v>1980</v>
      </c>
      <c r="B2041" s="1890">
        <f>'Cap Outlay Deprec 26'!I12</f>
        <v>27752</v>
      </c>
      <c r="D2041" s="2" t="str">
        <f t="shared" si="30"/>
        <v>Error?</v>
      </c>
    </row>
    <row r="2042" spans="1:4" x14ac:dyDescent="0.2">
      <c r="A2042" s="5">
        <v>1981</v>
      </c>
      <c r="B2042" s="1890">
        <f>'Cap Outlay Deprec 26'!I13</f>
        <v>82794</v>
      </c>
      <c r="D2042" s="2" t="str">
        <f t="shared" si="30"/>
        <v>Error?</v>
      </c>
    </row>
    <row r="2043" spans="1:4" x14ac:dyDescent="0.2">
      <c r="A2043" s="5">
        <v>1982</v>
      </c>
      <c r="B2043" s="1890">
        <f>'Cap Outlay Deprec 26'!I16</f>
        <v>111131</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0</v>
      </c>
      <c r="C2051" s="2" t="s">
        <v>569</v>
      </c>
      <c r="D2051" s="2" t="str">
        <f t="shared" si="31"/>
        <v>Error?</v>
      </c>
    </row>
    <row r="2052" spans="1:4" x14ac:dyDescent="0.2">
      <c r="A2052" s="5">
        <v>1991</v>
      </c>
      <c r="B2052" s="1890">
        <f>'Cap Outlay Deprec 26'!K10</f>
        <v>975</v>
      </c>
      <c r="C2052" s="2" t="s">
        <v>569</v>
      </c>
      <c r="D2052" s="2" t="str">
        <f t="shared" si="31"/>
        <v>Error?</v>
      </c>
    </row>
    <row r="2053" spans="1:4" x14ac:dyDescent="0.2">
      <c r="A2053" s="5">
        <v>1992</v>
      </c>
      <c r="B2053" s="1890">
        <f>'Cap Outlay Deprec 26'!K12</f>
        <v>895403</v>
      </c>
      <c r="C2053" s="2" t="s">
        <v>569</v>
      </c>
      <c r="D2053" s="2" t="str">
        <f t="shared" si="31"/>
        <v>Error?</v>
      </c>
    </row>
    <row r="2054" spans="1:4" x14ac:dyDescent="0.2">
      <c r="A2054" s="5">
        <v>1993</v>
      </c>
      <c r="B2054" s="1890">
        <f>'Cap Outlay Deprec 26'!K13</f>
        <v>882132</v>
      </c>
      <c r="C2054" s="2" t="s">
        <v>569</v>
      </c>
      <c r="D2054" s="2" t="str">
        <f t="shared" si="31"/>
        <v>Error?</v>
      </c>
    </row>
    <row r="2055" spans="1:4" x14ac:dyDescent="0.2">
      <c r="A2055" s="5">
        <v>1994</v>
      </c>
      <c r="B2055" s="1890">
        <f>'Cap Outlay Deprec 26'!K16</f>
        <v>1778510</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0</v>
      </c>
      <c r="C2057" s="2" t="s">
        <v>569</v>
      </c>
      <c r="D2057" s="2" t="str">
        <f t="shared" si="31"/>
        <v>Error?</v>
      </c>
    </row>
    <row r="2058" spans="1:4" x14ac:dyDescent="0.2">
      <c r="A2058" s="5">
        <v>1997</v>
      </c>
      <c r="B2058" s="1890">
        <f>'Cap Outlay Deprec 26'!L10</f>
        <v>1950</v>
      </c>
      <c r="C2058" s="2" t="s">
        <v>569</v>
      </c>
      <c r="D2058" s="2" t="str">
        <f t="shared" si="31"/>
        <v>Error?</v>
      </c>
    </row>
    <row r="2059" spans="1:4" x14ac:dyDescent="0.2">
      <c r="A2059" s="5">
        <v>1998</v>
      </c>
      <c r="B2059" s="1890">
        <f>'Cap Outlay Deprec 26'!L12</f>
        <v>139138</v>
      </c>
      <c r="C2059" s="2" t="s">
        <v>569</v>
      </c>
      <c r="D2059" s="2" t="str">
        <f t="shared" si="31"/>
        <v>Error?</v>
      </c>
    </row>
    <row r="2060" spans="1:4" x14ac:dyDescent="0.2">
      <c r="A2060" s="5">
        <v>1999</v>
      </c>
      <c r="B2060" s="1890">
        <f>'Cap Outlay Deprec 26'!L13</f>
        <v>221642</v>
      </c>
      <c r="C2060" s="2" t="s">
        <v>569</v>
      </c>
      <c r="D2060" s="2" t="str">
        <f t="shared" si="31"/>
        <v>Error?</v>
      </c>
    </row>
    <row r="2061" spans="1:4" x14ac:dyDescent="0.2">
      <c r="A2061" s="5">
        <v>2000</v>
      </c>
      <c r="B2061" s="1890">
        <f>'Cap Outlay Deprec 26'!L16</f>
        <v>362730</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162982</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198081</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28</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413449</v>
      </c>
      <c r="C2553" s="2" t="s">
        <v>569</v>
      </c>
      <c r="D2553" s="2" t="str">
        <f t="shared" si="38"/>
        <v>Error?</v>
      </c>
    </row>
    <row r="2554" spans="1:4" x14ac:dyDescent="0.2">
      <c r="A2554" s="5">
        <v>2493</v>
      </c>
      <c r="B2554" s="1890">
        <f>'Acct Summary 7-8'!C7</f>
        <v>98965</v>
      </c>
      <c r="C2554" s="2" t="s">
        <v>569</v>
      </c>
      <c r="D2554" s="2" t="str">
        <f t="shared" si="38"/>
        <v>Error?</v>
      </c>
    </row>
    <row r="2555" spans="1:4" x14ac:dyDescent="0.2">
      <c r="A2555" s="5">
        <v>2494</v>
      </c>
      <c r="B2555" s="1890">
        <f>'Acct Summary 7-8'!C8</f>
        <v>512442</v>
      </c>
      <c r="C2555" s="2" t="s">
        <v>569</v>
      </c>
      <c r="D2555" s="2" t="str">
        <f t="shared" si="38"/>
        <v>Error?</v>
      </c>
    </row>
    <row r="2556" spans="1:4" x14ac:dyDescent="0.2">
      <c r="A2556" s="5">
        <v>2495</v>
      </c>
      <c r="B2556" s="1890">
        <f>'Acct Summary 7-8'!C12</f>
        <v>220729</v>
      </c>
      <c r="C2556" s="2" t="s">
        <v>569</v>
      </c>
      <c r="D2556" s="2" t="str">
        <f t="shared" si="38"/>
        <v>Error?</v>
      </c>
    </row>
    <row r="2557" spans="1:4" x14ac:dyDescent="0.2">
      <c r="A2557" s="5">
        <v>2496</v>
      </c>
      <c r="B2557" s="1890">
        <f>'Acct Summary 7-8'!C13</f>
        <v>62756</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198081</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481566</v>
      </c>
      <c r="C2561" s="2" t="s">
        <v>569</v>
      </c>
      <c r="D2561" s="2" t="str">
        <f t="shared" si="39"/>
        <v>Error?</v>
      </c>
    </row>
    <row r="2562" spans="1:4" x14ac:dyDescent="0.2">
      <c r="A2562" s="5">
        <v>2501</v>
      </c>
      <c r="B2562" s="1890">
        <f>'Acct Summary 7-8'!C20</f>
        <v>30876</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16746</v>
      </c>
      <c r="D2718" s="2" t="str">
        <f t="shared" si="41"/>
        <v>Error?</v>
      </c>
    </row>
    <row r="2719" spans="1:4" x14ac:dyDescent="0.2">
      <c r="A2719" s="5">
        <v>2658</v>
      </c>
      <c r="B2719" s="1890">
        <f>'Expenditures 15-22'!D51</f>
        <v>4572</v>
      </c>
      <c r="D2719" s="2" t="str">
        <f t="shared" si="41"/>
        <v>Error?</v>
      </c>
    </row>
    <row r="2720" spans="1:4" x14ac:dyDescent="0.2">
      <c r="A2720" s="5">
        <v>2659</v>
      </c>
      <c r="B2720" s="1890">
        <f>'Expenditures 15-22'!E51</f>
        <v>14584</v>
      </c>
      <c r="D2720" s="2" t="str">
        <f t="shared" si="41"/>
        <v>Error?</v>
      </c>
    </row>
    <row r="2721" spans="1:4" x14ac:dyDescent="0.2">
      <c r="A2721" s="5">
        <v>2660</v>
      </c>
      <c r="B2721" s="1890">
        <f>'Expenditures 15-22'!F51</f>
        <v>246</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36148</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35099</v>
      </c>
      <c r="C2789" s="2" t="s">
        <v>569</v>
      </c>
      <c r="D2789" s="2" t="str">
        <f t="shared" si="42"/>
        <v>Error?</v>
      </c>
    </row>
    <row r="2790" spans="1:4" x14ac:dyDescent="0.2">
      <c r="A2790" s="5">
        <v>2729</v>
      </c>
      <c r="B2790" s="1890">
        <f>'Expenditures 15-22'!E102</f>
        <v>35099</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569</v>
      </c>
      <c r="D2916" s="2" t="str">
        <f t="shared" si="44"/>
        <v>Error?</v>
      </c>
    </row>
    <row r="2917" spans="1:4" x14ac:dyDescent="0.2">
      <c r="A2917" s="5">
        <v>2856</v>
      </c>
      <c r="B2917" s="1890">
        <f>'Assets-Liab 5-6'!L41</f>
        <v>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35099</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162982</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198081</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30876</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40113</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38716</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551158</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38716</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520282</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33976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98965</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28</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28</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0</v>
      </c>
      <c r="C5120" s="2" t="s">
        <v>569</v>
      </c>
      <c r="D5120" s="2" t="str">
        <f t="shared" si="79"/>
        <v>Error?</v>
      </c>
    </row>
    <row r="5121" spans="1:4" x14ac:dyDescent="0.2">
      <c r="A5121" s="5">
        <v>5060</v>
      </c>
      <c r="B5121" s="1890">
        <f>'Revenues 9-14'!C109</f>
        <v>28</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413449</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413449</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413449</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413449</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98965</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98965</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98965</v>
      </c>
      <c r="C5326" s="2" t="s">
        <v>569</v>
      </c>
      <c r="D5326" s="2" t="str">
        <f t="shared" si="82"/>
        <v>Error?</v>
      </c>
    </row>
    <row r="5327" spans="1:5" x14ac:dyDescent="0.2">
      <c r="A5327" s="5">
        <v>5266</v>
      </c>
      <c r="B5327" s="1890">
        <f>'Revenues 9-14'!C268</f>
        <v>512442</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15451</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6137</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30876</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0.90875912408759119</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111131</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0</v>
      </c>
      <c r="D7817" s="2" t="str">
        <f t="shared" si="128"/>
        <v>Error?</v>
      </c>
      <c r="E7817" s="4" t="s">
        <v>1969</v>
      </c>
    </row>
    <row r="7818" spans="1:5" x14ac:dyDescent="0.2">
      <c r="A7818">
        <v>7757</v>
      </c>
      <c r="B7818" s="1890">
        <f>'PCTC-OEPP 27-28'!F172</f>
        <v>154190</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481566</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292369</v>
      </c>
      <c r="D7834" s="2" t="str">
        <f t="shared" si="129"/>
        <v>Error?</v>
      </c>
      <c r="E7834" s="4" t="s">
        <v>2001</v>
      </c>
    </row>
    <row r="7835" spans="1:5" x14ac:dyDescent="0.2">
      <c r="A7835">
        <v>7774</v>
      </c>
      <c r="B7835" s="1890">
        <f>'PCTC-OEPP 27-28'!F78</f>
        <v>189197</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t="str">
        <f>'PCTC-OEPP 27-28'!F80</f>
        <v xml:space="preserve"> Complete Line 79</v>
      </c>
      <c r="D7837" s="2" t="e">
        <f t="shared" si="129"/>
        <v>#VALUE!</v>
      </c>
      <c r="E7837" s="4" t="s">
        <v>2001</v>
      </c>
    </row>
    <row r="7838" spans="1:5" x14ac:dyDescent="0.2">
      <c r="A7838">
        <v>7777</v>
      </c>
      <c r="B7838" s="1890">
        <f>'PCTC-OEPP 27-28'!F96</f>
        <v>0</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413449</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0</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0</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98965</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0</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666604</v>
      </c>
      <c r="D7877" s="2" t="str">
        <f t="shared" si="129"/>
        <v>Error?</v>
      </c>
      <c r="E7877" s="4" t="s">
        <v>2001</v>
      </c>
    </row>
    <row r="7878" spans="1:5" x14ac:dyDescent="0.2">
      <c r="A7878">
        <v>7817</v>
      </c>
      <c r="B7878" s="1890">
        <f>'PCTC-OEPP 27-28'!F176</f>
        <v>-477407</v>
      </c>
      <c r="D7878" s="2" t="str">
        <f t="shared" si="129"/>
        <v>Error?</v>
      </c>
      <c r="E7878" s="4" t="s">
        <v>2001</v>
      </c>
    </row>
    <row r="7879" spans="1:5" x14ac:dyDescent="0.2">
      <c r="A7879">
        <v>7818</v>
      </c>
      <c r="B7879" s="1890">
        <f>'PCTC-OEPP 27-28'!F178</f>
        <v>-366276</v>
      </c>
      <c r="D7879" s="2" t="str">
        <f t="shared" si="129"/>
        <v>Error?</v>
      </c>
      <c r="E7879" s="4" t="s">
        <v>2001</v>
      </c>
    </row>
    <row r="7880" spans="1:5" x14ac:dyDescent="0.2">
      <c r="A7880">
        <v>7819</v>
      </c>
      <c r="B7880" s="1890" t="e">
        <f>'PCTC-OEPP 27-28'!F180</f>
        <v>#DIV/0!</v>
      </c>
      <c r="D7880" s="2" t="e">
        <f t="shared" si="129"/>
        <v>#DIV/0!</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T37" sqref="T37"/>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4" t="s">
        <v>1183</v>
      </c>
      <c r="B2" s="2444"/>
      <c r="C2" s="2444"/>
      <c r="D2" s="2444"/>
      <c r="E2" s="2444"/>
      <c r="F2" s="2444"/>
      <c r="G2" s="2444"/>
      <c r="H2" s="2444"/>
      <c r="I2" s="2444"/>
      <c r="J2" s="2444"/>
      <c r="K2" s="2444"/>
      <c r="L2" s="2444"/>
    </row>
    <row r="3" spans="1:29" ht="13.5" customHeight="1" x14ac:dyDescent="0.2">
      <c r="A3" s="2476" t="s">
        <v>1182</v>
      </c>
      <c r="B3" s="2476"/>
      <c r="C3" s="2476"/>
      <c r="D3" s="2476"/>
      <c r="E3" s="2476"/>
      <c r="F3" s="2476"/>
      <c r="G3" s="2476"/>
      <c r="H3" s="2476"/>
      <c r="I3" s="2476"/>
      <c r="J3" s="2476"/>
      <c r="K3" s="2476"/>
      <c r="L3" s="2476"/>
    </row>
    <row r="4" spans="1:29" ht="13.5" customHeight="1" x14ac:dyDescent="0.2">
      <c r="A4" s="2465" t="str">
        <f>"Year Ending June 30, "&amp;'AFR20'!E2</f>
        <v>Year Ending June 30, 2020</v>
      </c>
      <c r="B4" s="2466"/>
      <c r="C4" s="2466"/>
      <c r="D4" s="2466"/>
      <c r="E4" s="2466"/>
      <c r="F4" s="2466"/>
      <c r="G4" s="2466"/>
      <c r="H4" s="2466"/>
      <c r="I4" s="2466"/>
      <c r="J4" s="2466"/>
      <c r="K4" s="2466"/>
      <c r="L4" s="246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7" t="str">
        <f>COVER!A17</f>
        <v>Okaw Area Vocational System</v>
      </c>
      <c r="B7" s="2468"/>
      <c r="C7" s="2468"/>
      <c r="D7" s="2469"/>
      <c r="E7" s="2470">
        <f>COVER!A13</f>
        <v>45000000046</v>
      </c>
      <c r="F7" s="2471"/>
      <c r="G7" s="2477" t="str">
        <f>COVER!T23</f>
        <v>065-026956</v>
      </c>
      <c r="H7" s="2478"/>
      <c r="I7" s="2478"/>
      <c r="J7" s="2478"/>
      <c r="K7" s="2478"/>
      <c r="L7" s="247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80"/>
      <c r="B9" s="2481"/>
      <c r="C9" s="2481"/>
      <c r="D9" s="2481"/>
      <c r="E9" s="2481"/>
      <c r="F9" s="2482"/>
      <c r="G9" s="2450" t="str">
        <f>COVER!T13</f>
        <v>Scheffel Boyle CPA's</v>
      </c>
      <c r="H9" s="2483"/>
      <c r="I9" s="2483"/>
      <c r="J9" s="2483"/>
      <c r="K9" s="2483"/>
      <c r="L9" s="2484"/>
    </row>
    <row r="10" spans="1:29" ht="13.5" customHeight="1" x14ac:dyDescent="0.2">
      <c r="A10" s="2456" t="str">
        <f>COVER!A38</f>
        <v>Dr. Thomas Springborn</v>
      </c>
      <c r="B10" s="2457"/>
      <c r="C10" s="2457"/>
      <c r="D10" s="2457"/>
      <c r="E10" s="2457"/>
      <c r="F10" s="2458"/>
      <c r="G10" s="2450" t="str">
        <f>COVER!T17</f>
        <v>222 E Main Street</v>
      </c>
      <c r="H10" s="2451"/>
      <c r="I10" s="2451"/>
      <c r="J10" s="2451"/>
      <c r="K10" s="2451"/>
      <c r="L10" s="2452"/>
    </row>
    <row r="11" spans="1:29" ht="13.5" customHeight="1" x14ac:dyDescent="0.2">
      <c r="A11" s="1008" t="s">
        <v>1505</v>
      </c>
      <c r="B11" s="1009"/>
      <c r="C11" s="1010"/>
      <c r="D11" s="1015"/>
      <c r="E11" s="1010"/>
      <c r="F11" s="1014"/>
      <c r="G11" s="2450" t="str">
        <f>COVER!T19</f>
        <v>Belleville</v>
      </c>
      <c r="H11" s="2451"/>
      <c r="I11" s="2451"/>
      <c r="J11" s="2451"/>
      <c r="K11" s="2451"/>
      <c r="L11" s="2452"/>
    </row>
    <row r="12" spans="1:29" ht="13.5" customHeight="1" x14ac:dyDescent="0.2">
      <c r="A12" s="2459" t="s">
        <v>1504</v>
      </c>
      <c r="B12" s="2460"/>
      <c r="C12" s="2460"/>
      <c r="D12" s="2460"/>
      <c r="E12" s="2460"/>
      <c r="F12" s="2461"/>
      <c r="G12" s="2453"/>
      <c r="H12" s="2454"/>
      <c r="I12" s="2454"/>
      <c r="J12" s="2454"/>
      <c r="K12" s="2454"/>
      <c r="L12" s="2455"/>
    </row>
    <row r="13" spans="1:29" ht="13.5" customHeight="1" x14ac:dyDescent="0.2">
      <c r="A13" s="2450"/>
      <c r="B13" s="2451"/>
      <c r="C13" s="2451"/>
      <c r="D13" s="2451"/>
      <c r="E13" s="2451"/>
      <c r="F13" s="2452"/>
      <c r="G13" s="2445" t="s">
        <v>1506</v>
      </c>
      <c r="H13" s="2446"/>
      <c r="I13" s="2462">
        <f>COVER!T25</f>
        <v>0</v>
      </c>
      <c r="J13" s="2463"/>
      <c r="K13" s="2463"/>
      <c r="L13" s="2464"/>
    </row>
    <row r="14" spans="1:29" ht="13.5" customHeight="1" x14ac:dyDescent="0.2">
      <c r="A14" s="2450" t="str">
        <f>COVER!A19</f>
        <v>#1 Taylor Street, Room 101</v>
      </c>
      <c r="B14" s="2451"/>
      <c r="C14" s="2451"/>
      <c r="D14" s="2451"/>
      <c r="E14" s="2451"/>
      <c r="F14" s="2452"/>
      <c r="G14" s="1019" t="s">
        <v>1177</v>
      </c>
      <c r="H14" s="1017"/>
      <c r="I14" s="1017"/>
      <c r="J14" s="1017"/>
      <c r="K14" s="1017"/>
      <c r="L14" s="1018"/>
    </row>
    <row r="15" spans="1:29" ht="13.5" customHeight="1" x14ac:dyDescent="0.2">
      <c r="A15" s="2450" t="str">
        <f>COVER!A21</f>
        <v>Chester</v>
      </c>
      <c r="B15" s="2451"/>
      <c r="C15" s="2451"/>
      <c r="D15" s="2451"/>
      <c r="E15" s="2451"/>
      <c r="F15" s="2452"/>
      <c r="G15" s="2447" t="str">
        <f>COVER!T15</f>
        <v>Dale Holtmann, CPA</v>
      </c>
      <c r="H15" s="2448"/>
      <c r="I15" s="2448"/>
      <c r="J15" s="2448"/>
      <c r="K15" s="2448"/>
      <c r="L15" s="2449"/>
    </row>
    <row r="16" spans="1:29" ht="12.2" customHeight="1" x14ac:dyDescent="0.2">
      <c r="A16" s="2473">
        <f>COVER!A25</f>
        <v>62223</v>
      </c>
      <c r="B16" s="2474"/>
      <c r="C16" s="2474"/>
      <c r="D16" s="2474"/>
      <c r="E16" s="2474"/>
      <c r="F16" s="2475"/>
      <c r="G16" s="2485"/>
      <c r="H16" s="2486"/>
      <c r="I16" s="2486"/>
      <c r="J16" s="2486"/>
      <c r="K16" s="2486"/>
      <c r="L16" s="2487"/>
    </row>
    <row r="17" spans="1:13" ht="12.2" customHeight="1" x14ac:dyDescent="0.2">
      <c r="A17" s="2488"/>
      <c r="B17" s="2474"/>
      <c r="C17" s="2474"/>
      <c r="D17" s="2474"/>
      <c r="E17" s="2474"/>
      <c r="F17" s="2475"/>
      <c r="G17" s="1019" t="s">
        <v>1176</v>
      </c>
      <c r="H17" s="1017"/>
      <c r="I17" s="1017"/>
      <c r="J17" s="1017"/>
      <c r="K17" s="1021" t="s">
        <v>1175</v>
      </c>
      <c r="L17" s="1014"/>
      <c r="M17" s="1007"/>
    </row>
    <row r="18" spans="1:13" ht="12.2" customHeight="1" x14ac:dyDescent="0.2">
      <c r="A18" s="2456"/>
      <c r="B18" s="2457"/>
      <c r="C18" s="2457"/>
      <c r="D18" s="2457"/>
      <c r="E18" s="2457"/>
      <c r="F18" s="2458"/>
      <c r="G18" s="2467" t="str">
        <f>COVER!T21</f>
        <v>618-277-8100</v>
      </c>
      <c r="H18" s="2468"/>
      <c r="I18" s="2468"/>
      <c r="J18" s="2468"/>
      <c r="K18" s="2467" t="str">
        <f>COVER!X21</f>
        <v>618-277-9307</v>
      </c>
      <c r="L18" s="247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T37" sqref="T37"/>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9" t="str">
        <f>'Single Audit Cover'!A7</f>
        <v>Okaw Area Vocational System</v>
      </c>
      <c r="B1" s="2490"/>
      <c r="C1" s="2490"/>
      <c r="D1" s="2490"/>
    </row>
    <row r="2" spans="1:11" s="1036" customFormat="1" ht="12.75" x14ac:dyDescent="0.2">
      <c r="A2" s="2491">
        <f>'Single Audit Cover'!E7</f>
        <v>45000000046</v>
      </c>
      <c r="B2" s="2492"/>
      <c r="C2" s="2492"/>
      <c r="D2" s="2492"/>
    </row>
    <row r="3" spans="1:11" s="1036" customFormat="1" ht="12.75" x14ac:dyDescent="0.2">
      <c r="A3" s="2489" t="s">
        <v>1499</v>
      </c>
      <c r="B3" s="2490"/>
      <c r="C3" s="2490"/>
      <c r="D3" s="2490"/>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T37" sqref="T37"/>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4" t="str">
        <f>'Single Audit Cover'!A7</f>
        <v>Okaw Area Vocational System</v>
      </c>
      <c r="B1" s="2494"/>
      <c r="C1" s="2494"/>
      <c r="D1" s="2494"/>
      <c r="E1" s="2494"/>
    </row>
    <row r="2" spans="1:5" x14ac:dyDescent="0.2">
      <c r="A2" s="2495">
        <f>'Single Audit Cover'!E7</f>
        <v>45000000046</v>
      </c>
      <c r="B2" s="2495"/>
      <c r="C2" s="2495"/>
      <c r="D2" s="2495"/>
      <c r="E2" s="2495"/>
    </row>
    <row r="3" spans="1:5" ht="4.5" customHeight="1" x14ac:dyDescent="0.2"/>
    <row r="4" spans="1:5" x14ac:dyDescent="0.2">
      <c r="A4" s="2494" t="s">
        <v>1236</v>
      </c>
      <c r="B4" s="2494"/>
      <c r="C4" s="2494"/>
      <c r="D4" s="2494"/>
      <c r="E4" s="2494"/>
    </row>
    <row r="5" spans="1:5" x14ac:dyDescent="0.2">
      <c r="A5" s="2497" t="str">
        <f>'Single Audit Cover'!A4</f>
        <v>Year Ending June 30, 2020</v>
      </c>
      <c r="B5" s="2497"/>
      <c r="C5" s="2497"/>
      <c r="D5" s="2497"/>
      <c r="E5" s="2497"/>
    </row>
    <row r="6" spans="1:5" x14ac:dyDescent="0.2">
      <c r="A6" s="2494" t="s">
        <v>1235</v>
      </c>
      <c r="B6" s="2494"/>
      <c r="C6" s="2494"/>
      <c r="D6" s="2494"/>
      <c r="E6" s="2494"/>
    </row>
    <row r="8" spans="1:5" x14ac:dyDescent="0.2">
      <c r="A8" s="1081" t="s">
        <v>1234</v>
      </c>
    </row>
    <row r="10" spans="1:5" x14ac:dyDescent="0.2">
      <c r="A10" s="1082" t="s">
        <v>1233</v>
      </c>
      <c r="B10" s="1083" t="s">
        <v>1232</v>
      </c>
      <c r="C10" s="1083"/>
      <c r="D10" s="1084">
        <f>SUM('Acct Summary 7-8'!C7:K7)</f>
        <v>98965</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15451</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114416</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6"/>
      <c r="B24" s="2496"/>
      <c r="D24" s="1089"/>
    </row>
    <row r="25" spans="1:4" x14ac:dyDescent="0.2">
      <c r="A25" s="2493"/>
      <c r="B25" s="2493"/>
      <c r="D25" s="1089"/>
    </row>
    <row r="26" spans="1:4" x14ac:dyDescent="0.2">
      <c r="A26" s="2493"/>
      <c r="B26" s="2493"/>
      <c r="D26" s="1089"/>
    </row>
    <row r="27" spans="1:4" x14ac:dyDescent="0.2">
      <c r="A27" s="2493"/>
      <c r="B27" s="2493"/>
      <c r="D27" s="1089"/>
    </row>
    <row r="28" spans="1:4" x14ac:dyDescent="0.2">
      <c r="A28" s="2493"/>
      <c r="B28" s="2493"/>
      <c r="D28" s="1089"/>
    </row>
    <row r="29" spans="1:4" x14ac:dyDescent="0.2">
      <c r="A29" s="2493"/>
      <c r="B29" s="2493"/>
      <c r="D29" s="1089"/>
    </row>
    <row r="30" spans="1:4" x14ac:dyDescent="0.2">
      <c r="A30" s="2493"/>
      <c r="B30" s="2493"/>
      <c r="D30" s="1089"/>
    </row>
    <row r="32" spans="1:4" x14ac:dyDescent="0.2">
      <c r="A32" s="1081" t="s">
        <v>1224</v>
      </c>
      <c r="D32" s="1084">
        <f>SUM(D19:D30)</f>
        <v>114416</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493"/>
      <c r="B40" s="2493"/>
      <c r="D40" s="1089"/>
    </row>
    <row r="41" spans="1:4" x14ac:dyDescent="0.2">
      <c r="A41" s="2493"/>
      <c r="B41" s="2493"/>
      <c r="D41" s="1092"/>
    </row>
    <row r="42" spans="1:4" x14ac:dyDescent="0.2">
      <c r="A42" s="2493"/>
      <c r="B42" s="2493"/>
      <c r="D42" s="1092"/>
    </row>
    <row r="43" spans="1:4" x14ac:dyDescent="0.2">
      <c r="A43" s="2493"/>
      <c r="B43" s="2493"/>
      <c r="D43" s="1092"/>
    </row>
    <row r="44" spans="1:4" x14ac:dyDescent="0.2">
      <c r="A44" s="2493"/>
      <c r="B44" s="2493"/>
      <c r="D44" s="1092"/>
    </row>
    <row r="45" spans="1:4" x14ac:dyDescent="0.2">
      <c r="A45" s="2493"/>
      <c r="B45" s="2493"/>
      <c r="D45" s="1092"/>
    </row>
    <row r="47" spans="1:4" x14ac:dyDescent="0.2">
      <c r="B47" s="1093" t="s">
        <v>1218</v>
      </c>
      <c r="C47" s="1093"/>
      <c r="D47" s="1094">
        <f>SUM(D35:D45)</f>
        <v>0</v>
      </c>
    </row>
    <row r="49" spans="2:4" x14ac:dyDescent="0.2">
      <c r="B49" s="1093" t="s">
        <v>1217</v>
      </c>
      <c r="C49" s="1093"/>
      <c r="D49" s="1094">
        <f>D32-D47</f>
        <v>114416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T37" sqref="T37"/>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6" t="str">
        <f>'Single Audit Cover'!A7</f>
        <v>Okaw Area Vocational System</v>
      </c>
      <c r="C1" s="2498"/>
      <c r="D1" s="2498"/>
      <c r="E1" s="2498"/>
      <c r="F1" s="2498"/>
      <c r="G1" s="2498"/>
      <c r="H1" s="2498"/>
      <c r="I1" s="2498"/>
      <c r="J1" s="2498"/>
      <c r="K1" s="2498"/>
      <c r="L1" s="2498"/>
      <c r="M1" s="2498"/>
    </row>
    <row r="2" spans="2:14" ht="15" x14ac:dyDescent="0.2">
      <c r="B2" s="2499">
        <f>'Single Audit Cover'!E7</f>
        <v>45000000046</v>
      </c>
      <c r="C2" s="2499"/>
      <c r="D2" s="2499"/>
      <c r="E2" s="2499"/>
      <c r="F2" s="2499"/>
      <c r="G2" s="2499"/>
      <c r="H2" s="2499"/>
      <c r="I2" s="2499"/>
      <c r="J2" s="2499"/>
      <c r="K2" s="2499"/>
      <c r="L2" s="2499"/>
      <c r="M2" s="2499"/>
      <c r="N2" s="1123"/>
    </row>
    <row r="3" spans="2:14" ht="15" x14ac:dyDescent="0.2">
      <c r="B3" s="2500" t="s">
        <v>1210</v>
      </c>
      <c r="C3" s="2500"/>
      <c r="D3" s="2500"/>
      <c r="E3" s="2500"/>
      <c r="F3" s="2500"/>
      <c r="G3" s="2500"/>
      <c r="H3" s="2500"/>
      <c r="I3" s="2500"/>
      <c r="J3" s="2500"/>
      <c r="K3" s="2500"/>
      <c r="L3" s="2500"/>
      <c r="M3" s="2500"/>
      <c r="N3" s="1123"/>
    </row>
    <row r="4" spans="2:14" ht="15" x14ac:dyDescent="0.2">
      <c r="B4" s="2501" t="str">
        <f>'Single Audit Cover'!A4</f>
        <v>Year Ending June 30, 2020</v>
      </c>
      <c r="C4" s="2501"/>
      <c r="D4" s="2501"/>
      <c r="E4" s="2501"/>
      <c r="F4" s="2501"/>
      <c r="G4" s="2501"/>
      <c r="H4" s="2501"/>
      <c r="I4" s="2501"/>
      <c r="J4" s="2501"/>
      <c r="K4" s="2501"/>
      <c r="L4" s="2501"/>
      <c r="M4" s="2501"/>
      <c r="N4" s="1123"/>
    </row>
    <row r="5" spans="2:14" x14ac:dyDescent="0.2">
      <c r="H5" s="1982"/>
      <c r="J5" s="1982"/>
    </row>
    <row r="6" spans="2:14" x14ac:dyDescent="0.2">
      <c r="B6" s="1124"/>
      <c r="C6" s="1125"/>
      <c r="D6" s="1126" t="s">
        <v>1256</v>
      </c>
      <c r="E6" s="1127" t="s">
        <v>524</v>
      </c>
      <c r="F6" s="1128"/>
      <c r="G6" s="1129" t="s">
        <v>1714</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T37" sqref="T3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11" t="str">
        <f>'Single Audit Cover'!A7</f>
        <v>Okaw Area Vocational System</v>
      </c>
      <c r="B1" s="2511"/>
      <c r="C1" s="2511"/>
      <c r="D1" s="2511"/>
      <c r="E1" s="2511"/>
      <c r="F1" s="2511"/>
    </row>
    <row r="2" spans="1:7" ht="13.5" customHeight="1" x14ac:dyDescent="0.2">
      <c r="A2" s="2499">
        <f>'Single Audit Cover'!E7</f>
        <v>45000000046</v>
      </c>
      <c r="B2" s="2499"/>
      <c r="C2" s="2499"/>
      <c r="D2" s="2499"/>
      <c r="E2" s="2499"/>
      <c r="F2" s="2499"/>
      <c r="G2" s="1096"/>
    </row>
    <row r="3" spans="1:7" ht="15.75" customHeight="1" x14ac:dyDescent="0.2">
      <c r="A3" s="2512" t="s">
        <v>1262</v>
      </c>
      <c r="B3" s="2512"/>
      <c r="C3" s="2512"/>
      <c r="D3" s="2512"/>
      <c r="E3" s="2512"/>
      <c r="F3" s="2512"/>
    </row>
    <row r="4" spans="1:7" ht="13.5" customHeight="1" x14ac:dyDescent="0.2">
      <c r="A4" s="2513" t="str">
        <f>'Single Audit Cover'!A4</f>
        <v>Year Ending June 30, 2020</v>
      </c>
      <c r="B4" s="2513"/>
      <c r="C4" s="2513"/>
      <c r="D4" s="2513"/>
      <c r="E4" s="2513"/>
      <c r="F4" s="2513"/>
    </row>
    <row r="5" spans="1:7" ht="8.25" customHeight="1" x14ac:dyDescent="0.2">
      <c r="C5" s="295"/>
      <c r="D5" s="295"/>
    </row>
    <row r="6" spans="1:7" ht="13.5" customHeight="1" x14ac:dyDescent="0.2">
      <c r="A6" s="1097" t="s">
        <v>1708</v>
      </c>
      <c r="C6" s="295"/>
      <c r="D6" s="295"/>
    </row>
    <row r="7" spans="1:7" ht="60.95" customHeight="1" x14ac:dyDescent="0.2">
      <c r="A7" s="2510" t="s">
        <v>1709</v>
      </c>
      <c r="B7" s="2510"/>
      <c r="C7" s="2510"/>
      <c r="D7" s="2510"/>
      <c r="E7" s="2510"/>
      <c r="F7" s="251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10" t="s">
        <v>1711</v>
      </c>
      <c r="B13" s="2510"/>
      <c r="C13" s="2510"/>
      <c r="D13" s="2510"/>
      <c r="E13" s="2510"/>
      <c r="F13" s="2510"/>
    </row>
    <row r="14" spans="1:7" ht="9.75" customHeight="1" x14ac:dyDescent="0.2">
      <c r="C14" s="1081"/>
      <c r="D14" s="1081"/>
    </row>
    <row r="15" spans="1:7" ht="13.5" customHeight="1" x14ac:dyDescent="0.2">
      <c r="C15" s="1525" t="s">
        <v>1261</v>
      </c>
      <c r="D15" s="2508" t="s">
        <v>1260</v>
      </c>
      <c r="E15" s="2508"/>
      <c r="F15" s="2508"/>
    </row>
    <row r="16" spans="1:7" ht="13.5" customHeight="1" x14ac:dyDescent="0.2">
      <c r="A16" s="1103"/>
      <c r="B16" s="1097" t="s">
        <v>1259</v>
      </c>
      <c r="C16" s="1525" t="s">
        <v>1258</v>
      </c>
      <c r="D16" s="2509" t="s">
        <v>1574</v>
      </c>
      <c r="E16" s="2509"/>
      <c r="F16" s="2509"/>
    </row>
    <row r="17" spans="1:6" ht="20.45" customHeight="1" x14ac:dyDescent="0.2">
      <c r="A17" s="1104"/>
      <c r="B17" s="1105"/>
      <c r="C17" s="1106"/>
      <c r="D17" s="2503"/>
      <c r="E17" s="2503"/>
      <c r="F17" s="2503"/>
    </row>
    <row r="18" spans="1:6" ht="20.65" customHeight="1" x14ac:dyDescent="0.2">
      <c r="A18" s="1104"/>
      <c r="B18" s="1105"/>
      <c r="C18" s="1106"/>
      <c r="D18" s="2503"/>
      <c r="E18" s="2503"/>
      <c r="F18" s="2503"/>
    </row>
    <row r="19" spans="1:6" ht="20.65" customHeight="1" x14ac:dyDescent="0.2">
      <c r="A19" s="1104"/>
      <c r="B19" s="1105"/>
      <c r="C19" s="1106"/>
      <c r="D19" s="2503"/>
      <c r="E19" s="2503"/>
      <c r="F19" s="2503"/>
    </row>
    <row r="20" spans="1:6" ht="20.65" customHeight="1" x14ac:dyDescent="0.2">
      <c r="A20" s="1104"/>
      <c r="B20" s="1105"/>
      <c r="C20" s="1106"/>
      <c r="D20" s="2503"/>
      <c r="E20" s="2503"/>
      <c r="F20" s="2503"/>
    </row>
    <row r="21" spans="1:6" ht="20.65" customHeight="1" x14ac:dyDescent="0.2">
      <c r="A21" s="1104"/>
      <c r="B21" s="1105"/>
      <c r="C21" s="1106"/>
      <c r="D21" s="2503"/>
      <c r="E21" s="2503"/>
      <c r="F21" s="2503"/>
    </row>
    <row r="22" spans="1:6" ht="20.65" customHeight="1" x14ac:dyDescent="0.2">
      <c r="A22" s="1104"/>
      <c r="B22" s="1105"/>
      <c r="C22" s="1106"/>
      <c r="D22" s="2503"/>
      <c r="E22" s="2503"/>
      <c r="F22" s="2503"/>
    </row>
    <row r="23" spans="1:6" ht="20.65" customHeight="1" x14ac:dyDescent="0.2">
      <c r="A23" s="1104"/>
      <c r="B23" s="1105"/>
      <c r="C23" s="1106"/>
      <c r="D23" s="2503"/>
      <c r="E23" s="2503"/>
      <c r="F23" s="2503"/>
    </row>
    <row r="24" spans="1:6" ht="20.65" customHeight="1" x14ac:dyDescent="0.2">
      <c r="A24" s="1104"/>
      <c r="B24" s="1105"/>
      <c r="C24" s="1106"/>
      <c r="D24" s="2503"/>
      <c r="E24" s="2503"/>
      <c r="F24" s="2503"/>
    </row>
    <row r="25" spans="1:6" ht="20.65" customHeight="1" x14ac:dyDescent="0.2">
      <c r="A25" s="1104"/>
      <c r="B25" s="1105"/>
      <c r="C25" s="1106"/>
      <c r="D25" s="2503"/>
      <c r="E25" s="2503"/>
      <c r="F25" s="2503"/>
    </row>
    <row r="26" spans="1:6" ht="20.65" customHeight="1" x14ac:dyDescent="0.2">
      <c r="A26" s="1104"/>
      <c r="B26" s="1105"/>
      <c r="C26" s="1106"/>
      <c r="D26" s="2503"/>
      <c r="E26" s="2503"/>
      <c r="F26" s="2503"/>
    </row>
    <row r="27" spans="1:6" ht="20.65" customHeight="1" x14ac:dyDescent="0.2">
      <c r="A27" s="1104"/>
      <c r="B27" s="1105"/>
      <c r="C27" s="1106"/>
      <c r="D27" s="2503"/>
      <c r="E27" s="2503"/>
      <c r="F27" s="2503"/>
    </row>
    <row r="28" spans="1:6" ht="20.65" customHeight="1" x14ac:dyDescent="0.2">
      <c r="A28" s="1104"/>
      <c r="B28" s="1105"/>
      <c r="C28" s="1106"/>
      <c r="D28" s="2503"/>
      <c r="E28" s="2503"/>
      <c r="F28" s="2503"/>
    </row>
    <row r="29" spans="1:6" ht="20.65" customHeight="1" x14ac:dyDescent="0.2">
      <c r="A29" s="1104"/>
      <c r="B29" s="1105"/>
      <c r="C29" s="1106"/>
      <c r="D29" s="2503"/>
      <c r="E29" s="2503"/>
      <c r="F29" s="2503"/>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4" t="s">
        <v>1712</v>
      </c>
      <c r="B32" s="2504"/>
      <c r="C32" s="2504"/>
      <c r="D32" s="2504"/>
      <c r="E32" s="2504"/>
      <c r="F32" s="250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505">
        <f>+C33+C34</f>
        <v>0</v>
      </c>
      <c r="F34" s="250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7" t="s">
        <v>1576</v>
      </c>
      <c r="C49" s="2507"/>
      <c r="D49" s="2507"/>
      <c r="E49" s="1213"/>
    </row>
    <row r="50" spans="1:5" s="1121" customFormat="1" ht="3.75" customHeight="1" x14ac:dyDescent="0.2">
      <c r="A50" s="1120"/>
      <c r="B50" s="1524"/>
      <c r="C50" s="1524"/>
      <c r="D50" s="1524"/>
      <c r="E50" s="1213"/>
    </row>
    <row r="51" spans="1:5" s="1121" customFormat="1" ht="20.25" customHeight="1" x14ac:dyDescent="0.2">
      <c r="A51" s="1122">
        <v>6</v>
      </c>
      <c r="B51" s="2502" t="s">
        <v>1537</v>
      </c>
      <c r="C51" s="2502"/>
      <c r="D51" s="2502"/>
    </row>
    <row r="52" spans="1:5" ht="14.25" customHeight="1" x14ac:dyDescent="0.2">
      <c r="A52" s="1122"/>
      <c r="B52" s="2502"/>
      <c r="C52" s="2502"/>
      <c r="D52" s="250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125" colorId="8" zoomScaleNormal="100" workbookViewId="0">
      <selection activeCell="E119" sqref="E11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9" t="s">
        <v>1160</v>
      </c>
      <c r="B2" s="2109"/>
      <c r="C2" s="2109"/>
      <c r="D2" s="2109"/>
      <c r="E2" s="2109"/>
      <c r="F2" s="2109"/>
      <c r="G2" s="2109"/>
      <c r="H2" s="2109"/>
      <c r="I2" s="2109"/>
      <c r="J2" s="210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3" t="s">
        <v>1619</v>
      </c>
      <c r="B35" s="2124"/>
      <c r="C35" s="2124"/>
      <c r="D35" s="2124"/>
      <c r="E35" s="2125"/>
      <c r="F35" s="2125"/>
      <c r="G35" s="2125"/>
      <c r="H35" s="2125"/>
      <c r="I35" s="212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3" t="s">
        <v>310</v>
      </c>
      <c r="B47" s="2126"/>
      <c r="C47" s="2126"/>
      <c r="D47" s="2126"/>
      <c r="E47" s="2127"/>
      <c r="F47" s="2127"/>
      <c r="G47" s="2127"/>
      <c r="H47" s="2127"/>
      <c r="I47" s="212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0"/>
      <c r="C57" s="2131"/>
      <c r="D57" s="2131"/>
      <c r="E57" s="2131"/>
      <c r="F57" s="2131"/>
      <c r="G57" s="2131"/>
      <c r="H57" s="2131"/>
      <c r="I57" s="2131"/>
      <c r="J57" s="2132"/>
    </row>
    <row r="58" spans="1:10" s="176" customFormat="1" x14ac:dyDescent="0.2">
      <c r="A58" s="248"/>
      <c r="B58" s="2133"/>
      <c r="C58" s="2134"/>
      <c r="D58" s="2134"/>
      <c r="E58" s="2134"/>
      <c r="F58" s="2134"/>
      <c r="G58" s="2134"/>
      <c r="H58" s="2134"/>
      <c r="I58" s="2134"/>
      <c r="J58" s="2135"/>
    </row>
    <row r="59" spans="1:10" s="176" customFormat="1" x14ac:dyDescent="0.2">
      <c r="A59" s="248"/>
      <c r="B59" s="2133"/>
      <c r="C59" s="2134"/>
      <c r="D59" s="2134"/>
      <c r="E59" s="2134"/>
      <c r="F59" s="2134"/>
      <c r="G59" s="2134"/>
      <c r="H59" s="2134"/>
      <c r="I59" s="2134"/>
      <c r="J59" s="2135"/>
    </row>
    <row r="60" spans="1:10" s="176" customFormat="1" x14ac:dyDescent="0.2">
      <c r="A60" s="248"/>
      <c r="B60" s="2133"/>
      <c r="C60" s="2134"/>
      <c r="D60" s="2134"/>
      <c r="E60" s="2134"/>
      <c r="F60" s="2134"/>
      <c r="G60" s="2134"/>
      <c r="H60" s="2134"/>
      <c r="I60" s="2134"/>
      <c r="J60" s="2135"/>
    </row>
    <row r="61" spans="1:10" s="176" customFormat="1" x14ac:dyDescent="0.2">
      <c r="A61" s="248"/>
      <c r="B61" s="2133"/>
      <c r="C61" s="2134"/>
      <c r="D61" s="2134"/>
      <c r="E61" s="2134"/>
      <c r="F61" s="2134"/>
      <c r="G61" s="2134"/>
      <c r="H61" s="2134"/>
      <c r="I61" s="2134"/>
      <c r="J61" s="2135"/>
    </row>
    <row r="62" spans="1:10" s="176" customFormat="1" x14ac:dyDescent="0.2">
      <c r="A62" s="248"/>
      <c r="B62" s="2133"/>
      <c r="C62" s="2134"/>
      <c r="D62" s="2134"/>
      <c r="E62" s="2134"/>
      <c r="F62" s="2134"/>
      <c r="G62" s="2134"/>
      <c r="H62" s="2134"/>
      <c r="I62" s="2134"/>
      <c r="J62" s="2135"/>
    </row>
    <row r="63" spans="1:10" s="176" customFormat="1" x14ac:dyDescent="0.2">
      <c r="A63" s="248"/>
      <c r="B63" s="2133"/>
      <c r="C63" s="2134"/>
      <c r="D63" s="2134"/>
      <c r="E63" s="2134"/>
      <c r="F63" s="2134"/>
      <c r="G63" s="2134"/>
      <c r="H63" s="2134"/>
      <c r="I63" s="2134"/>
      <c r="J63" s="2135"/>
    </row>
    <row r="64" spans="1:10" s="176" customFormat="1" x14ac:dyDescent="0.2">
      <c r="A64" s="248"/>
      <c r="B64" s="2133"/>
      <c r="C64" s="2134"/>
      <c r="D64" s="2134"/>
      <c r="E64" s="2134"/>
      <c r="F64" s="2134"/>
      <c r="G64" s="2134"/>
      <c r="H64" s="2134"/>
      <c r="I64" s="2134"/>
      <c r="J64" s="2135"/>
    </row>
    <row r="65" spans="1:11" s="176" customFormat="1" x14ac:dyDescent="0.2">
      <c r="A65" s="248"/>
      <c r="B65" s="2133"/>
      <c r="C65" s="2134"/>
      <c r="D65" s="2134"/>
      <c r="E65" s="2134"/>
      <c r="F65" s="2134"/>
      <c r="G65" s="2134"/>
      <c r="H65" s="2134"/>
      <c r="I65" s="2134"/>
      <c r="J65" s="2135"/>
    </row>
    <row r="66" spans="1:11" s="176" customFormat="1" x14ac:dyDescent="0.2">
      <c r="A66" s="248"/>
      <c r="B66" s="2133"/>
      <c r="C66" s="2134"/>
      <c r="D66" s="2134"/>
      <c r="E66" s="2134"/>
      <c r="F66" s="2134"/>
      <c r="G66" s="2134"/>
      <c r="H66" s="2134"/>
      <c r="I66" s="2134"/>
      <c r="J66" s="2135"/>
    </row>
    <row r="67" spans="1:11" s="176" customFormat="1" ht="9" customHeight="1" x14ac:dyDescent="0.2">
      <c r="A67" s="249"/>
      <c r="B67" s="2136"/>
      <c r="C67" s="2137"/>
      <c r="D67" s="2137"/>
      <c r="E67" s="2137"/>
      <c r="F67" s="2137"/>
      <c r="G67" s="2137"/>
      <c r="H67" s="2137"/>
      <c r="I67" s="2137"/>
      <c r="J67" s="213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3" t="s">
        <v>1314</v>
      </c>
      <c r="B70" s="2126"/>
      <c r="C70" s="2126"/>
      <c r="D70" s="2126"/>
      <c r="E70" s="2127"/>
      <c r="F70" s="2127"/>
      <c r="G70" s="2127"/>
      <c r="H70" s="2127"/>
      <c r="I70" s="2127"/>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8" t="s">
        <v>1311</v>
      </c>
      <c r="B83" s="2128"/>
      <c r="C83" s="2128"/>
      <c r="D83" s="212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9" t="s">
        <v>1992</v>
      </c>
      <c r="B85" s="2139"/>
      <c r="C85" s="2139"/>
      <c r="D85" s="2140"/>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1" t="s">
        <v>1992</v>
      </c>
      <c r="B88" s="2142"/>
      <c r="C88" s="2142"/>
      <c r="D88" s="2143"/>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10"/>
      <c r="C102" s="2111"/>
      <c r="D102" s="2111"/>
      <c r="E102" s="2111"/>
      <c r="F102" s="2111"/>
      <c r="G102" s="2111"/>
      <c r="H102" s="2111"/>
      <c r="I102" s="2112"/>
    </row>
    <row r="103" spans="1:9" s="176" customFormat="1" ht="11.25" customHeight="1" x14ac:dyDescent="0.2">
      <c r="A103" s="294"/>
      <c r="B103" s="2113"/>
      <c r="C103" s="2114"/>
      <c r="D103" s="2114"/>
      <c r="E103" s="2114"/>
      <c r="F103" s="2114"/>
      <c r="G103" s="2114"/>
      <c r="H103" s="2114"/>
      <c r="I103" s="2115"/>
    </row>
    <row r="104" spans="1:9" s="176" customFormat="1" ht="11.25" customHeight="1" x14ac:dyDescent="0.2">
      <c r="A104" s="294"/>
      <c r="B104" s="2113"/>
      <c r="C104" s="2114"/>
      <c r="D104" s="2114"/>
      <c r="E104" s="2114"/>
      <c r="F104" s="2114"/>
      <c r="G104" s="2114"/>
      <c r="H104" s="2114"/>
      <c r="I104" s="2115"/>
    </row>
    <row r="105" spans="1:9" s="176" customFormat="1" x14ac:dyDescent="0.2">
      <c r="A105" s="294"/>
      <c r="B105" s="2113"/>
      <c r="C105" s="2114"/>
      <c r="D105" s="2114"/>
      <c r="E105" s="2114"/>
      <c r="F105" s="2114"/>
      <c r="G105" s="2114"/>
      <c r="H105" s="2114"/>
      <c r="I105" s="2115"/>
    </row>
    <row r="106" spans="1:9" s="176" customFormat="1" ht="11.25" customHeight="1" x14ac:dyDescent="0.2">
      <c r="A106" s="294"/>
      <c r="B106" s="2113"/>
      <c r="C106" s="2114"/>
      <c r="D106" s="2114"/>
      <c r="E106" s="2114"/>
      <c r="F106" s="2114"/>
      <c r="G106" s="2114"/>
      <c r="H106" s="2114"/>
      <c r="I106" s="2115"/>
    </row>
    <row r="107" spans="1:9" s="176" customFormat="1" ht="11.25" customHeight="1" x14ac:dyDescent="0.2">
      <c r="A107" s="294"/>
      <c r="B107" s="2113"/>
      <c r="C107" s="2114"/>
      <c r="D107" s="2114"/>
      <c r="E107" s="2114"/>
      <c r="F107" s="2114"/>
      <c r="G107" s="2114"/>
      <c r="H107" s="2114"/>
      <c r="I107" s="2115"/>
    </row>
    <row r="108" spans="1:9" s="176" customFormat="1" ht="11.25" customHeight="1" x14ac:dyDescent="0.2">
      <c r="A108" s="294"/>
      <c r="B108" s="2113"/>
      <c r="C108" s="2114"/>
      <c r="D108" s="2114"/>
      <c r="E108" s="2114"/>
      <c r="F108" s="2114"/>
      <c r="G108" s="2114"/>
      <c r="H108" s="2114"/>
      <c r="I108" s="2115"/>
    </row>
    <row r="109" spans="1:9" s="176" customFormat="1" ht="11.25" customHeight="1" x14ac:dyDescent="0.2">
      <c r="A109" s="294"/>
      <c r="B109" s="2113"/>
      <c r="C109" s="2114"/>
      <c r="D109" s="2114"/>
      <c r="E109" s="2114"/>
      <c r="F109" s="2114"/>
      <c r="G109" s="2114"/>
      <c r="H109" s="2114"/>
      <c r="I109" s="2115"/>
    </row>
    <row r="110" spans="1:9" s="176" customFormat="1" ht="11.25" customHeight="1" x14ac:dyDescent="0.2">
      <c r="A110" s="294"/>
      <c r="B110" s="2113"/>
      <c r="C110" s="2114"/>
      <c r="D110" s="2114"/>
      <c r="E110" s="2114"/>
      <c r="F110" s="2114"/>
      <c r="G110" s="2114"/>
      <c r="H110" s="2114"/>
      <c r="I110" s="2115"/>
    </row>
    <row r="111" spans="1:9" s="176" customFormat="1" ht="11.25" customHeight="1" x14ac:dyDescent="0.2">
      <c r="A111" s="294"/>
      <c r="B111" s="2113"/>
      <c r="C111" s="2114"/>
      <c r="D111" s="2114"/>
      <c r="E111" s="2114"/>
      <c r="F111" s="2114"/>
      <c r="G111" s="2114"/>
      <c r="H111" s="2114"/>
      <c r="I111" s="2115"/>
    </row>
    <row r="112" spans="1:9" s="176" customFormat="1" ht="11.25" customHeight="1" x14ac:dyDescent="0.2">
      <c r="A112" s="294"/>
      <c r="B112" s="2116"/>
      <c r="C112" s="2117"/>
      <c r="D112" s="2117"/>
      <c r="E112" s="2117"/>
      <c r="F112" s="2117"/>
      <c r="G112" s="2117"/>
      <c r="H112" s="2117"/>
      <c r="I112" s="211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9" t="s">
        <v>2048</v>
      </c>
      <c r="D114" s="211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0" t="s">
        <v>1321</v>
      </c>
      <c r="D117" s="2121"/>
      <c r="E117" s="2122"/>
      <c r="F117" s="2122"/>
      <c r="G117" s="2122"/>
      <c r="H117" s="2122"/>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25"/>
  <pageSetup scale="85" firstPageNumber="6" orientation="portrait" useFirstPageNumber="1" r:id="rId1"/>
  <headerFooter differentFirst="1" scaleWithDoc="0">
    <oddHeader xml:space="preserve">&amp;C </oddHeader>
    <oddFooter>&amp;L&amp;8See notes to financial statements.&amp;C&amp;P</oddFooter>
    <firstFooter>&amp;LSee notes to financial statements.&amp;C&amp;P</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T37" sqref="T37"/>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5" t="str">
        <f>'Single Audit Cover'!A7</f>
        <v>Okaw Area Vocational System</v>
      </c>
      <c r="C1" s="2526"/>
      <c r="D1" s="2526"/>
      <c r="E1" s="2526"/>
      <c r="F1" s="2526"/>
      <c r="G1" s="2526"/>
      <c r="H1" s="2526"/>
      <c r="I1" s="2526"/>
      <c r="J1" s="1223"/>
    </row>
    <row r="2" spans="2:10" s="295" customFormat="1" ht="12.75" customHeight="1" x14ac:dyDescent="0.2">
      <c r="B2" s="2527">
        <f>'Single Audit Cover'!E7</f>
        <v>45000000046</v>
      </c>
      <c r="C2" s="2528"/>
      <c r="D2" s="2528"/>
      <c r="E2" s="2528"/>
      <c r="F2" s="2528"/>
      <c r="G2" s="2528"/>
      <c r="H2" s="2528"/>
      <c r="I2" s="2528"/>
      <c r="J2" s="1223"/>
    </row>
    <row r="3" spans="2:10" s="295" customFormat="1" ht="12.75" customHeight="1" x14ac:dyDescent="0.2">
      <c r="B3" s="2529" t="s">
        <v>1276</v>
      </c>
      <c r="C3" s="2530"/>
      <c r="D3" s="2530"/>
      <c r="E3" s="2530"/>
      <c r="F3" s="2530"/>
      <c r="G3" s="2530"/>
      <c r="H3" s="2530"/>
      <c r="I3" s="2530"/>
      <c r="J3" s="1224"/>
    </row>
    <row r="4" spans="2:10" s="295" customFormat="1" ht="12.75" customHeight="1" x14ac:dyDescent="0.2">
      <c r="B4" s="2529" t="str">
        <f>'Single Audit Cover'!A4</f>
        <v>Year Ending June 30, 2020</v>
      </c>
      <c r="C4" s="2530"/>
      <c r="D4" s="2530"/>
      <c r="E4" s="2530"/>
      <c r="F4" s="2530"/>
      <c r="G4" s="2530"/>
      <c r="H4" s="2530"/>
      <c r="I4" s="2530"/>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9" t="s">
        <v>1275</v>
      </c>
      <c r="C7" s="2530"/>
      <c r="D7" s="2530"/>
      <c r="E7" s="2530"/>
      <c r="F7" s="2530"/>
      <c r="G7" s="2530"/>
      <c r="H7" s="2530"/>
      <c r="I7" s="2530"/>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31"/>
      <c r="D11" s="2531"/>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2"/>
      <c r="E29" s="2532"/>
      <c r="F29" s="2532"/>
      <c r="G29" s="2532"/>
      <c r="H29" s="2532"/>
      <c r="I29" s="2532"/>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533" t="s">
        <v>1731</v>
      </c>
      <c r="D37" s="2534"/>
      <c r="E37" s="2534"/>
      <c r="F37" s="2535"/>
      <c r="G37" s="2533" t="s">
        <v>1578</v>
      </c>
      <c r="H37" s="2534"/>
      <c r="I37" s="2535"/>
    </row>
    <row r="38" spans="2:9" ht="16.5" customHeight="1" x14ac:dyDescent="0.2">
      <c r="B38" s="1245"/>
      <c r="C38" s="2521"/>
      <c r="D38" s="2522"/>
      <c r="E38" s="2522"/>
      <c r="F38" s="2523"/>
      <c r="G38" s="2536"/>
      <c r="H38" s="2537"/>
      <c r="I38" s="2538"/>
    </row>
    <row r="39" spans="2:9" ht="16.5" customHeight="1" x14ac:dyDescent="0.2">
      <c r="B39" s="1245"/>
      <c r="C39" s="2521"/>
      <c r="D39" s="2522"/>
      <c r="E39" s="2522"/>
      <c r="F39" s="2523"/>
      <c r="G39" s="2524"/>
      <c r="H39" s="2524"/>
      <c r="I39" s="2524"/>
    </row>
    <row r="40" spans="2:9" ht="16.5" customHeight="1" x14ac:dyDescent="0.2">
      <c r="B40" s="1245"/>
      <c r="C40" s="2521"/>
      <c r="D40" s="2522"/>
      <c r="E40" s="2522"/>
      <c r="F40" s="2523"/>
      <c r="G40" s="2524"/>
      <c r="H40" s="2524"/>
      <c r="I40" s="2524"/>
    </row>
    <row r="41" spans="2:9" ht="16.5" customHeight="1" x14ac:dyDescent="0.2">
      <c r="B41" s="1245"/>
      <c r="C41" s="2521"/>
      <c r="D41" s="2522"/>
      <c r="E41" s="2522"/>
      <c r="F41" s="2523"/>
      <c r="G41" s="2524"/>
      <c r="H41" s="2524"/>
      <c r="I41" s="2524"/>
    </row>
    <row r="42" spans="2:9" ht="16.5" customHeight="1" x14ac:dyDescent="0.2">
      <c r="B42" s="1245"/>
      <c r="C42" s="2521"/>
      <c r="D42" s="2522"/>
      <c r="E42" s="2522"/>
      <c r="F42" s="2523"/>
      <c r="G42" s="2524"/>
      <c r="H42" s="2524"/>
      <c r="I42" s="2524"/>
    </row>
    <row r="43" spans="2:9" ht="16.5" customHeight="1" x14ac:dyDescent="0.2">
      <c r="B43" s="1245"/>
      <c r="C43" s="2514" t="s">
        <v>1579</v>
      </c>
      <c r="D43" s="2515"/>
      <c r="E43" s="2515"/>
      <c r="F43" s="2516"/>
      <c r="G43" s="2517">
        <f>SUM(G38:I42)</f>
        <v>0</v>
      </c>
      <c r="H43" s="2517"/>
      <c r="I43" s="2517"/>
    </row>
    <row r="44" spans="2:9" ht="12.75" customHeight="1" x14ac:dyDescent="0.2"/>
    <row r="45" spans="2:9" ht="12.75" customHeight="1" x14ac:dyDescent="0.2">
      <c r="B45" s="1984" t="str">
        <f>"Total Federal Expenditures for 7/1/"&amp;MID('AFR20'!E2,3,2)-1&amp;"-6/30/"&amp;MID('AFR20'!E2,3,2)</f>
        <v>Total Federal Expenditures for 7/1/19-6/30/20</v>
      </c>
      <c r="C45" s="1985"/>
      <c r="D45" s="2518">
        <v>0</v>
      </c>
      <c r="E45" s="2519"/>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520"/>
      <c r="F49" s="2520"/>
      <c r="G49" s="2520"/>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T37" sqref="T3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5" t="str">
        <f>'Single Audit Cover'!A7</f>
        <v>Okaw Area Vocational System</v>
      </c>
      <c r="C1" s="2525"/>
      <c r="D1" s="2525"/>
      <c r="E1" s="2525"/>
      <c r="F1" s="2525"/>
      <c r="G1" s="2525"/>
      <c r="H1" s="2525"/>
      <c r="I1" s="2525"/>
      <c r="J1" s="2525"/>
      <c r="K1" s="2525"/>
      <c r="L1" s="1189"/>
      <c r="M1" s="1189"/>
    </row>
    <row r="2" spans="1:13" ht="12" customHeight="1" x14ac:dyDescent="0.2">
      <c r="B2" s="2527">
        <f>'Single Audit Cover'!E7</f>
        <v>45000000046</v>
      </c>
      <c r="C2" s="2527"/>
      <c r="D2" s="2527"/>
      <c r="E2" s="2527"/>
      <c r="F2" s="2527"/>
      <c r="G2" s="2527"/>
      <c r="H2" s="2527"/>
      <c r="I2" s="2527"/>
      <c r="J2" s="2527"/>
      <c r="K2" s="2527"/>
      <c r="L2" s="1190"/>
      <c r="M2" s="1191"/>
    </row>
    <row r="3" spans="1:13" ht="10.35" customHeight="1" x14ac:dyDescent="0.2">
      <c r="B3" s="2541" t="s">
        <v>1276</v>
      </c>
      <c r="C3" s="2541"/>
      <c r="D3" s="2541"/>
      <c r="E3" s="2541"/>
      <c r="F3" s="2541"/>
      <c r="G3" s="2541"/>
      <c r="H3" s="2541"/>
      <c r="I3" s="2541"/>
      <c r="J3" s="2541"/>
      <c r="K3" s="2541"/>
      <c r="L3" s="1192"/>
      <c r="M3" s="1192"/>
    </row>
    <row r="4" spans="1:13" ht="14.25" customHeight="1" x14ac:dyDescent="0.2">
      <c r="B4" s="2542" t="str">
        <f>'Single Audit Cover'!A4</f>
        <v>Year Ending June 30, 2020</v>
      </c>
      <c r="C4" s="2542"/>
      <c r="D4" s="2542"/>
      <c r="E4" s="2542"/>
      <c r="F4" s="2542"/>
      <c r="G4" s="2542"/>
      <c r="H4" s="2542"/>
      <c r="I4" s="2542"/>
      <c r="J4" s="2542"/>
      <c r="K4" s="254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2" t="s">
        <v>1287</v>
      </c>
      <c r="C7" s="2542"/>
      <c r="D7" s="2543"/>
      <c r="E7" s="2543"/>
      <c r="F7" s="2543"/>
      <c r="G7" s="2543"/>
      <c r="H7" s="2543"/>
      <c r="I7" s="2543"/>
      <c r="J7" s="2543"/>
      <c r="K7" s="254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6"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40"/>
      <c r="C14" s="2540"/>
      <c r="D14" s="2540"/>
      <c r="E14" s="2540"/>
      <c r="F14" s="2540"/>
      <c r="G14" s="2540"/>
      <c r="H14" s="2540"/>
      <c r="I14" s="2540"/>
      <c r="J14" s="2540"/>
      <c r="K14" s="254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40"/>
      <c r="C17" s="2540"/>
      <c r="D17" s="2540"/>
      <c r="E17" s="2540"/>
      <c r="F17" s="2540"/>
      <c r="G17" s="2540"/>
      <c r="H17" s="2540"/>
      <c r="I17" s="2540"/>
      <c r="J17" s="2540"/>
      <c r="K17" s="254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544"/>
      <c r="C20" s="2544"/>
      <c r="D20" s="2540"/>
      <c r="E20" s="2540"/>
      <c r="F20" s="2540"/>
      <c r="G20" s="2540"/>
      <c r="H20" s="2540"/>
      <c r="I20" s="2540"/>
      <c r="J20" s="2540"/>
      <c r="K20" s="254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40"/>
      <c r="C23" s="2540"/>
      <c r="D23" s="2540"/>
      <c r="E23" s="2540"/>
      <c r="F23" s="2540"/>
      <c r="G23" s="2540"/>
      <c r="H23" s="2540"/>
      <c r="I23" s="2540"/>
      <c r="J23" s="2540"/>
      <c r="K23" s="254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40"/>
      <c r="C26" s="2540"/>
      <c r="D26" s="2540"/>
      <c r="E26" s="2540"/>
      <c r="F26" s="2540"/>
      <c r="G26" s="2540"/>
      <c r="H26" s="2540"/>
      <c r="I26" s="2540"/>
      <c r="J26" s="2540"/>
      <c r="K26" s="254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9"/>
      <c r="C29" s="2539"/>
      <c r="D29" s="2540"/>
      <c r="E29" s="2540"/>
      <c r="F29" s="2540"/>
      <c r="G29" s="2540"/>
      <c r="H29" s="2540"/>
      <c r="I29" s="2540"/>
      <c r="J29" s="2540"/>
      <c r="K29" s="254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539"/>
      <c r="C32" s="2539"/>
      <c r="D32" s="2540"/>
      <c r="E32" s="2540"/>
      <c r="F32" s="2540"/>
      <c r="G32" s="2540"/>
      <c r="H32" s="2540"/>
      <c r="I32" s="2540"/>
      <c r="J32" s="2540"/>
      <c r="K32" s="254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T37" sqref="T3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8" t="str">
        <f>'Single Audit Cover'!A7</f>
        <v>Okaw Area Vocational System</v>
      </c>
      <c r="C1" s="2548"/>
      <c r="D1" s="2548"/>
      <c r="E1" s="2548"/>
      <c r="F1" s="2548"/>
      <c r="G1" s="2548"/>
      <c r="H1" s="2548"/>
      <c r="I1" s="2548"/>
      <c r="J1" s="2548"/>
      <c r="K1" s="2548"/>
      <c r="L1" s="1266"/>
    </row>
    <row r="2" spans="1:12" ht="12.75" customHeight="1" x14ac:dyDescent="0.2">
      <c r="B2" s="2549">
        <f>'Single Audit Cover'!E7</f>
        <v>45000000046</v>
      </c>
      <c r="C2" s="2549"/>
      <c r="D2" s="2549"/>
      <c r="E2" s="2549"/>
      <c r="F2" s="2549"/>
      <c r="G2" s="2549"/>
      <c r="H2" s="2549"/>
      <c r="I2" s="2549"/>
      <c r="J2" s="2549"/>
      <c r="K2" s="2549"/>
      <c r="L2" s="1267"/>
    </row>
    <row r="3" spans="1:12" ht="12.75" customHeight="1" x14ac:dyDescent="0.2">
      <c r="B3" s="2541" t="s">
        <v>1276</v>
      </c>
      <c r="C3" s="2541"/>
      <c r="D3" s="2541"/>
      <c r="E3" s="2541"/>
      <c r="F3" s="2541"/>
      <c r="G3" s="2541"/>
      <c r="H3" s="2541"/>
      <c r="I3" s="2541"/>
      <c r="J3" s="2541"/>
      <c r="K3" s="2541"/>
      <c r="L3" s="1192"/>
    </row>
    <row r="4" spans="1:12" ht="12.75" customHeight="1" x14ac:dyDescent="0.2">
      <c r="B4" s="2541" t="str">
        <f>'Single Audit Cover'!A4</f>
        <v>Year Ending June 30, 2020</v>
      </c>
      <c r="C4" s="2541"/>
      <c r="D4" s="2541"/>
      <c r="E4" s="2541"/>
      <c r="F4" s="2541"/>
      <c r="G4" s="2541"/>
      <c r="H4" s="2541"/>
      <c r="I4" s="2541"/>
      <c r="J4" s="2541"/>
      <c r="K4" s="2541"/>
      <c r="L4" s="1192"/>
    </row>
    <row r="5" spans="1:12" ht="5.25" customHeight="1" x14ac:dyDescent="0.2">
      <c r="B5" s="1081" t="s">
        <v>1161</v>
      </c>
      <c r="C5" s="1081"/>
      <c r="L5" s="300"/>
    </row>
    <row r="6" spans="1:12" ht="30.75" customHeight="1" x14ac:dyDescent="0.2">
      <c r="A6" s="300"/>
      <c r="B6" s="2550" t="s">
        <v>1299</v>
      </c>
      <c r="C6" s="2550"/>
      <c r="D6" s="2550"/>
      <c r="E6" s="2550"/>
      <c r="F6" s="2550"/>
      <c r="G6" s="2550"/>
      <c r="H6" s="2550"/>
      <c r="I6" s="2550"/>
      <c r="J6" s="2550"/>
      <c r="K6" s="2550"/>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6"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2"/>
      <c r="G12" s="2532"/>
      <c r="H12" s="2532"/>
      <c r="I12" s="2532"/>
      <c r="J12" s="2532"/>
      <c r="K12" s="2532"/>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5"/>
      <c r="E14" s="2545"/>
      <c r="F14" s="2545"/>
      <c r="H14" s="1275" t="s">
        <v>1294</v>
      </c>
      <c r="I14" s="2546"/>
      <c r="J14" s="2546"/>
      <c r="K14" s="2546"/>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6"/>
      <c r="E16" s="2546"/>
      <c r="F16" s="2546"/>
      <c r="G16" s="2546"/>
      <c r="H16" s="2546"/>
      <c r="I16" s="2546"/>
      <c r="J16" s="2546"/>
      <c r="K16" s="2546"/>
      <c r="L16" s="300"/>
    </row>
    <row r="17" spans="2:12" ht="13.5" customHeight="1" x14ac:dyDescent="0.2">
      <c r="B17" s="1201" t="s">
        <v>1292</v>
      </c>
      <c r="C17" s="1201"/>
      <c r="D17" s="2547"/>
      <c r="E17" s="2547"/>
      <c r="F17" s="2547"/>
      <c r="G17" s="2547"/>
      <c r="H17" s="2547"/>
      <c r="I17" s="2547"/>
      <c r="J17" s="2547"/>
      <c r="K17" s="2547"/>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40"/>
      <c r="C20" s="2540"/>
      <c r="D20" s="2540"/>
      <c r="E20" s="2540"/>
      <c r="F20" s="2540"/>
      <c r="G20" s="2540"/>
      <c r="H20" s="2540"/>
      <c r="I20" s="2540"/>
      <c r="J20" s="2540"/>
      <c r="K20" s="254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540"/>
      <c r="C23" s="2540"/>
      <c r="D23" s="2540"/>
      <c r="E23" s="2540"/>
      <c r="F23" s="2540"/>
      <c r="G23" s="2540"/>
      <c r="H23" s="2540"/>
      <c r="I23" s="2540"/>
      <c r="J23" s="2540"/>
      <c r="K23" s="254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540"/>
      <c r="C26" s="2540"/>
      <c r="D26" s="2540"/>
      <c r="E26" s="2540"/>
      <c r="F26" s="2540"/>
      <c r="G26" s="2540"/>
      <c r="H26" s="2540"/>
      <c r="I26" s="2540"/>
      <c r="J26" s="2540"/>
      <c r="K26" s="254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540"/>
      <c r="C29" s="2540"/>
      <c r="D29" s="2540"/>
      <c r="E29" s="2540"/>
      <c r="F29" s="2540"/>
      <c r="G29" s="2540"/>
      <c r="H29" s="2540"/>
      <c r="I29" s="2540"/>
      <c r="J29" s="2540"/>
      <c r="K29" s="254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40"/>
      <c r="C32" s="2540"/>
      <c r="D32" s="2540"/>
      <c r="E32" s="2540"/>
      <c r="F32" s="2540"/>
      <c r="G32" s="2540"/>
      <c r="H32" s="2540"/>
      <c r="I32" s="2540"/>
      <c r="J32" s="2540"/>
      <c r="K32" s="254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40"/>
      <c r="C35" s="2540"/>
      <c r="D35" s="2540"/>
      <c r="E35" s="2540"/>
      <c r="F35" s="2540"/>
      <c r="G35" s="2540"/>
      <c r="H35" s="2540"/>
      <c r="I35" s="2540"/>
      <c r="J35" s="2540"/>
      <c r="K35" s="254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40"/>
      <c r="C38" s="2540"/>
      <c r="D38" s="2540"/>
      <c r="E38" s="2540"/>
      <c r="F38" s="2540"/>
      <c r="G38" s="2540"/>
      <c r="H38" s="2540"/>
      <c r="I38" s="2540"/>
      <c r="J38" s="2540"/>
      <c r="K38" s="254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540"/>
      <c r="C41" s="2540"/>
      <c r="D41" s="2540"/>
      <c r="E41" s="2540"/>
      <c r="F41" s="2540"/>
      <c r="G41" s="2540"/>
      <c r="H41" s="2540"/>
      <c r="I41" s="2540"/>
      <c r="J41" s="2540"/>
      <c r="K41" s="254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5" t="str">
        <f>'Single Audit Cover'!A7</f>
        <v>Okaw Area Vocational System</v>
      </c>
      <c r="C1" s="2525"/>
      <c r="D1" s="2525"/>
      <c r="E1" s="1285"/>
    </row>
    <row r="2" spans="2:5" s="1103" customFormat="1" ht="12.75" customHeight="1" x14ac:dyDescent="0.2">
      <c r="B2" s="2527">
        <f>'Single Audit Cover'!E7</f>
        <v>45000000046</v>
      </c>
      <c r="C2" s="2527"/>
      <c r="D2" s="2527"/>
      <c r="E2" s="1286"/>
    </row>
    <row r="3" spans="2:5" ht="12.75" customHeight="1" x14ac:dyDescent="0.2">
      <c r="B3" s="2541" t="s">
        <v>1746</v>
      </c>
      <c r="C3" s="2541"/>
      <c r="D3" s="2541"/>
      <c r="E3" s="1095"/>
    </row>
    <row r="4" spans="2:5" s="1103" customFormat="1" ht="12.75" customHeight="1" x14ac:dyDescent="0.2">
      <c r="B4" s="2551" t="str">
        <f>'Single Audit Cover'!A4</f>
        <v>Year Ending June 30, 2020</v>
      </c>
      <c r="C4" s="2551"/>
      <c r="D4" s="2551"/>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13" colorId="8" zoomScale="110" zoomScaleNormal="110" workbookViewId="0">
      <selection activeCell="G8" sqref="G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4" t="s">
        <v>383</v>
      </c>
      <c r="B1" s="2144"/>
      <c r="C1" s="2144"/>
      <c r="D1" s="2144"/>
      <c r="E1" s="2144"/>
      <c r="F1" s="2144"/>
      <c r="G1" s="2144"/>
      <c r="H1" s="2144"/>
      <c r="I1" s="2144"/>
      <c r="J1" s="2144"/>
      <c r="K1" s="2144"/>
      <c r="L1" s="2144"/>
      <c r="M1" s="214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4" t="str">
        <f>IF(SUM(J10)&lt;=0.0999999,"","Enter the Tax Rates by moving the decimal two places to the left.")</f>
        <v/>
      </c>
      <c r="E11" s="2155"/>
      <c r="F11" s="2155"/>
      <c r="G11" s="2155"/>
      <c r="H11" s="2155"/>
      <c r="I11" s="2155"/>
      <c r="J11" s="215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512442</v>
      </c>
      <c r="E16" s="1597"/>
      <c r="F16" s="1596">
        <f>SUM('Acct Summary 7-8'!C17,'Acct Summary 7-8'!D17,'Acct Summary 7-8'!F17)</f>
        <v>481566</v>
      </c>
      <c r="G16" s="1597"/>
      <c r="H16" s="1596">
        <f>SUM(D16-F16)</f>
        <v>30876</v>
      </c>
      <c r="I16" s="1598"/>
      <c r="J16" s="1596">
        <f>SUM('Acct Summary 7-8'!C81,'Acct Summary 7-8'!D81,'Acct Summary 7-8'!F81,'Acct Summary 7-8'!I81)</f>
        <v>33976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5"/>
      <c r="C54" s="2146"/>
      <c r="D54" s="2146"/>
      <c r="E54" s="2146"/>
      <c r="F54" s="2146"/>
      <c r="G54" s="2146"/>
      <c r="H54" s="2146"/>
      <c r="I54" s="2146"/>
      <c r="J54" s="2146"/>
      <c r="K54" s="2146"/>
      <c r="L54" s="2147"/>
      <c r="M54" s="357"/>
    </row>
    <row r="55" spans="1:13" ht="12.75" customHeight="1" x14ac:dyDescent="0.2">
      <c r="B55" s="2148"/>
      <c r="C55" s="2149"/>
      <c r="D55" s="2149"/>
      <c r="E55" s="2149"/>
      <c r="F55" s="2149"/>
      <c r="G55" s="2149"/>
      <c r="H55" s="2149"/>
      <c r="I55" s="2149"/>
      <c r="J55" s="2149"/>
      <c r="K55" s="2149"/>
      <c r="L55" s="2150"/>
      <c r="M55" s="357"/>
    </row>
    <row r="56" spans="1:13" ht="12.75" customHeight="1" x14ac:dyDescent="0.2">
      <c r="B56" s="2148"/>
      <c r="C56" s="2149"/>
      <c r="D56" s="2149"/>
      <c r="E56" s="2149"/>
      <c r="F56" s="2149"/>
      <c r="G56" s="2149"/>
      <c r="H56" s="2149"/>
      <c r="I56" s="2149"/>
      <c r="J56" s="2149"/>
      <c r="K56" s="2149"/>
      <c r="L56" s="2150"/>
      <c r="M56" s="217"/>
    </row>
    <row r="57" spans="1:13" ht="12.75" customHeight="1" x14ac:dyDescent="0.2">
      <c r="B57" s="2148"/>
      <c r="C57" s="2149"/>
      <c r="D57" s="2149"/>
      <c r="E57" s="2149"/>
      <c r="F57" s="2149"/>
      <c r="G57" s="2149"/>
      <c r="H57" s="2149"/>
      <c r="I57" s="2149"/>
      <c r="J57" s="2149"/>
      <c r="K57" s="2149"/>
      <c r="L57" s="2150"/>
      <c r="M57" s="217"/>
    </row>
    <row r="58" spans="1:13" x14ac:dyDescent="0.2">
      <c r="B58" s="2151"/>
      <c r="C58" s="2152"/>
      <c r="D58" s="2152"/>
      <c r="E58" s="2152"/>
      <c r="F58" s="2152"/>
      <c r="G58" s="2152"/>
      <c r="H58" s="2152"/>
      <c r="I58" s="2152"/>
      <c r="J58" s="2152"/>
      <c r="K58" s="2152"/>
      <c r="L58" s="215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6"/>
      <c r="D61" s="215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Header xml:space="preserve">&amp;C </oddHeader>
    <oddFooter>&amp;LSee notes to financial statements.&amp;C8</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topLeftCell="A52" zoomScale="110" zoomScaleNormal="110" workbookViewId="0">
      <selection activeCell="T37" sqref="T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9"/>
      <c r="B1" s="2160"/>
      <c r="C1" s="2160"/>
      <c r="D1" s="361"/>
      <c r="E1" s="361"/>
      <c r="F1" s="361"/>
      <c r="G1" s="361"/>
      <c r="H1" s="361"/>
      <c r="I1" s="361"/>
      <c r="J1" s="361"/>
      <c r="K1" s="361"/>
      <c r="L1" s="361"/>
      <c r="M1" s="361"/>
      <c r="N1" s="361"/>
      <c r="O1" s="2159"/>
      <c r="P1" s="2160"/>
      <c r="Q1" s="2160"/>
    </row>
    <row r="2" spans="1:18" ht="15" x14ac:dyDescent="0.2">
      <c r="A2" s="2163" t="s">
        <v>552</v>
      </c>
      <c r="B2" s="2163"/>
      <c r="C2" s="2163"/>
      <c r="D2" s="2163"/>
      <c r="E2" s="2163"/>
      <c r="F2" s="2163"/>
      <c r="G2" s="2163"/>
      <c r="H2" s="2163"/>
      <c r="I2" s="2163"/>
      <c r="J2" s="2163"/>
      <c r="K2" s="2163"/>
      <c r="L2" s="2163"/>
      <c r="M2" s="2163"/>
      <c r="N2" s="2163"/>
      <c r="O2" s="2163"/>
      <c r="P2" s="2163"/>
      <c r="Q2" s="2163"/>
      <c r="R2" s="2163"/>
    </row>
    <row r="3" spans="1:18" ht="12.75" x14ac:dyDescent="0.2">
      <c r="A3" s="2164" t="s">
        <v>1399</v>
      </c>
      <c r="B3" s="2164"/>
      <c r="C3" s="2164"/>
      <c r="D3" s="2164"/>
      <c r="E3" s="2164"/>
      <c r="F3" s="2164"/>
      <c r="G3" s="2164"/>
      <c r="H3" s="2164"/>
      <c r="I3" s="2164"/>
      <c r="J3" s="2164"/>
      <c r="K3" s="2164"/>
      <c r="L3" s="2164"/>
      <c r="M3" s="2164"/>
      <c r="N3" s="2164"/>
      <c r="O3" s="2164"/>
      <c r="P3" s="2164"/>
      <c r="Q3" s="2164"/>
      <c r="R3" s="2164"/>
    </row>
    <row r="4" spans="1:18" x14ac:dyDescent="0.2">
      <c r="A4" s="2165" t="s">
        <v>1540</v>
      </c>
      <c r="B4" s="2165"/>
      <c r="C4" s="2165"/>
      <c r="D4" s="2165"/>
      <c r="E4" s="2165"/>
      <c r="F4" s="2165"/>
      <c r="G4" s="2165"/>
      <c r="H4" s="2165"/>
      <c r="I4" s="2165"/>
      <c r="J4" s="2165"/>
      <c r="K4" s="2165"/>
      <c r="L4" s="2165"/>
      <c r="M4" s="2165"/>
      <c r="N4" s="2165"/>
      <c r="O4" s="2165"/>
      <c r="P4" s="2165"/>
      <c r="Q4" s="2165"/>
      <c r="R4" s="216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Okaw Area Vocational System</v>
      </c>
      <c r="E7" s="368"/>
      <c r="G7" s="247"/>
      <c r="H7" s="364"/>
      <c r="I7" s="364"/>
      <c r="J7" s="364"/>
      <c r="K7" s="364"/>
      <c r="L7" s="307"/>
      <c r="M7" s="307"/>
      <c r="N7" s="307"/>
      <c r="O7" s="307"/>
      <c r="P7" s="307"/>
    </row>
    <row r="8" spans="1:18" ht="12.75" x14ac:dyDescent="0.2">
      <c r="A8" s="307"/>
      <c r="B8" s="307"/>
      <c r="C8" s="366" t="s">
        <v>1117</v>
      </c>
      <c r="D8" s="369">
        <f>COVER!A13</f>
        <v>45000000046</v>
      </c>
      <c r="E8" s="370"/>
      <c r="G8" s="307"/>
      <c r="H8" s="307"/>
      <c r="I8" s="307"/>
      <c r="J8" s="307"/>
      <c r="K8" s="307"/>
      <c r="L8" s="307"/>
      <c r="M8" s="307"/>
      <c r="N8" s="307"/>
      <c r="O8" s="307"/>
      <c r="P8" s="307"/>
    </row>
    <row r="9" spans="1:18" ht="12.75" x14ac:dyDescent="0.2">
      <c r="A9" s="307"/>
      <c r="B9" s="307"/>
      <c r="C9" s="366" t="s">
        <v>708</v>
      </c>
      <c r="D9" s="371" t="str">
        <f>COVER!A15</f>
        <v>Monroe, Randolph, and 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2</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33976</v>
      </c>
      <c r="I12" s="380"/>
      <c r="J12" s="380"/>
      <c r="K12" s="1609">
        <f>TRUNC((H12/H13*100000),5)/100000</f>
        <v>6.6302137599999991E-2</v>
      </c>
      <c r="L12" s="381"/>
      <c r="M12" s="337" t="s">
        <v>1136</v>
      </c>
      <c r="N12" s="337"/>
      <c r="O12" s="1612">
        <v>0.35</v>
      </c>
      <c r="P12" s="213"/>
      <c r="Q12" s="213"/>
    </row>
    <row r="13" spans="1:18" s="382" customFormat="1" ht="12.75" x14ac:dyDescent="0.2">
      <c r="A13" s="213"/>
      <c r="B13" s="377"/>
      <c r="C13" s="2161" t="s">
        <v>1315</v>
      </c>
      <c r="D13" s="2162"/>
      <c r="E13" s="213"/>
      <c r="F13" s="383" t="s">
        <v>788</v>
      </c>
      <c r="G13" s="378"/>
      <c r="H13" s="1601">
        <f>SUM('Acct Summary 7-8'!C8+'Acct Summary 7-8'!D8+'Acct Summary 7-8'!F8+'Acct Summary 7-8'!I8)+H14</f>
        <v>512442</v>
      </c>
      <c r="I13" s="380"/>
      <c r="J13" s="380"/>
      <c r="K13" s="1608"/>
      <c r="L13" s="213"/>
      <c r="M13" s="337" t="s">
        <v>1137</v>
      </c>
      <c r="N13" s="337"/>
      <c r="O13" s="1613">
        <f>(O11*O12)</f>
        <v>0.7</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481566</v>
      </c>
      <c r="I17" s="380"/>
      <c r="J17" s="389"/>
      <c r="K17" s="1609">
        <f>TRUNC((H17/H18*100000),5)/100000</f>
        <v>0.93974732750000001</v>
      </c>
      <c r="L17" s="381"/>
      <c r="M17" s="390" t="s">
        <v>1163</v>
      </c>
      <c r="O17" s="1615" t="str">
        <f>IF(AND(O16="2", J20 &gt; 2),"1",IF(AND(O16 = "1", J20 &gt; 2),"2",IF(AND(O16="1", J20 &gt;1),"1","0")))</f>
        <v>0</v>
      </c>
      <c r="P17" s="213"/>
    </row>
    <row r="18" spans="1:18" s="382" customFormat="1" ht="11.25" x14ac:dyDescent="0.2">
      <c r="A18" s="213"/>
      <c r="B18" s="377"/>
      <c r="C18" s="2161" t="s">
        <v>1308</v>
      </c>
      <c r="D18" s="2162"/>
      <c r="E18" s="213"/>
      <c r="F18" s="391" t="s">
        <v>789</v>
      </c>
      <c r="G18" s="378"/>
      <c r="H18" s="1601">
        <f>SUM('Acct Summary 7-8'!C8+'Acct Summary 7-8'!D8+'Acct Summary 7-8'!F8+'Acct Summary 7-8'!I8)+H19</f>
        <v>512442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f>IF(K24&gt;=180,"4",IF(K24&gt;=90,"3",IF(K24&gt;=30,"2",1)))</f>
        <v>1</v>
      </c>
      <c r="P23" s="211"/>
      <c r="R23" s="361"/>
    </row>
    <row r="24" spans="1:18" s="382" customFormat="1" ht="11.25" x14ac:dyDescent="0.2">
      <c r="A24" s="213"/>
      <c r="B24" s="377"/>
      <c r="C24" s="2158" t="s">
        <v>1398</v>
      </c>
      <c r="D24" s="2158"/>
      <c r="E24" s="213"/>
      <c r="F24" s="213" t="s">
        <v>442</v>
      </c>
      <c r="G24" s="378"/>
      <c r="H24" s="1601">
        <f>SUM('Assets-Liab 5-6'!C4+'Assets-Liab 5-6'!D4+'Assets-Liab 5-6'!F4+'Assets-Liab 5-6'!I4+'Assets-Liab 5-6'!C5+'Assets-Liab 5-6'!D5+'Assets-Liab 5-6'!F5+'Assets-Liab 5-6'!I5)</f>
        <v>40113</v>
      </c>
      <c r="I24" s="394"/>
      <c r="J24" s="394"/>
      <c r="K24" s="1605">
        <f>TRUNC(((H24/H25*100000)/100000),2)</f>
        <v>29.98</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1337.6833300000001</v>
      </c>
      <c r="I25" s="396"/>
      <c r="J25" s="396"/>
      <c r="K25" s="1608"/>
      <c r="L25" s="213"/>
      <c r="M25" s="337" t="s">
        <v>1137</v>
      </c>
      <c r="N25" s="337"/>
      <c r="O25" s="1613">
        <f>O23*O24</f>
        <v>0.1</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&amp;L&amp;8See notes to financial statements.&amp;C9</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110" zoomScaleNormal="110" workbookViewId="0">
      <selection activeCell="E34" sqref="E34:E3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8" t="s">
        <v>967</v>
      </c>
      <c r="B3" s="2169"/>
      <c r="C3" s="1351"/>
      <c r="D3" s="1352"/>
      <c r="E3" s="1352"/>
      <c r="F3" s="1352"/>
      <c r="G3" s="1352"/>
      <c r="H3" s="1352"/>
      <c r="I3" s="1352"/>
      <c r="J3" s="1352"/>
      <c r="K3" s="1352"/>
      <c r="L3" s="1352"/>
      <c r="M3" s="1353"/>
      <c r="N3" s="1354"/>
    </row>
    <row r="4" spans="1:14" ht="13.5" customHeight="1" x14ac:dyDescent="0.2">
      <c r="A4" s="427" t="s">
        <v>1635</v>
      </c>
      <c r="B4" s="428"/>
      <c r="C4" s="1622">
        <v>40113</v>
      </c>
      <c r="D4" s="1623"/>
      <c r="E4" s="1623"/>
      <c r="F4" s="1623"/>
      <c r="G4" s="1623"/>
      <c r="H4" s="1623"/>
      <c r="I4" s="1623"/>
      <c r="J4" s="1624"/>
      <c r="K4" s="1623"/>
      <c r="L4" s="1623"/>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40113</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170" t="s">
        <v>146</v>
      </c>
      <c r="B14" s="2171"/>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2141240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2141240</v>
      </c>
      <c r="N23" s="1644">
        <f>SUM(N21:N22)</f>
        <v>0</v>
      </c>
    </row>
    <row r="24" spans="1:14" ht="18" customHeight="1" thickTop="1" x14ac:dyDescent="0.2">
      <c r="A24" s="2172" t="s">
        <v>594</v>
      </c>
      <c r="B24" s="2173"/>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v>6137</v>
      </c>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6137</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174" t="s">
        <v>526</v>
      </c>
      <c r="B35" s="2175"/>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33976</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2141240</v>
      </c>
      <c r="N40" s="1654"/>
    </row>
    <row r="41" spans="1:14" ht="13.5" customHeight="1" thickBot="1" x14ac:dyDescent="0.25">
      <c r="A41" s="1475" t="s">
        <v>650</v>
      </c>
      <c r="B41" s="1454"/>
      <c r="C41" s="1644">
        <f>(SUM(C34,C37,C38,C39))</f>
        <v>40113</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2141240</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10" orientation="landscape" useFirstPageNumber="1" r:id="rId1"/>
  <headerFooter differentFirst="1" scaleWithDoc="0">
    <oddHeader>&amp;C&amp;"Arial,Bold"&amp;9BASIC FINANCIAL STATEMENTS
STATEMENT OF ASSETS AND LIABILITIES ARISING FROM CASH TRANSACTIONS
STATEMENT OF POSITION AS OF JUNE 30, 2020</oddHeader>
    <oddFooter>&amp;L&amp;8See notes to financial statements.&amp;C&amp;P</oddFooter>
    <firstHeader>&amp;C&amp;"Arial,Bold"BASIC FINANCIAL STATEMENTS
STATEMENT OF ASSETS AND LIABILITIES ARISING FROM CASH TRANSACTIONS
STATEMENT OF POSITION AS OF JUNE 30, 2020</firstHeader>
    <firstFooter>&amp;LSee notes to financial statements.&amp;C&amp;P</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Layout" colorId="8" zoomScaleNormal="110" zoomScaleSheetLayoutView="100" workbookViewId="0">
      <selection activeCell="C25" sqref="C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4"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6" t="s">
        <v>1167</v>
      </c>
      <c r="B3" s="2197"/>
      <c r="C3" s="1356"/>
      <c r="D3" s="1357"/>
      <c r="E3" s="1357"/>
      <c r="F3" s="1357"/>
      <c r="G3" s="1357"/>
      <c r="H3" s="1357"/>
      <c r="I3" s="1357"/>
      <c r="J3" s="1357"/>
      <c r="K3" s="1358"/>
      <c r="L3" s="446"/>
    </row>
    <row r="4" spans="1:13" ht="15.75" customHeight="1" x14ac:dyDescent="0.2">
      <c r="A4" s="1587" t="s">
        <v>1485</v>
      </c>
      <c r="B4" s="1588">
        <v>1000</v>
      </c>
      <c r="C4" s="1656">
        <f>'Revenues 9-14'!C109</f>
        <v>28</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413449</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98965</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512442</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f>38250+466</f>
        <v>38716</v>
      </c>
      <c r="D9" s="1663"/>
      <c r="E9" s="1636"/>
      <c r="F9" s="1636"/>
      <c r="G9" s="1664"/>
      <c r="H9" s="1636"/>
      <c r="I9" s="1659" t="s">
        <v>1161</v>
      </c>
      <c r="J9" s="1633"/>
      <c r="K9" s="1636"/>
      <c r="L9" s="325"/>
    </row>
    <row r="10" spans="1:13" s="452" customFormat="1" ht="13.5" thickBot="1" x14ac:dyDescent="0.25">
      <c r="A10" s="1475" t="s">
        <v>1165</v>
      </c>
      <c r="B10" s="1456"/>
      <c r="C10" s="1644">
        <f>SUM(C8:C9)</f>
        <v>551158</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170" t="s">
        <v>1168</v>
      </c>
      <c r="B11" s="2171"/>
      <c r="C11" s="1652"/>
      <c r="D11" s="1653"/>
      <c r="E11" s="1653"/>
      <c r="F11" s="1653"/>
      <c r="G11" s="1653"/>
      <c r="H11" s="1653"/>
      <c r="I11" s="1653"/>
      <c r="J11" s="1653"/>
      <c r="K11" s="1665"/>
      <c r="L11" s="451"/>
    </row>
    <row r="12" spans="1:13" ht="15.75" customHeight="1" x14ac:dyDescent="0.2">
      <c r="A12" s="1359" t="s">
        <v>453</v>
      </c>
      <c r="B12" s="1361">
        <v>1000</v>
      </c>
      <c r="C12" s="1656">
        <f>'Expenditures 15-22'!K33</f>
        <v>220729</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62756</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198081</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481566</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38716</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520282</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186" t="s">
        <v>1639</v>
      </c>
      <c r="B20" s="2187"/>
      <c r="C20" s="1672">
        <f>C8-C17</f>
        <v>30876</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198" t="s">
        <v>591</v>
      </c>
      <c r="B21" s="2199"/>
      <c r="C21" s="1652"/>
      <c r="D21" s="1653"/>
      <c r="E21" s="1653"/>
      <c r="F21" s="1653"/>
      <c r="G21" s="1653"/>
      <c r="H21" s="1653"/>
      <c r="I21" s="1653"/>
      <c r="J21" s="1653"/>
      <c r="K21" s="1665"/>
      <c r="L21" s="453"/>
    </row>
    <row r="22" spans="1:12" ht="15.75" customHeight="1" collapsed="1" x14ac:dyDescent="0.2">
      <c r="A22" s="2194" t="s">
        <v>592</v>
      </c>
      <c r="B22" s="2195"/>
      <c r="C22" s="1632"/>
      <c r="D22" s="1632"/>
      <c r="E22" s="1632"/>
      <c r="F22" s="1632"/>
      <c r="G22" s="1632"/>
      <c r="H22" s="1632"/>
      <c r="I22" s="1632"/>
      <c r="J22" s="1632"/>
      <c r="K22" s="1632"/>
      <c r="L22" s="325"/>
    </row>
    <row r="23" spans="1:12" s="433" customFormat="1" ht="15.75" customHeight="1" x14ac:dyDescent="0.2">
      <c r="A23" s="2190" t="s">
        <v>290</v>
      </c>
      <c r="B23" s="2191"/>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75" customHeight="1" x14ac:dyDescent="0.2">
      <c r="A32" s="2192" t="s">
        <v>974</v>
      </c>
      <c r="B32" s="2193"/>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200" t="s">
        <v>371</v>
      </c>
      <c r="B44" s="2201"/>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4" t="s">
        <v>108</v>
      </c>
      <c r="B45" s="2195"/>
      <c r="C45" s="1675"/>
      <c r="D45" s="1675"/>
      <c r="E45" s="1675"/>
      <c r="F45" s="1675"/>
      <c r="G45" s="1675"/>
      <c r="H45" s="1675"/>
      <c r="I45" s="1675"/>
      <c r="J45" s="1675"/>
      <c r="K45" s="1675"/>
      <c r="L45" s="325"/>
    </row>
    <row r="46" spans="1:12" s="433" customFormat="1" ht="15.75" customHeight="1" x14ac:dyDescent="0.2">
      <c r="A46" s="2202" t="s">
        <v>109</v>
      </c>
      <c r="B46" s="2203"/>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176" t="s">
        <v>437</v>
      </c>
      <c r="B76" s="2177"/>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8" t="s">
        <v>1169</v>
      </c>
      <c r="B77" s="2179"/>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2" t="s">
        <v>593</v>
      </c>
      <c r="B78" s="2183"/>
      <c r="C78" s="1679">
        <f t="shared" ref="C78:K78" si="9">C20+C77</f>
        <v>30876</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3100</v>
      </c>
      <c r="D79" s="1680"/>
      <c r="E79" s="1680"/>
      <c r="F79" s="1680"/>
      <c r="G79" s="1680"/>
      <c r="H79" s="1680"/>
      <c r="I79" s="1680"/>
      <c r="J79" s="1680"/>
      <c r="K79" s="1680"/>
      <c r="L79" s="325"/>
    </row>
    <row r="80" spans="1:12" x14ac:dyDescent="0.2">
      <c r="A80" s="2188" t="s">
        <v>1775</v>
      </c>
      <c r="B80" s="2189"/>
      <c r="C80" s="1624"/>
      <c r="D80" s="1624"/>
      <c r="E80" s="1624"/>
      <c r="F80" s="1624"/>
      <c r="G80" s="1624"/>
      <c r="H80" s="1624"/>
      <c r="I80" s="1624"/>
      <c r="J80" s="1624"/>
      <c r="K80" s="1624"/>
      <c r="L80" s="325"/>
    </row>
    <row r="81" spans="1:12" ht="13.5" thickBot="1" x14ac:dyDescent="0.25">
      <c r="A81" s="2180" t="str">
        <f>"Fund Balances - June 30, "&amp;'AFR20'!E2</f>
        <v>Fund Balances - June 30, 2020</v>
      </c>
      <c r="B81" s="2181"/>
      <c r="C81" s="1644">
        <f>(SUM(C78:C80))</f>
        <v>33976</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30876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0.90875912408759119</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12" orientation="landscape" useFirstPageNumber="1" r:id="rId1"/>
  <headerFooter differentFirst="1" scaleWithDoc="0">
    <oddHeader>&amp;C&amp;"Arial,Bold"&amp;9BASIC FINANCIAL STATEMENT
STATEMENT OF REVENUES RECEIVED/REVENUES, EXPENDITURES/DISBURSED/EXPENDITURES, OTHER 
SOURCES (USES) AND CHANGES IN FUND BALANCE
ALL FUNDS - FOR THE YEAR ENDING JUNE 30, 2020</oddHeader>
    <oddFooter>&amp;L&amp;8See notes to financial statements.&amp;C&amp;P</oddFooter>
    <firstFooter>&amp;LSee notes to financial statements.&amp;C&amp;P</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topLeftCell="A43" colorId="8" zoomScale="110" zoomScaleNormal="110" zoomScaleSheetLayoutView="75" workbookViewId="0">
      <selection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4" t="s">
        <v>1782</v>
      </c>
      <c r="B1" s="416"/>
      <c r="C1" s="417" t="s">
        <v>422</v>
      </c>
      <c r="D1" s="417" t="s">
        <v>423</v>
      </c>
      <c r="E1" s="417" t="s">
        <v>424</v>
      </c>
      <c r="F1" s="417" t="s">
        <v>425</v>
      </c>
      <c r="G1" s="417" t="s">
        <v>426</v>
      </c>
      <c r="H1" s="417" t="s">
        <v>427</v>
      </c>
      <c r="I1" s="417" t="s">
        <v>428</v>
      </c>
      <c r="J1" s="417" t="s">
        <v>429</v>
      </c>
      <c r="K1" s="417" t="s">
        <v>751</v>
      </c>
    </row>
    <row r="2" spans="1:12" ht="36" x14ac:dyDescent="0.2">
      <c r="A2" s="218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28</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28</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v>0</v>
      </c>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c r="D107" s="1623"/>
      <c r="E107" s="1623"/>
      <c r="F107" s="1623"/>
      <c r="G107" s="1623"/>
      <c r="H107" s="1623"/>
      <c r="I107" s="1623"/>
      <c r="J107" s="1624"/>
      <c r="K107" s="1623"/>
    </row>
    <row r="108" spans="1:12" ht="12.75" customHeight="1" thickBot="1" x14ac:dyDescent="0.25">
      <c r="A108" s="1455" t="s">
        <v>484</v>
      </c>
      <c r="B108" s="1457"/>
      <c r="C108" s="1683">
        <f>SUM(C95:C107)</f>
        <v>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28</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413449</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413449</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4" t="s">
        <v>395</v>
      </c>
      <c r="B169" s="2205"/>
      <c r="C169" s="1708">
        <f t="shared" ref="C169:K169" si="6">SUM(C132,C141,C145,C146:C150,C155,C156:C167,C168)</f>
        <v>413449</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413449</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6" t="s">
        <v>1478</v>
      </c>
      <c r="B172" s="2207"/>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10" t="s">
        <v>1649</v>
      </c>
      <c r="B175" s="2211"/>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4" t="s">
        <v>1648</v>
      </c>
      <c r="B176" s="2215"/>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2" t="s">
        <v>780</v>
      </c>
      <c r="B181" s="2213"/>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8" t="s">
        <v>1783</v>
      </c>
      <c r="B182" s="2209"/>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v>98965</v>
      </c>
      <c r="D220" s="1623"/>
      <c r="E220" s="1625"/>
      <c r="F220" s="1625"/>
      <c r="G220" s="1623"/>
      <c r="H220" s="1625"/>
      <c r="I220" s="1625"/>
      <c r="J220" s="1625"/>
      <c r="K220" s="1625"/>
    </row>
    <row r="221" spans="1:11" ht="12.75" customHeight="1" thickBot="1" x14ac:dyDescent="0.25">
      <c r="A221" s="1464" t="s">
        <v>1078</v>
      </c>
      <c r="B221" s="1465"/>
      <c r="C221" s="1683">
        <f>SUM(C219:C220)</f>
        <v>98965</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98965</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98965</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512442</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4" orientation="landscape" useFirstPageNumber="1" r:id="rId1"/>
  <headerFooter differentFirst="1" scaleWithDoc="0">
    <oddHeader>&amp;C&amp;"Arial,Bold"&amp;9STATEMENT OF REVENUES RECEIVED/REVENUES
FOR THE YEAR ENDING JUNE 30, 2020</oddHeader>
    <oddFooter>&amp;L&amp;8See notes to financial statements.&amp;C&amp;P</oddFooter>
    <firstFooter>&amp;LSee notes to financial statements.&amp;C&amp;P</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Layout" colorId="8" zoomScaleNormal="110" workbookViewId="0">
      <selection activeCell="G13" sqref="G1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4"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2" t="s">
        <v>294</v>
      </c>
      <c r="B3" s="2223"/>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0</v>
      </c>
      <c r="D13" s="1623">
        <v>0</v>
      </c>
      <c r="E13" s="1623">
        <v>20754</v>
      </c>
      <c r="F13" s="1623">
        <v>105667</v>
      </c>
      <c r="G13" s="1623">
        <v>94288</v>
      </c>
      <c r="H13" s="1623"/>
      <c r="I13" s="1624"/>
      <c r="J13" s="1624"/>
      <c r="K13" s="1722">
        <f t="shared" si="0"/>
        <v>220709</v>
      </c>
      <c r="L13" s="1623">
        <v>302516</v>
      </c>
    </row>
    <row r="14" spans="1:14" x14ac:dyDescent="0.2">
      <c r="A14" s="1319" t="s">
        <v>957</v>
      </c>
      <c r="B14" s="503">
        <v>1500</v>
      </c>
      <c r="C14" s="1623"/>
      <c r="D14" s="1623"/>
      <c r="E14" s="1623"/>
      <c r="F14" s="1623"/>
      <c r="G14" s="1623"/>
      <c r="H14" s="1623">
        <v>20</v>
      </c>
      <c r="I14" s="1624"/>
      <c r="J14" s="1624"/>
      <c r="K14" s="1722">
        <f t="shared" si="0"/>
        <v>20</v>
      </c>
      <c r="L14" s="1623"/>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0</v>
      </c>
      <c r="D33" s="1724">
        <f t="shared" ref="D33:L33" si="1">SUM(D5:D32)</f>
        <v>0</v>
      </c>
      <c r="E33" s="1724">
        <f t="shared" si="1"/>
        <v>20754</v>
      </c>
      <c r="F33" s="1724">
        <f t="shared" si="1"/>
        <v>105667</v>
      </c>
      <c r="G33" s="1724">
        <f t="shared" si="1"/>
        <v>94288</v>
      </c>
      <c r="H33" s="1724">
        <f t="shared" si="1"/>
        <v>20</v>
      </c>
      <c r="I33" s="1724">
        <f t="shared" si="1"/>
        <v>0</v>
      </c>
      <c r="J33" s="1724">
        <f t="shared" si="1"/>
        <v>0</v>
      </c>
      <c r="K33" s="1724">
        <f t="shared" si="1"/>
        <v>220729</v>
      </c>
      <c r="L33" s="1724">
        <f t="shared" si="1"/>
        <v>302516</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c r="D37" s="1623"/>
      <c r="E37" s="1623"/>
      <c r="F37" s="1623"/>
      <c r="G37" s="1623"/>
      <c r="H37" s="1623"/>
      <c r="I37" s="1624"/>
      <c r="J37" s="1624"/>
      <c r="K37" s="1722">
        <f t="shared" si="2"/>
        <v>0</v>
      </c>
      <c r="L37" s="1623"/>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0</v>
      </c>
      <c r="D42" s="1724">
        <f t="shared" ref="D42:L42" si="3">SUM(D36:D41)</f>
        <v>0</v>
      </c>
      <c r="E42" s="1724">
        <f t="shared" si="3"/>
        <v>0</v>
      </c>
      <c r="F42" s="1724">
        <f t="shared" si="3"/>
        <v>0</v>
      </c>
      <c r="G42" s="1724">
        <f t="shared" si="3"/>
        <v>0</v>
      </c>
      <c r="H42" s="1724">
        <f t="shared" si="3"/>
        <v>0</v>
      </c>
      <c r="I42" s="1724">
        <f t="shared" si="3"/>
        <v>0</v>
      </c>
      <c r="J42" s="1724">
        <f t="shared" si="3"/>
        <v>0</v>
      </c>
      <c r="K42" s="1724">
        <f t="shared" si="3"/>
        <v>0</v>
      </c>
      <c r="L42" s="1724">
        <f t="shared" si="3"/>
        <v>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0</v>
      </c>
      <c r="D44" s="1636">
        <v>0</v>
      </c>
      <c r="E44" s="1636">
        <v>1159</v>
      </c>
      <c r="F44" s="1636">
        <v>0</v>
      </c>
      <c r="G44" s="1636"/>
      <c r="H44" s="1636"/>
      <c r="I44" s="1624"/>
      <c r="J44" s="1624"/>
      <c r="K44" s="1728">
        <f>SUM(C44:J44)</f>
        <v>1159</v>
      </c>
      <c r="L44" s="1636">
        <v>1300</v>
      </c>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0</v>
      </c>
      <c r="D47" s="1724">
        <f t="shared" ref="D47:K47" si="4">SUM(D44:D46)</f>
        <v>0</v>
      </c>
      <c r="E47" s="1724">
        <f t="shared" si="4"/>
        <v>1159</v>
      </c>
      <c r="F47" s="1724">
        <f t="shared" si="4"/>
        <v>0</v>
      </c>
      <c r="G47" s="1724">
        <f t="shared" si="4"/>
        <v>0</v>
      </c>
      <c r="H47" s="1724">
        <f t="shared" si="4"/>
        <v>0</v>
      </c>
      <c r="I47" s="1724">
        <f t="shared" si="4"/>
        <v>0</v>
      </c>
      <c r="J47" s="1724">
        <f t="shared" si="4"/>
        <v>0</v>
      </c>
      <c r="K47" s="1724">
        <f t="shared" si="4"/>
        <v>1159</v>
      </c>
      <c r="L47" s="1724">
        <f>SUM(L44:L46)</f>
        <v>1300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c r="F49" s="1636"/>
      <c r="G49" s="1636"/>
      <c r="H49" s="1636"/>
      <c r="I49" s="1624"/>
      <c r="J49" s="1624"/>
      <c r="K49" s="1728">
        <f>SUM(C49:J49)</f>
        <v>0</v>
      </c>
      <c r="L49" s="1636"/>
    </row>
    <row r="50" spans="1:14" x14ac:dyDescent="0.2">
      <c r="A50" s="1319" t="s">
        <v>813</v>
      </c>
      <c r="B50" s="503">
        <v>2320</v>
      </c>
      <c r="C50" s="1623"/>
      <c r="D50" s="1623"/>
      <c r="E50" s="1623"/>
      <c r="F50" s="1623"/>
      <c r="G50" s="1623"/>
      <c r="H50" s="1623"/>
      <c r="I50" s="1624"/>
      <c r="J50" s="1624"/>
      <c r="K50" s="1728">
        <f>SUM(C50:J50)</f>
        <v>0</v>
      </c>
      <c r="L50" s="1623"/>
    </row>
    <row r="51" spans="1:14" x14ac:dyDescent="0.2">
      <c r="A51" s="1319" t="s">
        <v>42</v>
      </c>
      <c r="B51" s="503">
        <v>2330</v>
      </c>
      <c r="C51" s="1623">
        <v>16746</v>
      </c>
      <c r="D51" s="1623">
        <v>4572</v>
      </c>
      <c r="E51" s="1623">
        <v>14584</v>
      </c>
      <c r="F51" s="1623">
        <v>246</v>
      </c>
      <c r="G51" s="1623"/>
      <c r="H51" s="1623"/>
      <c r="I51" s="1624"/>
      <c r="J51" s="1624"/>
      <c r="K51" s="1728">
        <f>SUM(C51:J51)</f>
        <v>36148</v>
      </c>
      <c r="L51" s="1623">
        <v>33454</v>
      </c>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16746</v>
      </c>
      <c r="D53" s="1724">
        <f t="shared" ref="D53:L53" si="5">SUM(D49:D52)</f>
        <v>4572</v>
      </c>
      <c r="E53" s="1724">
        <f t="shared" si="5"/>
        <v>14584</v>
      </c>
      <c r="F53" s="1724">
        <f t="shared" si="5"/>
        <v>246</v>
      </c>
      <c r="G53" s="1724">
        <f t="shared" si="5"/>
        <v>0</v>
      </c>
      <c r="H53" s="1724">
        <f t="shared" si="5"/>
        <v>0</v>
      </c>
      <c r="I53" s="1724">
        <f t="shared" si="5"/>
        <v>0</v>
      </c>
      <c r="J53" s="1724">
        <f t="shared" si="5"/>
        <v>0</v>
      </c>
      <c r="K53" s="1724">
        <f t="shared" si="5"/>
        <v>36148</v>
      </c>
      <c r="L53" s="1724">
        <f t="shared" si="5"/>
        <v>33454</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19732</v>
      </c>
      <c r="D60" s="1623">
        <v>4488</v>
      </c>
      <c r="E60" s="1623">
        <v>1229</v>
      </c>
      <c r="F60" s="1623"/>
      <c r="G60" s="1623"/>
      <c r="H60" s="1623"/>
      <c r="I60" s="1624"/>
      <c r="J60" s="1624"/>
      <c r="K60" s="1728">
        <f t="shared" si="7"/>
        <v>25449</v>
      </c>
      <c r="L60" s="1623">
        <v>25000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c r="D63" s="1623"/>
      <c r="E63" s="1623"/>
      <c r="F63" s="1623"/>
      <c r="G63" s="1623"/>
      <c r="H63" s="1623"/>
      <c r="I63" s="1624"/>
      <c r="J63" s="1624"/>
      <c r="K63" s="1728">
        <f t="shared" si="7"/>
        <v>0</v>
      </c>
      <c r="L63" s="1623"/>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19732</v>
      </c>
      <c r="D65" s="1724">
        <f t="shared" ref="D65:L65" si="8">SUM(D59:D64)</f>
        <v>4488</v>
      </c>
      <c r="E65" s="1724">
        <f t="shared" si="8"/>
        <v>1229</v>
      </c>
      <c r="F65" s="1724">
        <f t="shared" si="8"/>
        <v>0</v>
      </c>
      <c r="G65" s="1724">
        <f t="shared" si="8"/>
        <v>0</v>
      </c>
      <c r="H65" s="1724">
        <f t="shared" si="8"/>
        <v>0</v>
      </c>
      <c r="I65" s="1724">
        <f t="shared" si="8"/>
        <v>0</v>
      </c>
      <c r="J65" s="1724">
        <f t="shared" si="8"/>
        <v>0</v>
      </c>
      <c r="K65" s="1724">
        <f t="shared" si="8"/>
        <v>25449</v>
      </c>
      <c r="L65" s="1724">
        <f t="shared" si="8"/>
        <v>25000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36478</v>
      </c>
      <c r="D74" s="1731">
        <f t="shared" ref="D74:K74" si="10">SUM(D42,D47,D53,D57,D65,D72,D73)</f>
        <v>9060</v>
      </c>
      <c r="E74" s="1731">
        <f t="shared" si="10"/>
        <v>16972</v>
      </c>
      <c r="F74" s="1731">
        <f t="shared" si="10"/>
        <v>246</v>
      </c>
      <c r="G74" s="1731">
        <f t="shared" si="10"/>
        <v>0</v>
      </c>
      <c r="H74" s="1731">
        <f t="shared" si="10"/>
        <v>0</v>
      </c>
      <c r="I74" s="1731">
        <f t="shared" si="10"/>
        <v>0</v>
      </c>
      <c r="J74" s="1731">
        <f t="shared" si="10"/>
        <v>0</v>
      </c>
      <c r="K74" s="1731">
        <f t="shared" si="10"/>
        <v>62756</v>
      </c>
      <c r="L74" s="1731">
        <f>SUM(L42,L47,L53,L57,L65,L72,L73)</f>
        <v>59754</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v>35099</v>
      </c>
      <c r="F81" s="1723"/>
      <c r="G81" s="1723"/>
      <c r="H81" s="1623">
        <v>162982</v>
      </c>
      <c r="I81" s="1632"/>
      <c r="J81" s="1632"/>
      <c r="K81" s="1722">
        <f t="shared" si="11"/>
        <v>198081</v>
      </c>
      <c r="L81" s="1623">
        <v>204967</v>
      </c>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35099</v>
      </c>
      <c r="F84" s="1723"/>
      <c r="G84" s="1723"/>
      <c r="H84" s="1724">
        <f>SUM(H78:H83)</f>
        <v>162982</v>
      </c>
      <c r="I84" s="1632"/>
      <c r="J84" s="1632"/>
      <c r="K84" s="1724">
        <f>SUM(K78:K83)</f>
        <v>198081</v>
      </c>
      <c r="L84" s="1724">
        <f>SUM(L78:L83)</f>
        <v>204967</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35099</v>
      </c>
      <c r="F102" s="1723"/>
      <c r="G102" s="1723"/>
      <c r="H102" s="1731">
        <f>SUM(H84,H92,H100,H101)</f>
        <v>162982</v>
      </c>
      <c r="I102" s="1632"/>
      <c r="J102" s="1632"/>
      <c r="K102" s="1731">
        <f>SUM(K84,K92,K100,K101)</f>
        <v>198081</v>
      </c>
      <c r="L102" s="1731">
        <f>SUM(L84,L92,L100,L101)</f>
        <v>204967</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36478</v>
      </c>
      <c r="D114" s="1724">
        <f t="shared" ref="D114:K114" si="13">SUM(D33,D74,D75,D102,D112,D113)</f>
        <v>9060</v>
      </c>
      <c r="E114" s="1724">
        <f t="shared" si="13"/>
        <v>72825</v>
      </c>
      <c r="F114" s="1724">
        <f t="shared" si="13"/>
        <v>105913</v>
      </c>
      <c r="G114" s="1724">
        <f t="shared" si="13"/>
        <v>94288</v>
      </c>
      <c r="H114" s="1724">
        <f>SUM(H33,H74,H75,H102,H112,H113)</f>
        <v>163002</v>
      </c>
      <c r="I114" s="1724">
        <f t="shared" si="13"/>
        <v>0</v>
      </c>
      <c r="J114" s="1724">
        <f t="shared" si="13"/>
        <v>0</v>
      </c>
      <c r="K114" s="1724">
        <f t="shared" si="13"/>
        <v>481566</v>
      </c>
      <c r="L114" s="1724">
        <f>SUM(L33,L74,L75,L102,L112,L113)</f>
        <v>567237</v>
      </c>
    </row>
    <row r="115" spans="1:14" ht="13.5" thickTop="1" x14ac:dyDescent="0.2">
      <c r="A115" s="2241" t="s">
        <v>989</v>
      </c>
      <c r="B115" s="2242"/>
      <c r="C115" s="1725"/>
      <c r="D115" s="1725"/>
      <c r="E115" s="1725"/>
      <c r="F115" s="1725"/>
      <c r="G115" s="1725"/>
      <c r="H115" s="1725"/>
      <c r="I115" s="1725"/>
      <c r="J115" s="1725"/>
      <c r="K115" s="1739">
        <f>'Revenues 9-14'!C268-'Expenditures 15-22'!K114</f>
        <v>30876</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9" t="s">
        <v>293</v>
      </c>
      <c r="B117" s="2220"/>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1" t="s">
        <v>616</v>
      </c>
      <c r="B151" s="2213"/>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34" t="s">
        <v>1170</v>
      </c>
      <c r="B152" s="2235"/>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9" t="s">
        <v>617</v>
      </c>
      <c r="B154" s="2221"/>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41" t="s">
        <v>989</v>
      </c>
      <c r="B175" s="2242"/>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241" t="s">
        <v>989</v>
      </c>
      <c r="B211" s="2242"/>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6" t="s">
        <v>959</v>
      </c>
      <c r="B213" s="2237"/>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2" t="s">
        <v>502</v>
      </c>
      <c r="B295" s="2233"/>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41" t="s">
        <v>989</v>
      </c>
      <c r="B296" s="2242"/>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4" t="s">
        <v>142</v>
      </c>
      <c r="B298" s="2218"/>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9" t="s">
        <v>275</v>
      </c>
      <c r="B312" s="2230"/>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5" t="s">
        <v>989</v>
      </c>
      <c r="B313" s="2226"/>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8" t="s">
        <v>148</v>
      </c>
      <c r="B315" s="2239"/>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40" t="s">
        <v>892</v>
      </c>
      <c r="B317" s="2239"/>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1785</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7" t="s">
        <v>989</v>
      </c>
      <c r="B343" s="2228"/>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7" t="s">
        <v>960</v>
      </c>
      <c r="B345" s="2218"/>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41" t="s">
        <v>989</v>
      </c>
      <c r="B368" s="2242"/>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3" firstPageNumber="20" fitToHeight="0" orientation="landscape" useFirstPageNumber="1" r:id="rId1"/>
  <headerFooter differentFirst="1" scaleWithDoc="0">
    <oddHeader>&amp;C&amp;"Arial,Bold"&amp;9STATEMENT OF EXPENDITURES DISBURSED/EXPENDITURES, BUDGET TO ACTUAL
FOR THE YEAR ENDING JUNE 30, 2020</oddHeader>
    <oddFooter>&amp;L&amp;8See notes to financial statements.&amp;C&amp;P</oddFooter>
    <firstFooter>&amp;LSee notes to financial statements.&amp;C&amp;P</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schemas.microsoft.com/office/infopath/2007/PartnerControls"/>
    <ds:schemaRef ds:uri="6ce3111e-7420-4802-b50a-75d4e9a0b980"/>
    <ds:schemaRef ds:uri="http://schemas.microsoft.com/office/2006/documentManagement/types"/>
    <ds:schemaRef ds:uri="http://www.w3.org/XML/1998/namespace"/>
    <ds:schemaRef ds:uri="http://schemas.openxmlformats.org/package/2006/metadata/core-properties"/>
    <ds:schemaRef ds:uri="4d435f69-8686-490b-bd6d-b153bf22ab50"/>
    <ds:schemaRef ds:uri="http://schemas.microsoft.com/sharepoint/v3"/>
    <ds:schemaRef ds:uri="http://purl.org/dc/elements/1.1/"/>
    <ds:schemaRef ds:uri="d21dc803-237d-4c68-8692-8d731fd29118"/>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2020-10-08T20:57:50Z</cp:lastPrinted>
  <dcterms:created xsi:type="dcterms:W3CDTF">2003-10-29T19:06:34Z</dcterms:created>
  <dcterms:modified xsi:type="dcterms:W3CDTF">2020-11-16T22:07:50Z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